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D958157E-0C45-42C6-84AE-E6501D42CE73}"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180" i="2" l="1"/>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<sst xmlns="http://schemas.openxmlformats.org/spreadsheetml/2006/main" count="50488" uniqueCount="13185">
  <si>
    <t>Índice onomástico anual · Gacetas oficiales de 1814</t>
  </si>
  <si>
    <t>Del 1 de enero al 31 de diciembre de 1814 · Gaceta de Madrid y Gazeta de la Regencia de las Españas</t>
  </si>
  <si>
    <t>Aviso: índice generado a partir del OCR de facsímiles históricos. Las grafías y lecturas dudosas deben cotejarse con la página enlazada.</t>
  </si>
  <si>
    <t>5566 menciones · 176 archivos oficiales · 1418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</si>
  <si>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</si>
  <si>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</si>
  <si>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</si>
  <si>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</si>
  <si>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</si>
  <si>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</si>
  <si>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</si>
  <si>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</si>
  <si>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</si>
  <si>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</si>
  <si>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</si>
  <si>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Andrés</t>
  </si>
  <si>
    <t>Andrés A</t>
  </si>
  <si>
    <t>Mención en noticia o disposición</t>
  </si>
  <si>
    <t>Noticias y disposiciones</t>
  </si>
  <si>
    <t>Gaceta de Madrid n.º 112</t>
  </si>
  <si>
    <t>PDF p. 7</t>
  </si>
  <si>
    <t>Lectura automática dudosa; cotejar el facsímil</t>
  </si>
  <si>
    <t>…uel Martínez-del Campo, atgmd.-d. ■de arcediano de Revná , y racionero de la misma iglesia.; para-una ración dé la santa iglesia ineAópólitmia de Sevilla, vacante por promoción de-Don Andrés A maya a-canongía de ella, á D. Juan José de f i|leTÍX'páff5quiárde S.. Juap de la Palma oc a-que lia ciudad; para otra raciom</t>
  </si>
  <si>
    <t>Revisar OCR</t>
  </si>
  <si>
    <t>A, Francisco</t>
  </si>
  <si>
    <t>Francisco A</t>
  </si>
  <si>
    <t>Nombramiento o servicio público</t>
  </si>
  <si>
    <t>España</t>
  </si>
  <si>
    <t>Gaceta de Madrid n.º 139</t>
  </si>
  <si>
    <t>…ballería vo luntarios de la Colonia del Sacramento nombrado primer comandante y sar gento mayor á D. Juan Guerrero y Serón; Para pago de acreedores, y en virtud de providencia dél Sr. D. Francisco A^sin, teniente de corregidor de esta villa, se ha mandado sacar á pública subasta una casa perteneciente ai concurso de Doña Ana de Mata, sita en la cabe de Mira él Rio aita á la del Bastero, señalada con el número 16 de la man runa 97, tasada en 19 1920 rs. L…</t>
  </si>
  <si>
    <t>A, José</t>
  </si>
  <si>
    <t>José A</t>
  </si>
  <si>
    <t>Publicación o actividad intelectual</t>
  </si>
  <si>
    <t>Gaceta de Madrid n.º 89</t>
  </si>
  <si>
    <t>698</t>
  </si>
  <si>
    <t>…glesia catedral de Orihuela de Segura , compuesta de D. Juan Castañeda, caballero de la real y distingui da orden de Carlos m , arcediano de Alicante, dignidad de dicha Iglesia, y D. José A4iralles, canónigo penitenciario de la misma; y llevando este la pa labra , pronunció el breve discurso siguiente: ,, Señor: el cabildo de la santa iglesia catedral de Orihuela tiene el ho nor por medio de sus representantes de renovar á L. R. P. de V. M. los…</t>
  </si>
  <si>
    <t>A, Josef Gabriel</t>
  </si>
  <si>
    <t>Josef Gabriel A</t>
  </si>
  <si>
    <t>Operaciones o servicios militares</t>
  </si>
  <si>
    <t>Noticias militares</t>
  </si>
  <si>
    <t>Gazeta de la Regencia de las Españas n.º 46</t>
  </si>
  <si>
    <t>PDF p. 4</t>
  </si>
  <si>
    <t>…n. „ Ei mismo señor general, que por noticias que turo había previsto con anticipación los puntos por donde el enemigo pedia amenazar, y hecho las prevenciones oportunas al activo comandante D. Josef Gabriel A r mi jo , ofre ce remitir ios detalles de esta acción luego que ios reciba, los quaies se tras ladarán inmediatamente al publico.’* La frecuente comunicación con todas las capitales y puntos del reyno, y especialmente con la plaza de "Veracruz, era de tanta i…</t>
  </si>
  <si>
    <t>A, Juan Bautista de</t>
  </si>
  <si>
    <t>Juan Bautista de A</t>
  </si>
  <si>
    <t>Fallecimiento, herencia o memoria</t>
  </si>
  <si>
    <t>Gaceta de Madrid n.º 116</t>
  </si>
  <si>
    <t>…de Cala horra , vacante por fallecimiento de D. Manuel Ruiz de Bravo, á D. Fer nando de San Martin; para una ración de la misma iglesia, vacante por muerte de D. Diego Landivar, á D. Juan Bautista de A vendarlo y Elaregui; para una canongía de la iglesia catedral de Cádiz, vacant-e por falleci miento de D. Antonio Ladero, á D. Manuel de Cos, medio racionero de la propi i iglesia; para otra canongía de la iglesia colegial de Tala-era, dió cesis de Toledo, va…</t>
  </si>
  <si>
    <t>A, Juan de</t>
  </si>
  <si>
    <t>Juan de A</t>
  </si>
  <si>
    <t>Gazeta de la Regencia de las Españas n.º 26</t>
  </si>
  <si>
    <t>á temen tés*ide frágil t‘á{iV íos alféreces de navio D. Juan de A zas, D. Loren zo Villegas, D. Josef Pumarejo y I). Carlos Calafat, y á alféreces de na¿vío á íos de fragata D. Alexandro Pusa , D. Antonió Fermín Sollozo, Don Román Ayala , D. Rafael Martínez, D. Juan Moreno, D. Francisco Cha morro ,D. Joaq'Difi'Argiiel les y…</t>
  </si>
  <si>
    <t>PDF p. 8</t>
  </si>
  <si>
    <t>…pios avisos de Baracúa.= Cuba to de Octubre de 1813»= Manuel efe NavafreteéZzEs copia.= Bernabé de Corres. , ?j Esta relación la ha dirigido el intendente de exército de la Havana Don Juan de A güilac con oficio .de 6 de Noviembre último , manifestando con re ferencia á lo que había escrito? él de SantiagQ‘.r4é¡‘Cuba, que la diputación provincial de la. misma ciudad, deseosa, de evitarvsemejantes, contratiem pos, procuró; persuadir á los vecinos, .q…</t>
  </si>
  <si>
    <t>A, Juan Ignacio de</t>
  </si>
  <si>
    <t>Juan Ignacio de A</t>
  </si>
  <si>
    <t>Gaceta de Madrid n.º 137</t>
  </si>
  <si>
    <t>PDF p. 6</t>
  </si>
  <si>
    <t>…io, Escribano de Cámara mas antiguo, y de Gobierno del mi Con sejo, se le dé la misma fe y crédito que á su original. Dada en Palacio, á 2t de S ¿tiembre de í8i4=YO KL R¡'.Y. = Yo D. Juan Ignacio de A\ esta-* rin , Secretario del Rey nuestro Señor, lo hice escribir por su mandado. =3 Di Gonzalo Josef de Vilches. reD. Miguel Alfonso Villagomez. = D, Geró nimo Antonio Diez. =r D. Josef Antonio de^Larrumbidei £2 D-Tomas Moyaiid.= Registrada, Fernando de íturm…</t>
  </si>
  <si>
    <t>Abad, Estéban Martínez</t>
  </si>
  <si>
    <t>Estéban Martínez Abad</t>
  </si>
  <si>
    <t>Gaceta de Madrid n.º 146</t>
  </si>
  <si>
    <t>Nombre detectado automáticamente; cotejar si se va a citar</t>
  </si>
  <si>
    <t>…tratar de su arriendo podrá verse con el conde de Cedillo, á quien pertenece, que vive e«i Madrid, frente al convento de Jesús, núm. 17, quarto principal, ó con su admi nistrador D. Estéban Martínez Abad, residente en Ja villa de Cedillo. Se hallan vacantes los partidos'de médico y dé maestro de primeras letras de la villa de Cienpozuelos, provincia de Madrid, distante cinco leguas de está corté: la dotación de ia plaza de médico son 700 ducados, ademas de lo…</t>
  </si>
  <si>
    <t>Lectura OCR</t>
  </si>
  <si>
    <t>Abad, Francisco</t>
  </si>
  <si>
    <t>Francisco Abad</t>
  </si>
  <si>
    <t>Gazeta de la Regencia de las Españas n.º 43</t>
  </si>
  <si>
    <t>…e formarán colección: c) teniente general D. Pedro Villacampa, D. Juan de Tapia,, el barón de Eróles, D. Juan Martin el Empecinado, D. Julián Sánchez, D. Juan Palarea (el Médico), D. Francisco Abad (Chaleco), á 8 rs. iluminados y á 4 en negro. Se irán publicando los restantes heroes que mas se han distinguido en. defensa de la patria. MADRID EN LA IMPRENTA NACIONAL.</t>
  </si>
  <si>
    <t>Abad, Salvador Hernández</t>
  </si>
  <si>
    <t>Salvador Hernández Abad</t>
  </si>
  <si>
    <t>Gazeta de la Regencia de las Españas n.º 57</t>
  </si>
  <si>
    <t>…Tomas de Vargas; á tenientes de fusileros á D. Valentín Baudet, D. Garlos Fernandez y D. Miguel Manrique.; á subteniente de granaderos á D. Bernabé García Ábreu , y de cazadores á D. Salvador Hernández Abad; á subteniente de fusileros á D. Domingo Hernández Leal, y de bandera á D. Lu s Román y Franco y.,D. José González Arauz. Y á subtenientes en ei batallón de milicias urbanas de. la plaza de Alburquerque á D. Bruna del Pilar y D. Manuel María Salvadores. Por d…</t>
  </si>
  <si>
    <t>Aballe, Pedro Nicolás del</t>
  </si>
  <si>
    <t>Pedro Nicolás del Aballe</t>
  </si>
  <si>
    <t>…cien da y dicho Tribunal de Contaduría mayor en consecuencia del Real De creto de esta fecha. Ministros Togados. D. Josef Perez Caballero; D. Josef de Ibarra ; D. Sancho de Llamas;D. Pedro Nicolás del Aballe; O. Tadeo Segundo Gómez; D. Antonio Al calá Galiano; D. Jayme Aivarez de Mendieta,y D. Juan Antonia Fernan dez de Quesada. Ministros de Capa y Espada■. D. Pantalecn de Beramendi; Conde de Lereua; D. Víctor Rascón .Cor nejo, Contador general de Valores; D. Lui…</t>
  </si>
  <si>
    <t>Abalo, José</t>
  </si>
  <si>
    <t>José Abalo</t>
  </si>
  <si>
    <t>Gazeta de la Regencia de las Españas n.º 30</t>
  </si>
  <si>
    <t>…Tuvo esta división , según el estado de pérdida que se cita, muertos 3 D. Manuel Blanco, teniente de cazadores, y dos soldados del regimiento de voluntarios de Asturias; heridos á D. José Abalo, subteniente del mis mo regimiento, y 14 soldados, y dos mas de estos contusos. QUARTO EXERCITO.____QUINTA DIVISION. ,,Excmo. Sr : en cumplimiento de la orden de V. E. relevé la segunda división de este exército á las seis de la mañana, y á cosa de las nueve…</t>
  </si>
  <si>
    <t>Abbey</t>
  </si>
  <si>
    <t>Gazeta de la Regencia de las Españas n.º 56</t>
  </si>
  <si>
    <t>PDF p. 3</t>
  </si>
  <si>
    <t>…general Cooke, asi como el teniente coronel Wood, comandante de artillería, ha biendo agregado á las columnas á varios oficiales de.su cuerpo, á saber ; al capitán sir George y al teniente Abbey á la izquierdaal teniente Sparling á la de la derecha , y al capitán Eduardo Mitcheli, de artillería, que ofre ció voluntariamente sus servicios, á la del centro, llevando cada uno ua destacamento de zapadores á sus órdenes. El teniente Abbey fué herido pelig…</t>
  </si>
  <si>
    <t>Abelfa, Manuel</t>
  </si>
  <si>
    <t>Manuel Abelfa</t>
  </si>
  <si>
    <t>Gaceta de Madrid n.º 128</t>
  </si>
  <si>
    <t>PDF p. 2</t>
  </si>
  <si>
    <t>…española. En esta ocasión, informado S. M. por los Excmos. Sres superintendente y subdelegado, y por el oficial de la primera secreto ría' de Estado, encar gado de este negociado, D. Manuel Abelfa de las muchas matrices que ha bían substraído-ios franceses en el tiempo de su tiránica domina ion, mani festó S. M. su Real intención de hacer repc ner lá parte de ella4 que no pue dan recobrarse en virtud de las reclamad’4 nes mandadas hacer al gobierno fra…</t>
  </si>
  <si>
    <t>Abella, Manuel</t>
  </si>
  <si>
    <t>Manuel Abella</t>
  </si>
  <si>
    <t>…Excmo.-Sr D. Juan Perez Viífamií, como subdelegado de la mi ma, el conde de Castañeda, oficial mayor de la primera secretaría de Estado , que tiene á su cargo la imprenta Real, y Don Manuel Abella, oficial de la mbma secretaría, encargado de este negociado, y después do haber recibido S. M. el homénage de respeto d«. bido á su alta dignidad , se trasladaron S M. y AA., acompañados de los Sres secretarios del Despacho, que habían c* ncurrido de antemano…</t>
  </si>
  <si>
    <t>Gaceta de Madrid n.º 161</t>
  </si>
  <si>
    <t>…de respeto* de amor y de fidelidad que ya al paso de S. M. por aquella ciudad le habia tributado todo ¿u vecindario. A este efec to diputaron una comisión V compuesta de los Sres. D. Manuel Abella, ca ballero pensionado de la Real y 'distinguida orden española de Carlos' nr, oficial de la primera secretaríaqde Estado; de D. Joaquín Castán, capellán de altar de S. M. 4 y. del Dr. D. Mariano Gastillon, colegial del mayor de S Vicente de la ciudad, de, Hu…</t>
  </si>
  <si>
    <t>Abellan, José María Cosío y</t>
  </si>
  <si>
    <t>José María Cosío y Abellan</t>
  </si>
  <si>
    <t>…eros á D, Anto nio Bienpica, y de fusileros á D. Manuel Bonilla y D. Francisco Mendieta; á ayudante mayor del segundo batallón á D. Bartolomé Guilloto; á te niente de granaderos á D. José María Cosío y Abellan ; Ídem de fusileros á</t>
  </si>
  <si>
    <t>Aberdeen</t>
  </si>
  <si>
    <t>Gazeta de la Regencia de las Españas n.º 15</t>
  </si>
  <si>
    <t>PDF p. 5</t>
  </si>
  <si>
    <t>…o el señor conde de Nesselrode. Ambos, en nombre de su corte, le han presentado en una conferencia amistosa las bases preliminares de una pacificación general. El embaxador ingles lord Aberdeen presenciaba esta conferencia. Notad bien* senadores, este último hecho, que es importante. El señor barón de Saint-Aignau, encargado de transmitir i su corte to do lo que había oido lo ha verificado fielmente. Aunque la; Francia tuviese derecho de esperar otr…</t>
  </si>
  <si>
    <t>…ir á aquel puerto á recibir á tos soberanos extrangeros. El día 2 desembarcó en Harwich el príncipe Carlos de MecktonbourgStrelitz, sobrino de S. M. la reyna; viene acompañado del lord Aberdeen y de sir Tomas Thirwhitt. El príncipe está enteramente curado de todas las heridas que recibió en la batalla de Leipsick. El príncipe de Orange hizo ayer una visita á la princesa Carlota.^—Pa rece que no es un secreto el deseo que tiene el Príncipe Regente de…</t>
  </si>
  <si>
    <t>Gaceta de Madrid n.º 93</t>
  </si>
  <si>
    <t>744</t>
  </si>
  <si>
    <t>…saber, el príncipe de Benevento, conde de la Foret &amp;c., todo el cuerpo diplomático, el príncipe Metternich, lord Castlereagh, los condes Nesselrode, Funchal, Pálmela, Rosamousky, lord Aberdeen, sir C. Stewart, el canciller de Prusia, los condes Hardenberg y Munster Meinhovel, los caballeros Pizarro y Humboldt, ios-generales'Lacken, España, St.-Simón, y otras muchas personas de la primera gerarquía. En Ja comida:se brindó por el Rey Fernando, por lo…</t>
  </si>
  <si>
    <t>Noticia política o diplomática</t>
  </si>
  <si>
    <t>Gaceta de Madrid n.º 127</t>
  </si>
  <si>
    <t>PDF p. 1</t>
  </si>
  <si>
    <t>Núm. 127. [ 5 quartos. ] 1043 GACETA DE MADRID DEL SABADO 17 DE SETIEMBRE DE 1814. ALEMANIA. * Augs burgo 19 de Agosto, Mañana esperamos aquí al lord Aberdeen, segando plenipotenciario in gles para el congreso de Viena. Los preparativos que se hacen en esta capital para recibir á los Sobera nos extrangeros, y en los que se trabaja con una actividad prodigiosa, son.de una magnificencia sin exempio. Parece .que el ca…</t>
  </si>
  <si>
    <t>Ábreu, Bernabé García</t>
  </si>
  <si>
    <t>Bernabé García Ábreu</t>
  </si>
  <si>
    <t>…mingo Viejobueno ; á segundo ayudante á D. Tomas de Vargas; á tenientes de fusileros á D. Valentín Baudet, D. Garlos Fernandez y D. Miguel Manrique.; á subteniente de granaderos á D. Bernabé García Ábreu , y de cazadores á D. Salvador Hernández Abad; á subteniente de fusileros á D. Domingo Hernández Leal, y de bandera á D. Lu s Román y Franco y.,D. José González Arauz. Y á subtenientes en ei batallón de milicias urbanas de. la plaza de Alburquerque á D. Bruna…</t>
  </si>
  <si>
    <t>Abrisqueta, Valentín</t>
  </si>
  <si>
    <t>Valentín Abrisqueta</t>
  </si>
  <si>
    <t>Gazeta de la Regencia de las Españas n.º 44</t>
  </si>
  <si>
    <t>…ios-priméros el cípitan dd.:2.° de tiradores de Cantabria D. Anselmo Ondicota,?el tenrénte del 3.0 de tiradores de Cantabria D. Felipe de Lama, y el subteniente del 2.0 de Vizcaya D. Valentín Abrisqueta; y contusos los te nientes del 2.0 de tiradores de Cantabria D. Pedro Vega y D. Alberto del Campo, y ademas 13 soldados. Laredo 2 de Marzo de 2814.zzjuan Doz. = Fs copia. zzFrsyrz, ‘ : - :'vj' La Regencia del Reyno se ha s&amp;r.vido promover á teniente en el cue…</t>
  </si>
  <si>
    <t>Acebal, Toribio</t>
  </si>
  <si>
    <t>Toribio Acebal</t>
  </si>
  <si>
    <t>Gaceta de Madrid n.º 154</t>
  </si>
  <si>
    <t>…l producto de aguas de Besantes. Los pretendientes dirigirán sus solicitudes á la justicia de dicha ▼illa. Se desea saber el paradero de D. Francisco García Arguelles, pariente de Don Toribio Acebal , secretario del vireynato de Lima. La persona que supiere de su paradero se. servirá avisarlo en Madrid á D. Tadeo Gírate, gobernador intendente de la provincia de Puno, en la América, que vive en la carrera de S. Gerónimo, núm. 4, quarto principal, ó en Cád…</t>
  </si>
  <si>
    <t>Acedo, Miguel Calixto de</t>
  </si>
  <si>
    <t>Miguel Calixto de Acedo</t>
  </si>
  <si>
    <t>Gaceta de Madrid n.º 96</t>
  </si>
  <si>
    <t>…onerse las tres Salas de mi Real y Supremo Consejo de las Indias, salva la antigüedad que á cada uno* corresponden Sala primera de Gobierno. = El Duque de Montemar, Presi dente. = D. Miguel Calixto de Acedo. = D. Francisco Requena. = D . Josef Pablo Valiente. = D. Antonio Gamiz. = D. Antonio López Quintan i. = Don Francisco de-la-Vega.nD. Francisco de Arango. = D. Francisco Ibañez Leyva. = D. Juan Gualberto González, Fiscal. = D. Estéban Varea, Secre tario-= Sal…</t>
  </si>
  <si>
    <t>…Julio de 1814. == Señalado de la Real mano de S. M.= A D. Miguel de Lardizabal y Uribe. Nómina de los Ministros de mi Real Cámara de Indias; = El Duque de Montemar, Presidente. = D. Miguel Calixto de Acedo. = D. Pedro Aparici. = D. Ramón de Posada. =D. Francisco Requena. =D. Josef Pablo Va liente. Madrid 2 de Julio de 1814. = Señalado de la Real mano de S. M. Circular del Ministerio de Hacienda. ,,He dado cuenta al Rey nuestro Señor del oficio de V. S. de 14 de…</t>
  </si>
  <si>
    <t>Acevedo, Manuel Díaz de</t>
  </si>
  <si>
    <t>Manuel Díaz de Acevedo</t>
  </si>
  <si>
    <t>Gaceta de Madrid n.º 88</t>
  </si>
  <si>
    <t>638</t>
  </si>
  <si>
    <t>…finalizándose tan alegres como sencillos obsequios con cena, y en seguida bayie, que duró toda la noche. Madrid 20 de Junio. El dia i.° del corriente D. Casimiro Xavier de Egaña, D. Manuel Díaz de Acevedo y D. Juan Antonio de Retana, diputados de la ciudad de Vi toria, tuvieron la honra de besar la mano á S. M., y de felicitarle á nombre de ella, pronunciando el primero de ellos el discurso siguiente: ,, Señor: la M. N. y M. L. ciudad de Vitoria felicita sinceramente á V. M. po…</t>
  </si>
  <si>
    <t>Acu, Marón</t>
  </si>
  <si>
    <t>Marón Acu</t>
  </si>
  <si>
    <t>Gaceta de Madrid n.º 135</t>
  </si>
  <si>
    <t>…ierte vicario general del departamento del Ferrol: para otra de la iglesia colegial de IrLfLvia , diócesis de S ¡miago, va cante por fallecimiento de D. Ramón Bernardo Pillado 3 á D. Marón Acu ña y Malvar: para el beneficio simple servidero de la parroquia de A (man sa, diócesis de Cartagena, vacante por muerte de D, Ignacio Benedicto Ibañez, á D. Pedro Fernando Tavira: para una ración dé la igieóa catedral de Ceuta, vacante por fallecimiento de D.…</t>
  </si>
  <si>
    <t>Acuña, Bernardo de</t>
  </si>
  <si>
    <t>Bernardo de Acuña</t>
  </si>
  <si>
    <t>Gaceta de Madrid n.º 140</t>
  </si>
  <si>
    <t>PDF p. 9</t>
  </si>
  <si>
    <t>…e Casa-Cagi— gal, D.. Rámon de Alós, D Pedro Ignacio Correa, D. José de Zarauz* D. Francisco Salinas de Moñino, D. José del Pozo y Sucre, conde de Bel— bedel , D. Cárlos O’Doneli, D. Bernardo de Acuña , D. José Marta de Carvajal, el marques de Zayas, D. José María de Alós , D. Felipe de Paz, Príncipe de Anglona, D. Juan Senen de Coimeras, D. Felipe KeatingRoche, y D. Francisco Cabrera. A mariscales de campo á los brigadieres D. Miguel de los Ríos , D. Car…</t>
  </si>
  <si>
    <t>Acuña, Cosme de</t>
  </si>
  <si>
    <t>Cosme de Acuña</t>
  </si>
  <si>
    <t>Gaceta de Madrid n.º 100</t>
  </si>
  <si>
    <t>…ital Gcne-rai de esta corte. Estampa de nuestra Señora de las Angustias en pliego de marca mayor, como se venen en el trascoro de la santa iglesia catedral de Málaga: dibuxada por Don Cosme de Acuña de la célebre escultura executada por ,D. Juan Adan, y‘grabada por D. Blas Ametller, académico de mérito de la real eje b. Fernando. Se hallará en el despacho de la calcografía de la imprenta real, ¿ 69 rs. cada exemplar. ~ r EN LA IMPRENTA REAlT ~</t>
  </si>
  <si>
    <t>Ad</t>
  </si>
  <si>
    <t>Actividad económica o mercantil</t>
  </si>
  <si>
    <t>Gaceta de Madrid n.º 115</t>
  </si>
  <si>
    <t>…con el de la Bélgica una potencia poderosa y prospera. ,,Dado en Bruselas el i.° de Agosto de 1814 zzGuiilelmo.” GRAN BRETAÑA. Londres 4 de Agosto. Lord Gambier, Mr. Goulburn y el doctor Ad ms, comisionados para tratar de paz con los enviados de América, recibirán hoy las correspondien tes instrucciones, y saldrán en seguida para Dowres con ei objeto de em barcarse para Ostende. Ayer mañana llego á esta capital el príncipe Federico de Orange, ac…</t>
  </si>
  <si>
    <t>Adam, Alonso</t>
  </si>
  <si>
    <t>Alonso Adam</t>
  </si>
  <si>
    <t>Gaceta de Madrid n.º 144</t>
  </si>
  <si>
    <t>…rga; á D. Tomas Vallejo j(;Zumaran=, regidor y alcalde provincial de.'Limá ; a'D. Miguel Padillay coronel graduado de-mi licias; al baton de-Herves D. RafáelRam dé VJu y'Pueyo 5 á D. Alonso Adam, ayudante^retirado del regimiento de infantería de.línea de Córdoba; át D . F rancisco Galvez, dignidad: de tesorero de ia* santa iglesia de Córdoba; dt Me Japinaud, teniente general de ios.exércitqs del Rey de Francia&lt;,.y x D. Felipe Martínez de V|ergol, itd…</t>
  </si>
  <si>
    <t>Adame, Antonio Chaparro y</t>
  </si>
  <si>
    <t>Antonio Chaparro y Adame</t>
  </si>
  <si>
    <t>Gaceta de Madrid n.º 95</t>
  </si>
  <si>
    <t>…mo del ilustre cuerpo que la ejecutaba, Madrid 6 de Julio, El dia 20 del mes próximo pasado tuvieron el honor de ser admitidos á cumplimentar .á S. M. y besar su real mano el Lie. D. Antonio Chaparro y Adame, vicario juez eclesiástico del partido de la villa de Fregeoal, y cu ra párroco de la iglesia de Sta. María la mayor y mas antigua de aquella villa, y D. Gonzalo Sánchez Arjona, caballero maestrante de la de Sevilla, y regidor del ayuntamiento de dicha villa,…</t>
  </si>
  <si>
    <t>Adan, Ignacio Velez de Larrea y</t>
  </si>
  <si>
    <t>Ignacio Velez de Larrea y Adan</t>
  </si>
  <si>
    <t>Gaceta de Madrid n.º 117</t>
  </si>
  <si>
    <t>959</t>
  </si>
  <si>
    <t>…ta villa,.se ha mandado llevar á efecto lo acordado én junta celebrada- por'lq* interesados en la testamentaría formada por el óbito de Doña'María AntoVia ‘¿Je las Peñas, viuda de D. Ignacio Velez de Larrea y Adan; y siendo unb'Tté íoi particulares acordados el que se cite, llame y emplaccy como se hacc por mcdTo</t>
  </si>
  <si>
    <t>Adan, Juan</t>
  </si>
  <si>
    <t>Juan Adan</t>
  </si>
  <si>
    <t>…las Angustias en pliego de marca mayor, como se venen en el trascoro de la santa iglesia catedral de Málaga: dibuxada por Don Cosme de Acuña de la célebre escultura executada por ,D. Juan Adan, y‘grabada por D. Blas Ametller, académico de mérito de la real eje b. Fernando. Se hallará en el despacho de la calcografía de la imprenta real, ¿ 69 rs. cada exemplar. ~ r EN LA IMPRENTA REAlT ~</t>
  </si>
  <si>
    <t>Adarraga, Juan Miguel</t>
  </si>
  <si>
    <t>Juan Miguel Adarraga</t>
  </si>
  <si>
    <t>Gaceta de Madrid n.º 173</t>
  </si>
  <si>
    <t>…ió otra vez el mismo, pidiendo se anunciase por medio de la gaceta de Madrid la ausencia drí D. Cosme su hermano, para que el que tuviere noticias de él se sirviese comunicar’as á D. Juan Miguel Adarraga en dicha ciudad; en Cádiz á D. Juan Manuel de Azubialie, y en Sevilla á Doña Miriaña Vallada res y Gardoqui; prometiendo ademas un premio de 1500 rs. ai que las comunica se, y encargando también í los mismos corresponsales que le diesen cuenta si se presentab…</t>
  </si>
  <si>
    <t>Adlerkreuth</t>
  </si>
  <si>
    <t>Gazeta de la Regencia de las Españas n.º 1</t>
  </si>
  <si>
    <t>…ral Winzingerode había entrado ya en Holanda. El general Bulow estaba entre Munster y Arnhein. El cuerpo del general Bennigsen, y el general \Valmoden con los hanlioverianos, y el general Adlerkreuth con los suecos marchaban á Hamburgo contra Davoust y los dinamarqueses. Las cartas de Altona del 20 dicen que el Príncipe; de la Corona manifiesta estar prontoá poner en práctica sus,proyectos contra la.Dinamarca, que da indicios de permanecer leal á la Franc…</t>
  </si>
  <si>
    <t>Adorno, José</t>
  </si>
  <si>
    <t>José Adorno</t>
  </si>
  <si>
    <t>Gaceta de Madrid n.º 141</t>
  </si>
  <si>
    <t>2075</t>
  </si>
  <si>
    <t>…ba del aprecio en que lo tiene, se ha servido de hacer por ahora en él la promoción siguiente: Ascendidos á tenientes generales ios gefes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t>
  </si>
  <si>
    <t>Adrada, Manuel de</t>
  </si>
  <si>
    <t>Manuel de Adrada</t>
  </si>
  <si>
    <t>Gaceta de Madrid n.º 83</t>
  </si>
  <si>
    <t>…8 de Junio. El i.° del corriente fue admitida á cumplimentar á S. M. por su feliz restitución al trono una diputación de la. villa de Arenas, compuesta de Don Manuel de la Peña y D. Manuel de Adrada: el primero de los quales, qo&lt;■mo alcalde, dfxo: ' ^ c ... ’ . ,.Señor: la villa de Arenaste S. Pedro, en la provincia de Toledo , que -en el mes de 'Febrero del año)de r8o9 * para acreditar su lealtad y adhesión á la causa de Vi. M. opuso sus débiles fuerzas…</t>
  </si>
  <si>
    <t>Adriano</t>
  </si>
  <si>
    <t>Gazeta de la Regencia de las Españas n.º 41</t>
  </si>
  <si>
    <t>…s , que se hábiáñ curado ya. La pérdídá dé este 8.° regimiento ha consistido en-2 5 muertos, inclusos quátro artilleros; •y en 23 heridos, entre ios que se hallan los subtenientes D. Adriano &amp;ar-_ deta, de la quinta compañía,:y D. Eloy López, de la sexta, con tres a'rti-* ileros; pudiendo asegurar a V. S. que todos ios señores oficiales y soldados han desempeñado sus respectivas obligaciones Á mi satisfacción, y que tos ayudantes de V. S. D. Juan…</t>
  </si>
  <si>
    <t>Adriarola, Diego</t>
  </si>
  <si>
    <t>Diego Adriarola</t>
  </si>
  <si>
    <t>Gaceta de Madrid n.º 134</t>
  </si>
  <si>
    <t>…Nepomuceno Lavalle, y subtenientes de bandera á D. Pedro Benitez y D. Francisco Calderón. En el de infantería de Valdivia sargento mayor á D. Lucas Ambrosio de Molina; capitanes á D. Diego Adriarola y D. Esteban de Albarracin; te nientes á D. Antonio Adriasola, D. Juan de Dios González, D. Francisco Buenrostro, D. Rafael Barril y D. Manuel de Lorca ; subtenientes á Don Santiago Asen jo, D. Domingo Ulloa y D. José Justo Flores y D.-Anselmo Carabantes, y subtenientes de bandera á D.…</t>
  </si>
  <si>
    <t>Adriasola, Antonio</t>
  </si>
  <si>
    <t>Antonio Adriasola</t>
  </si>
  <si>
    <t>…itez y D. Francisco Calderón. En el de infantería de Valdivia sargento mayor á D. Lucas Ambrosio de Molina; capitanes á D. Diego Adriarola y D. Esteban de Albarracin; te nientes á D. Antonio Adriasola, D. Juan de Dios González, D. Francisco Buenrostro, D. Rafael Barril y D. Manuel de Lorca ; subtenientes á Don Santiago Asen jo, D. Domingo Ulloa y D. José Justo Flores y D.-Anselmo Carabantes, y subtenientes de bandera á D. Juan Francisco Echeneguí y D. Migu…</t>
  </si>
  <si>
    <t>Adurriaga, Ramón María de</t>
  </si>
  <si>
    <t>Ramón María de Adurriaga</t>
  </si>
  <si>
    <t>Gaceta de Madrid n.º 76</t>
  </si>
  <si>
    <t>…salido para Francia. Madrid 23 de Mayo. El lunes 16 del corriente besaron la mano y cumplimentaron á S. Mi, á nombre de su cabildo,D. Tomas Lapeña,D. Francisco Ventura de Palacio, D. Ramón María de Adurriaga y D. Eugenio Gómez Alfaro, canónigos de )a santa iglesia metropolitana de Burgos, el primero de los quales arengó á S. M. en los términos siguientes: „ Señor: el cabildo de vuestra iglesia metropolitana de Burgos tiene el honor de hacer presentes á V. M. ios justos sentimientos…</t>
  </si>
  <si>
    <t>Agar, Regente</t>
  </si>
  <si>
    <t>Regente Agar</t>
  </si>
  <si>
    <t>Gazeta de la Regencia de las Españas n.º 9</t>
  </si>
  <si>
    <t>…salón de Cortes la Regencia del Reyno á congratular al Congreso con motivo de su instalación en esta cor te; y habiendo ocupado S. A. el lugar correspondiente al pie de! trono, el señor Regente Agar (por indisposición del señor cardenal de Borbon ) pro nunció el sisuienté discurso: „ Señor: ,,En este dia afortunado, en que reunido el Congreso en la capital del imperio español, se presenta á la Europa ostentando el feliz suceso que han tenido los esfuerzo…</t>
  </si>
  <si>
    <t>Ages, Manuel</t>
  </si>
  <si>
    <t>Manuel Ages</t>
  </si>
  <si>
    <t>Gaceta de Madrid n.º 126</t>
  </si>
  <si>
    <t>…l diácono D. Bartolomé Manrique i-o: el coronel Don José Menaut 25: el capitán D. Santiago Agesta 25 : D. Cárlos Santos Gon zález 25: el capitán D. Francisco Valdes de Velasco 10: D. Manuel Ages ta y Otamendi 40: D. Diego Ovanguren 12 : D. Juan Baptista Echegaray,, administrador de tabacos, 6: D. José Ncdar 12: D. Santiago Chaves y Villota 6: D. Tomas Castillo 6; y D. José Antonio Salamanca, cura vi cario de Puquina, 12. Total 1126 pesos. Real cédula…</t>
  </si>
  <si>
    <t>Agesta, Santiago</t>
  </si>
  <si>
    <t>Santiago Agesta</t>
  </si>
  <si>
    <t>les, presbítero, 12: el diácono D. Bartolomé Manrique i-o: el coronel Don José Menaut 25: el capitán D. Santiago Agesta 25 : D. Cárlos Santos Gon zález 25: el capitán D. Francisco Valdes de Velasco 10: D. Manuel Ages ta y Otamendi 40: D. Diego Ovanguren 12 : D. Juan Baptista Echegaray,, administrador de tabacos, 6: D. José Ncdar 12: D. Santiago Chaves y Villota 6: D. Tomas Cas…</t>
  </si>
  <si>
    <t>Aguado, Antonio María</t>
  </si>
  <si>
    <t>Antonio María Aguado</t>
  </si>
  <si>
    <t>Gaceta de Madrid n.º 124</t>
  </si>
  <si>
    <t>…lesia y prosperidad de la Monarquía." Igualmente en este día tuvieron el honor de cumplimentar á S. M., y besar su Real mano á nombre de la villa de Esquivias sus dos comisionados D. Antonio María Aguado, oficial del archivo de la secretaría de Estado y del despacho de Marina, y D. Juan García, presbítero, naturales de aqifó11a villa; el primero de los quales arengó á S. M. en la forma siguiente: &gt; „Señor: la villa de Esquivias, una de ias del partido de Madr…</t>
  </si>
  <si>
    <t>Aguado, Fermin</t>
  </si>
  <si>
    <t>Fermin Aguado</t>
  </si>
  <si>
    <t>Gazeta de la Regencia de las Españas n.º 52</t>
  </si>
  <si>
    <t>…a, teniente de infantería de A! mansa; D. Manuel Starico, teniente del -i.°de Guadix; Jüan &gt;-Batitista Martínez y D. Asensio Rosique, alféreces de Navio; y á D. Fernando de Salas, D. Fermin Aguado y D. Carlos Benvenuti, cadetes del mismo real cuerpo. Por el correo de 8 del corriente desde Cádiz á Madrid se extravió un vale real de 300 pesos de la creación de f.° de Mayo de 1808 , con el número 483487; el que sepa de su paradero se servirá avisarlo en esta corte á D. Manuel…</t>
  </si>
  <si>
    <t>Aguado, Jesualdo José</t>
  </si>
  <si>
    <t>Jesualdo José Aguado</t>
  </si>
  <si>
    <t>…brase ona función de iglesia en acción de gracias al Todopode roso con ía solemnidad y magnificencia correspondiente. Para 'ello nom bró quatro comisarios, que lo fueron los Sres. D. Jesualdo José Aguado, beneficiado y cura propio de la parroquia de S. Nicolás de esta capital; el comisario de guerra de los reales exércitos D. José Felipe de Olive; el M. R. P. Fr. Miguel Pedreño, prior del convento de carmelitas calzados de esta ciudad; y el contador honorario…</t>
  </si>
  <si>
    <t>…por uno de sus individuos. Se dio» principio á la función cantando con la asistencia de una orquesta de 34 mú sicos un magnífico Te Deum» al qual se siguió la misa, que celebró el Sr. D. Jesualdo José Aguado, ya referido, y en la que predicó el Dr. Don Fernando Perez, cura de Sta. María , á quien la sociedad eligió para cele brar los prodigiosos objetos de esta festividad, declarándolo por esto su so cio nato. Lo numeroso del concurso que asistió á este acto reli…</t>
  </si>
  <si>
    <t>Agüádó, Patricio</t>
  </si>
  <si>
    <t>Patricio Agüádó</t>
  </si>
  <si>
    <t>Gazeta de la Regencia de las Españas n.º 6</t>
  </si>
  <si>
    <t>44</t>
  </si>
  <si>
    <t>44 d'etes D. Rafael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 Antonio Godinez, D.…</t>
  </si>
  <si>
    <t>Aguado, Vicente</t>
  </si>
  <si>
    <t>Vicente Aguado</t>
  </si>
  <si>
    <t>Gaceta de Madrid n.º 150</t>
  </si>
  <si>
    <t>…mo norte fixo, debería guiar á los discípulos de tan en vidiable escuela. Los que 'obtuvieron este premio fueron D. Diego Gires N iéto, D. Fructuoso' de Castro, D. José Aiatienzo, D. Vicente Aguado, D. Antonio Rodrigufez y D. Severiano García.' Los deinas discípulos fueron obiéqiítedo^'cop libros, cortaplumas y otros agasajos, por haberles conside rado a téáos dignos de prertiio; Por último él procuradorJsíndico D. Ansel mo Velo pronunció un elocuente d…</t>
  </si>
  <si>
    <t>Agüéis, Juan de Dios</t>
  </si>
  <si>
    <t>Juan de Dios Agüéis</t>
  </si>
  <si>
    <t>…por Ja citada escribanía , dentro del término de 3© dias, contados desde el día i?° del corriente mes, que se admitirán las que se hicieren. En virtud de providencia dt 1 Sr. Dr. D. Juan de Dios Agüéis?, alcaide m^yor de la ciudad de S. Ferntrdo, en expediente que sigue en su juzgado por la escriba nía del número de D. Bartolomé Canje Gómez-, áinstancia dd convento de reion* jas de la Enseñanza de la misma , sobre nombramiento de ^dministrador de ios bie ne…</t>
  </si>
  <si>
    <t>Agüero, Domingo</t>
  </si>
  <si>
    <t>Domingo Agüero</t>
  </si>
  <si>
    <t>…lvez, D. Miguel Josef de Ázanza , D, Gonzalo O-Farril, marquesa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 Alonso, D: Francisco Alonso, D. Antonio B…</t>
  </si>
  <si>
    <t>Aguila, Joaquín José</t>
  </si>
  <si>
    <t>Joaquín José Aguila</t>
  </si>
  <si>
    <t>312</t>
  </si>
  <si>
    <t>…Quaf teL general de Vichi 12 ’ de Marzo de T8i4.es Excmo. Sr. = Francisco de Copom y Navia.” En virtud de providencia, del señor juez, de-primera instancia de Ja/ ciudad de Cidí?. D. Joaquín José Aguila,r, abogado-de lo*.consejos nacionales/y de-sudlusíre colegio, y la presencia de E&gt;. Juan José Rubio, escribana público de su,: número, en los autos de testamentaría concursada de D. Anselmo González, vecino y.del comercio que Fué de la citada ciudad, su fecha…</t>
  </si>
  <si>
    <t>Aguilera, Bartolomé</t>
  </si>
  <si>
    <t>Bartolomé Aguilera</t>
  </si>
  <si>
    <t>instrucción de S. Fernando; D. Bartolomé Aguilera, teniente de infantería de A! mansa; D. Manuel Starico, teniente del -i.°de Guadix; Jüan &gt;-Batitista Martínez y D. Asensio Rosique, alféreces de Navio; y á D. Fernando de Salas, D. Fermin Aguado y D. Carlos Benvenuti, cadetes del mismo real cuerpo. Por el cor…</t>
  </si>
  <si>
    <t>Aguirre</t>
  </si>
  <si>
    <t>Gazeta de la Regencia de las Españas n.º 50</t>
  </si>
  <si>
    <t>…cribe con fecha del 28, y al efecto se traslada el siguiente párrafo de ella. Jamas tendré expresiones oportunas para ponderarla bizarría de los dra gones fieles del Potosí con su comandante Aguirre y oficiales. Estos valientes, penetrando por los fuegos de la infantería enemiga para petada per dos costados, atravesaron el campo enemigo; y habiendo plegado á la tienda de Morelos, hirieron de muerte á su confesor el brigadier bachi ller Migue) Gómez, cura…</t>
  </si>
  <si>
    <t>Aguirre, Juan Francisco</t>
  </si>
  <si>
    <t>Juan Francisco Aguirre</t>
  </si>
  <si>
    <t>Gaceta de Madrid n.º 74</t>
  </si>
  <si>
    <t>…tancia /D. Ignacio Campesino Guerra ha señalado para el diavi6.de Junio próximo á la hora de las ocho de su mañana en su posa da, calle de la Abada, junta general de acreedores de D. Juan Francisco Aguirre, irecino y del comercio de esta corte, y que se les haga saber por este anuncio al público para que concurran por sí ó personas que diputen con las correspondientes facultades; en inteligencia de que á los que no asistiesen les parará todo perjuicio la resolu…</t>
  </si>
  <si>
    <t>Aguirre, MarLelino de</t>
  </si>
  <si>
    <t>MarLelino de Aguirre</t>
  </si>
  <si>
    <t>Gazeta de la Regencia de las Españas n.º 27</t>
  </si>
  <si>
    <t>203</t>
  </si>
  <si>
    <t>…d; pero como en este intermedio se hur biese maltratado mucho el calzado de la tropa,^.y el comisario no se hallase con fondos para facilitar sino 40 pares de zapatos, el patriota D. MarLelino de Aguirre, vecino de aquelh ciudad, dispuso que á su costa se compusie sen los restantes; de modo que salió la tropa con un calzado regular. Hallándose en la misma necesidad quando llegaron á Oviedo, fueron so corridos, porque los señores gefe políuco y gobernador con…</t>
  </si>
  <si>
    <t>Aguirre, Pablo Jesús</t>
  </si>
  <si>
    <t>Pablo Jesús Aguirre</t>
  </si>
  <si>
    <t>…'et primefo dixo*. , '1 y,Señor: el Dr; D- José Ortte de Pinedo, vicario, visitador juez eclesiás tico de la ciudad de Aicáraz y su‘ partido, por sí y i nombre de su tribu nal , y D. Pablo Jesús Aguirre, beneficiado de la parroquial de Sta. María de la misma ciudad, comisionado por el cabildo eclesiástico de ella, se presentaniá L. R. P-. de V. M.-para felicitarle; por su deseado advenimiento al trono de sus mayores; ■' '-;zj u • .■. ¿i .:&lt;• • „Señor: el tri…</t>
  </si>
  <si>
    <t>Agustín</t>
  </si>
  <si>
    <t>Gaceta de Madrid n.º 78</t>
  </si>
  <si>
    <t>…bloqueo y demas ocurrencias de este largo y penoso servicio. Madrid 27 de Mayo. El tónes 16 del corriente besaron Ja mano y cumplimentaron á S. M. en nombre de su obispo y cabildo D. Agustín de los Arcos, D. Manuel de Espejo y Pinar, canónigos, y D. Migue! de Testa, prebendado de la santa iglesia de Córdoba, el primero de los quales arengó á S. M. en los términos siguientes: ,,Señor: el obispo de Córdoba, que hasta obtener el permiso y licencia d…</t>
  </si>
  <si>
    <t>Agustin</t>
  </si>
  <si>
    <t>…éS?villa, vacante por fallecimiento de D. Francisco Bergutzas, a D. 1 e^ro Gar cía Coronel; para el priorato y canongía de la.iglesia cateara! de SMamancg, . vacante por muerte de D. Agustin de los Arcos y Enema, a i&gt;. Alexo.üui- Hen;'para él arcédianato titular de la santa iglesia metropolitana de hurgo, vacante por muerte de D. José Marrón, y por haber fallecido D. Ignacio ■ Aíóñ'sóBügedo J nombrado para él, artes de tomar posesión, a:D. Atexar…</t>
  </si>
  <si>
    <t>…ré'tor del sagrario de ídem, 24: D. Juan José de Cáceres, teniente de ídem, 4: D. Mariano Rodríguez, capellán de coro de idem, 6: el Lie. D. José Manuel del Pino, idem de idem, 2: D. Agustín de la Gala, idem dé idem, 4: el Dr. D. Juan d e Ta Cruz Eurrazquin , cura de Characato, 50: D. Antonio Tamayo, ídem de Sachaca, 10: el Dr. D. Manuei Mora</t>
  </si>
  <si>
    <t>Ahufieí</t>
  </si>
  <si>
    <t>…n dirección á Brienne por el mi no de Dien vine, y la segunda hacia el pueblo de La-Rothiere. El cuerpo del general conde Giulay formaba la reserva de la primera columna, y el del general Ahufieí la de la segunda. Las cardias y coraceros rusos debían formar la reserva de todo el exército en las alturas que hay entre Eclance y Trannes. El principe real de Wurtemberg recibid orden de marchar desde Eclan ce á Chaumenil, dexando á la derecha de nuestra po…</t>
  </si>
  <si>
    <t>Aíar.con, Manuel de Castro.y</t>
  </si>
  <si>
    <t>Manuel de Castro.y Aíar.con</t>
  </si>
  <si>
    <t>Gaceta de Madrid n.º 167</t>
  </si>
  <si>
    <t>2270</t>
  </si>
  <si>
    <t>…Marín y Llabuca, á D. Rafael Ferraz: para el medio beneficio rural de Butarque y Obera, en el arzobispado de Toledo, vacante por fallecimiento de D. Francisco de Paula Scuditi, á D. Manuel de Castro.y Aíar.con.: Igualmente accediendo á ia solicitud del patriarca de las Indias, obispo.de Órihuela , ha venido- S. M; en consignar á favor d«d presbítero 0. José Antonio Prco la pendón de ^12042 rs-. de vn¿ que Tobre los frutoá y reñías de la misma mitra de Orihuela goza…</t>
  </si>
  <si>
    <t>Aiatienzo, José</t>
  </si>
  <si>
    <t>José Aiatienzo</t>
  </si>
  <si>
    <t>…ai mérito, que, como norte fixo, debería guiar á los discípulos de tan en vidiable escuela. Los que 'obtuvieron este premio fueron D. Diego Gires N iéto, D. Fructuoso' de Castro, D. José Aiatienzo, D. Vicente Aguado, D. Antonio Rodrigufez y D. Severiano García.' Los deinas discípulos fueron obiéqiítedo^'cop libros, cortaplumas y otros agasajos, por haberles conside rado a téáos dignos de prertiio; Por último él procuradorJsíndico D. Ansel mo Velo pronu…</t>
  </si>
  <si>
    <t>Aiava, Ignacio María</t>
  </si>
  <si>
    <t>Ignacio María Aiava</t>
  </si>
  <si>
    <t>…enerales de la ar mada el bayiío Fr. D. Antonio Valdés y D. Félix de Texada, para que asis tan á las sesiones quando el estado de su salud se lo permita: á ios tenientes generales D. Ignacio María Aiava, D. Juan María Villavicen^io , Don</t>
  </si>
  <si>
    <t>Aícaraz, Francisco López de</t>
  </si>
  <si>
    <t>Francisco López de Aícaraz</t>
  </si>
  <si>
    <t>…ínez de Bustos; D. Felipe de Córdoba; D. Ma nuel Pérez de Lema; D. Ignacio Rodríguez de Ribas; D. Víctor. Soret, Tesorero general; D. Pascual Dávila; Contador general de Millones; Don Francisco López de Aícaraz, y D. Jacobo de Parga y Puga. Fiscales. D. Manuel de Lartiga, y D. Bernardo Mozo Rosales. Secretarios. D. Marcelo de Ondarza, de Gobierno; y D. Alfonso de Ibarra, de MiUoiies. Ministros del Tribunal de Contaduría mayor. D. Pedro Regalado-de Garro; Marques de…</t>
  </si>
  <si>
    <t>Aidini</t>
  </si>
  <si>
    <t>Gaceta de Madrid n.º 99</t>
  </si>
  <si>
    <t>…los campos Eüseos en el palacio de M. de Marescalchi, que acaba de comprar el emperador de Austria. Según las noticias recibidas últimamente de Italia se sabe de seguro de que el caballero Aidini irá á Viena para asistir al congreso, según propuesta del emperador de Austria. ESPAÑA. México i* de Marzo. * B! brigadier y comandante general del exército del Sur JD. Ramón JDiaz de O *tega ha remitido d esta superioridad el siguiente parte. Mi general: con…</t>
  </si>
  <si>
    <t>Aieiláno, Domingo Ramírez de</t>
  </si>
  <si>
    <t>Domingo Ramírez de Aieiláno</t>
  </si>
  <si>
    <t>…ruces pensionadas de la Real y distinguida orden española de Cárlos III, Al conde de Viílapaterna, mayordomo de semana; D. Manuel de Pa lomera , secretario de la mayordomía mayor; D. Domingo Ramírez de Aieiláno, y D. Isidoro Montenegro^ gentileshombres de cámara con entrada. Asimismo se ha servido S. M. promover en este día á capitán general de sus Reales exércitos'al teniente general marques de San Simón. &gt; A tenientes generales á los mariscales de campo marques de…</t>
  </si>
  <si>
    <t>Aiékándte’</t>
  </si>
  <si>
    <t>Gaceta de Madrid n.º 155</t>
  </si>
  <si>
    <t>…b Moriíi^ vmariscal decampo de'’lo^'féeáilés, étféircitosy D. Manuel Viíialb^.,i teniente' de rey ^V brig'adiér 'de ddi^R&amp;ales éxétcitos , el ti¿áríquésT de Safts Miguel de Grox y D. Aiékándte’ dfc^V'íctqri'áyáríacstrante de la Real de^ Seviha; comisionados ptír;;lá‘'titfí&amp;idPké' ^rfcfcéñtárón^i cumplimeñ-5 rartar áá 55.S M.; ptonunciando'él1 príñie'ró’él díscui9^ sTgúiéhte: fe ' ' 1 ■ ,, Señ^reñóry la ‘M; ‘NaA? cortes, acaba de recibir de* VV ífe M…</t>
  </si>
  <si>
    <t>Aiexandro</t>
  </si>
  <si>
    <t>…ta.^—Pa rece que no es un secreto el deseo que tiene el Príncipe Regente de que el matrimonio del príncipe de Orange con la princesa Carlota de G iles se ce lebre en presencia del emperador Aiexandro y del rey Prusia. Hace mu cho tiempo que se espera en las Cámaras del parlamento un mensage sobre este matrimonio. En la gran función que el Príncipe Regente debe dar al emperador Ale jandro y al rey de Pru ia, se verán en la mesa del banquete dos águilas de…</t>
  </si>
  <si>
    <t>Gaceta de Madrid n.º 157</t>
  </si>
  <si>
    <t>…oviembre. Entre los grandes políticos que se hallan aquí, el que goza de mas crédi to es el barón de Stein, cuyo talento y actividad tienen la mayor influencia en los negocios. El emperador Aiexandro dicen que le distingue particular mente. Según se dice, las diferencias que había entre el príncipe T^lleyrand Perigord y el lord Ca tlreagh están enteramente arregladas; con lo qual po drá este ocupare enteramente en las negociaciones que existen entre él y…</t>
  </si>
  <si>
    <t>Aiiué, Pedro Satué y</t>
  </si>
  <si>
    <t>Pedro Satué y Aiiué</t>
  </si>
  <si>
    <t>Gaceta de Madrid n.º 149</t>
  </si>
  <si>
    <t>…el bien pú blico, que le hacen tan recomendable. ESPAÑA. Madrid 7 de Noviembre. El día 4 de Agosto último tuvieron la honra de cumplimentar á S. M. y AA. los Sres. Infantes el Dr. D. Pedro Satué y Aiiué, abad y canooigo electo de la insigne colegial iglesia de Zafra; el Excmo. Sr* teniente general marques de Monsalú, gentilhombre del Sr. Infante D. Carlos; D. Cayetano Rubio y D. Juan Larriba, como diputados del ayuntamiento y corporacio nes de la villa de Za…</t>
  </si>
  <si>
    <t>Aijbillos, Vicente Ruiz</t>
  </si>
  <si>
    <t>Vicente Ruiz Aijbillos</t>
  </si>
  <si>
    <t>…AÁ. ei colector general de Espolios y vacantes 0. To mas Aparicio SantUi, deán y canónigo de la iglesia catedral de CiudadRodrigo, D. Juan Losada y Calderón, canónigo fabriquero, D. Vicente Ruiz Aijbillos, doctoral, y 0. José Sánchez del Caso, canónigo, comisiona0$$'todos por el cabildo de la expresada iglesia; de los quales el primero di vo el discurso siguiente : . ' „ Señor: el cabildo de la santa iglesia catedral de Ciudad-Rodrigof cons tante por principio…</t>
  </si>
  <si>
    <t>Aimazan, Joaquín</t>
  </si>
  <si>
    <t>Joaquín Aimazan</t>
  </si>
  <si>
    <t>2200</t>
  </si>
  <si>
    <t>…M. admi tir el expresado donativo como una prueba de amor á ;su Real Persona, mandando que se le den por ello las gracias, y se publique en la gaceta. En virtud de providencia del Sr. D. Joaquín Aimazan, del consejo de S. M., teniente corregidor de esta heroica villa, se cita , llama y emplaza á todas y qualesquiera personas que se crean con derecho á los bienes quedados por el falleci miento abintestato de D. Pedrq Marcos, Vecino y maestro de coches que fue…</t>
  </si>
  <si>
    <t>Aíqr</t>
  </si>
  <si>
    <t>…isioneros, retirándose los demas. en. un completo desorden. El arrojo de nuestrasjropas y. su, total decisión hicieron que nuestra pérdida fuese de muy poca^consecuencia. _ -,. El general Aíqr i ijpr, elogia, en grado.eminente la conducta de sus tropas^ y recomienda mfiy ,part4cularmen-t^ á, los comandantes de la columna dé ca zadores el coronel [D.; Aqtpnio ,Cano y el teniente coronel D&gt; Miguel de la Torre; al capitán de la legión Extremeña D. Aug…</t>
  </si>
  <si>
    <t>Aiquier</t>
  </si>
  <si>
    <t>Gazeta de la Regencia de las Españas n.º 22</t>
  </si>
  <si>
    <t>…omisario de guerra Francisco Oregaud, enviado por el príncipe de Eckmiihl, llegó á los pues tos avanzados dinamarqueses y á Copenhague con las instrucciones de su gobierno para el barón Aiquier. Al general Lallemand se le esperaba en ca sa de los ministros de Francia. La orden de echar á piqne á tocios los corsa rios se ha revocado en la marina sueca. Estos piratas han hecho mucho da ño en el Báltico al comercio de los ingleses, rusos, prusianos y s…</t>
  </si>
  <si>
    <t>AIrarez, Agustina</t>
  </si>
  <si>
    <t>Agustina AIrarez</t>
  </si>
  <si>
    <t>…ales por el correo franco de porte al escribano de ayuntamiento; en inteligencia de que entrambas plazas han de darse dentro de 1.5. dias. , La persona que supiere del paradero de Doña Agustina AIrarez, natural del lugar de Pinarejos, del obispado de Segovia, ó el de sus hijos Lorenzo y Vicenta Vega, se servirá avisarlo á D. Juan Manuel Marcos, cura párroco del mismo pueblo. Carta segunda al Dr. D. Antonio José Ruiz de Padrón, ex.ministro calificado del ext…</t>
  </si>
  <si>
    <t>Aizolares, Josefa Joaquina de</t>
  </si>
  <si>
    <t>Josefa Joaquina de Aizolares</t>
  </si>
  <si>
    <t>Actuación administrativa o judicial</t>
  </si>
  <si>
    <t>2140</t>
  </si>
  <si>
    <t>…ta y Galdona, D. Vicente Antonio Echaniz, Doña Francisca Xaviera Galdón», Don Joaquín Diego de Saracoiz, Doña María Concepción Antonia de Umendia, D. Vi cente Joaquín de Barrutia, Doña Josefa Joaquina de Aizolares, D. Joaquiu María ¡BarróeVi , Doña María Teresa Faraudo, Doña María Antonia de Goycneche é Indaburu, con el citado consulado de Cádiz sobre paga de los réditos de los capita les qde le prestaron sus causantes ; y como hallándose estos autos suspensos, hecho y…</t>
  </si>
  <si>
    <t>Ajan, Francisco</t>
  </si>
  <si>
    <t>Francisco Ajan</t>
  </si>
  <si>
    <t>Edición extraordinaria</t>
  </si>
  <si>
    <t>Gazeta de la Regencia de las Españas n.º 60 (extraordinaria)</t>
  </si>
  <si>
    <t>…t, capitán del ó.° de Marina. D. Fermín Sollozo, teniente de id. D. Francisco Xavier Pialanzat, teniente coronel de voluntarios.de la Carona, D.*Mapuel José Pii^a, teniente de id. D. Francisco Ajan &gt; subtenienteid., D^Jos# Moreno, ayudante del de Oviedo. D. Pedro María Fernandez/ teniente de id. D. José Castañon, subteniente de ud. D. José Gómez, s.uStjménte.;dé Laredo. D. Leonardo Sicilia, coronel de tiradores de Cantabria. .©..Pascual Perez Lazarraga,…</t>
  </si>
  <si>
    <t>Al, Antonio</t>
  </si>
  <si>
    <t>Antonio Al</t>
  </si>
  <si>
    <t>…cuencia del Real De creto de esta fecha. Ministros Togados. D. Josef Perez Caballero; D. Josef de Ibarra ; D. Sancho de Llamas;D. Pedro Nicolás del Aballe; O. Tadeo Segundo Gómez; D. Antonio Al calá Galiano; D. Jayme Aivarez de Mendieta,y D. Juan Antonia Fernan dez de Quesada. Ministros de Capa y Espada■. D. Pantalecn de Beramendi; Conde de Lereua; D. Víctor Rascón .Cor nejo, Contador general de Valores; D. Luis Gacel, Contador general de la D ¡stri…</t>
  </si>
  <si>
    <t>Al, José</t>
  </si>
  <si>
    <t>José Al</t>
  </si>
  <si>
    <t>PDF p. 12</t>
  </si>
  <si>
    <t>…dicho Sr. D. Lorenzo Ruiz de Robles á justificar el derecho que pueda corrcsponderles .en I^testam^ntaría de D? Manuel Carlos Bahamonde, que penden eii su juzgado, y escribanía de D. José Al vare z Perez. Lo$ subscriptores á las, ideas sueltas sobre la cleticia militar por él coronel Don Juan Shnchéz Cisneros, se servirán acudir á rebocar la obra 'én' .Valencia, casa de D. yicente Beneito, del comercio de "libros í fréhte la real audiencia, donde…</t>
  </si>
  <si>
    <t>Al, Vicente</t>
  </si>
  <si>
    <t>Vicente Al</t>
  </si>
  <si>
    <t>…acias al referido D. Cecilio de Regules, y se le manifieste, lo grata que -ha sido á S. M. una demostración tan generosa. r Informe que hizo á la junta central el difunto tesorero general D. Vicente Al calá Gal,ano sobre el decreto en que se mandaron suprimir las rentas provincia?les, v las representaciones qiie hizo el mismo autor para qué se Je. permitiese su .publicación/ Se vende á i i rs. en la librería de Perez, c^lle de Carretas. EN IjV IMPRENTA REAL…</t>
  </si>
  <si>
    <t>Ala, Miguel Ricardo de</t>
  </si>
  <si>
    <t>Miguel Ricardo de Ala</t>
  </si>
  <si>
    <t>Gaceta de Madrid n.º 165</t>
  </si>
  <si>
    <t>…o de la provincia de Alava, que entre otras cosas previe ne lo siguiente: También ha tenido el Rey presente las causas que motivaron el auto de arresto contra el mariscal de campo D. Miguel Ricardo de Ala va , y advierte que de ninguna de ellas resulta motivo justo para su prisión» ni que después aparece por las que han sobrevenido; y como S. M. no pue da ni deba consentir que ninguno de sus vasallos padezca injustamente, se ha servido mandar que inmediatament…</t>
  </si>
  <si>
    <t>Alagon, Gregorio</t>
  </si>
  <si>
    <t>Gregorio Alagon</t>
  </si>
  <si>
    <t>Gaceta de Madrid n.º 107</t>
  </si>
  <si>
    <t>…Darquea. En el de milicias urbanas de infantería de Abancay el empleo de sar gento mayor al capitán de granaderos D. José Santos; y compañías á los tenientes D. Mariano González, D. Gregorio Alagon, D. Mariano Cevallos y D. José Fernandez Peredo. En el de Chachapoyas subtenencia de bandera al sargento primero Don Diego Roldan. En el de León de Huanuco compañía de granaderos al de fusileros Don Francisco Ingunza: compañías de fusileros á los tenientes D.…</t>
  </si>
  <si>
    <t>Alaminos, Juan Quesada</t>
  </si>
  <si>
    <t>Juan Quesada Alaminos</t>
  </si>
  <si>
    <t>…amón Gascón, D. Patricio Agüádó, D. JosefLacarirera,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continuos desvaios de sus gefes y profesores,…</t>
  </si>
  <si>
    <t>Alarcon, Manuel</t>
  </si>
  <si>
    <t>Manuel Alarcon</t>
  </si>
  <si>
    <t>…sos» tienen recíprocamente; y en la demostración de estas verdades va implícita la destrucción del sistema de Quesnay y demas economistas franceses.” Y también verifico lo propio D. Manuel Alarcon sobre este teorema: ^Fomentando y protegiendo el estudio de la ciencia del cáiculo y las na turales se conseguirá la perfección de las artes que depended dé ellas*, los productos de la industria nacional lograrán entonces poder concurrir con los de la extrang…</t>
  </si>
  <si>
    <t>Alarcpn, Facundo</t>
  </si>
  <si>
    <t>Facundo Alarcpn</t>
  </si>
  <si>
    <t>Gazeta de la Regencia de las Españas n.º 38</t>
  </si>
  <si>
    <t>…de bala rasa y granada á una pequeña columna de enemigos protegidos de la Tenaza, que ios hicimos dispersar. El regimiento- de Molina, de mi divi sión, según parte que ha dado su coronel D. Facundo Alarcpn, ha tenido tres heridos, y un fusil partido por una bala de cañón, teniéndolo,un solda do al hombro, sin que este 'haya recibido la menor lesión. La caballería de cazadores de Madrid también se adelantó conmigo para proteger la artillería. Y finalmente, Excmo…</t>
  </si>
  <si>
    <t>Alava</t>
  </si>
  <si>
    <t>…l arrerto del expresado gene ral D. Miguel Ricardo de Alava, á consecuencia del exhorto que le pasó el referido diputado D. Nicasio Josef de Velasco, y sea la Real voluntad que el general Alava no sufra por mas tiempo la prisión injusta que padece, y en perjuicio de su buen nombre y concepto, me mandaS. M. que inmedia tamente lo ponga en noticia de V. E., para que cuide tengan cumplido efecto las Reales resoluciones, haciéndolo saber sin demora al d…</t>
  </si>
  <si>
    <t>Alava, Miguei Ricardo de</t>
  </si>
  <si>
    <t>Miguei Ricardo de Alava</t>
  </si>
  <si>
    <t>Gazeta de la Regencia de las Españas n.º 10</t>
  </si>
  <si>
    <t>73</t>
  </si>
  <si>
    <t>…gratas y lisonjeras. - Han pasado por Daroca, dirigiéndose.á Madrid, los cuerpos de infante ría Princesa y Soria, destinados de guarnición á aquella capital. El mariscal de campo D. Miguei Ricardo de Alava ha pasado un oficio al procurador síndico general de la ciudad de Vitoria, participándole que el duque de Ciudad-Rodrigo, condescendiendo con los deseos de dicha ciu dad, había dado orden para que se entregase á su disposición el canon de nominado el Dragón,…</t>
  </si>
  <si>
    <t>Alava, Miguel de</t>
  </si>
  <si>
    <t>Miguel de Alava</t>
  </si>
  <si>
    <t>Gazeta de la Regencia de las Españas n.º 34 (extraordinaria)</t>
  </si>
  <si>
    <t>…general sir G. Pakenhan por la asistencia que me prestaron en este dia, como también al lord Fitz Roy Somerset, á los oficiales de mi estado mayor personaly y al mariscal de campó D. Miguel de Alava. Las últimas noticias que he recibido de Cataluña son del 20 de Febrero. Los comandantes franceses de Lérida, Mequinenza y Monzón habían evacuado aquellas plazas en virtud de una Óvden que les envió el barón de Jtrolesy* escrita con la cifra del mariscal Such…</t>
  </si>
  <si>
    <t>Alava, Miguel Ricardo de</t>
  </si>
  <si>
    <t>Miguel Ricardo de Alava</t>
  </si>
  <si>
    <t>…y que considerándole como á fiel servidor de su Soberano, le tendrá presente para las gracias á que le crea digno. Como V. E&gt;. fue quien executó el arrerto del expresado gene ral D. Miguel Ricardo de Alava, á consecuencia del exhorto que le pasó el referido diputado D. Nicasio Josef de Velasco, y sea la Real voluntad que el general Alava no sufra por mas tiempo la prisión injusta que padece, y en perjuicio de su buen nombre y concepto, me mandaS. M. que inmedia…</t>
  </si>
  <si>
    <t>Aláya</t>
  </si>
  <si>
    <t>Gazeta de la Regencia de las Españas n.º 33</t>
  </si>
  <si>
    <t>…errotado Soult ,'y su exército puesto eñ dispersión se retiraba hacia Burdeos, en cu ya i|i»eccion le perseguía el Lord , á besar de haber1 sido levemente heri do^ como también él general Aláya. rjo^e han recibido todavía noticias circunstanciadas de esta gloriosa victoria; pero se cuenta que hubo en ella un general ingles muerto, y otros dos ó tres heridos: que el número de franceses muertos pasa dé 3$, con mas de 900 prisioneros, y que perdie ron…</t>
  </si>
  <si>
    <t>Alba, Lorenzo Hernández</t>
  </si>
  <si>
    <t>Lorenzo Hernández Alba</t>
  </si>
  <si>
    <t>Gaceta de Madrid n.º 82</t>
  </si>
  <si>
    <t>622</t>
  </si>
  <si>
    <t>…ión de la real universidad de Toledo, compuesta de los doctores D. Ma nuel Hercilla, visitador eclesiástico de Madrid; de D, José García de la Torre, oidor de esta real audiencia; D. Lorenzo Hernández Alba, canóni go magistral de la santa iglesia primada de Toledo, y D. Alfonso Cavia, fiscal de artillería. El primero, como mas antiguo, pronunció e! discurso si guiente : „ Señor: la universidad de Toledo, que en el año de 1808 á la impe riosa voz de patria escla…</t>
  </si>
  <si>
    <t>Albacete, José</t>
  </si>
  <si>
    <t>José Albacete</t>
  </si>
  <si>
    <t>…i tantes de aquella ciudad. El 25 del mismo tuvieron también e! honor de presentarse y besar la real mano á S, M. y Sermos. Infantes el P. Mtro. D. Vicente Román y Lina res, el P. D. José Albacete y el P. D. Juan Langa, como comisionados del abad general de la congregación de canónigos reglares premonstratenses ; de los quales el primero dirigió á S. M. efdiscurso siguiente: „Señor: los canónigos reglarespremonstratenses,que tienen hoy el honor de pres…</t>
  </si>
  <si>
    <t>Albilios, Vicente Ruiz</t>
  </si>
  <si>
    <t>Vicente Ruiz Albilios</t>
  </si>
  <si>
    <t>Gaceta de Madrid n.º 98</t>
  </si>
  <si>
    <t>799</t>
  </si>
  <si>
    <t>…AA. el colector general de Espolios y vacantes D. To mas Aparicio Santin, deán y canónigo de la iglesia catedral de CiudadRodrigo, D. Juan Losada y Calderón, canónigo fabriquero, D. Vicente Ruiz Albilios, doctoral, y D. José Sánchez del Caso, canónigo , comisiona dos todos por el cabildo de la expresada iglesia; de los quales el primero dixo el discurso siguiente: „ Señor: el cabildo de la santa iglesia catedral de Ciudad-Rodrigo, cons tante por principios en…</t>
  </si>
  <si>
    <t>Albillos, Vicente Ruiz</t>
  </si>
  <si>
    <t>Vicente Ruiz Albillos</t>
  </si>
  <si>
    <t>Gazeta de la Regencia de las Españas n.º 28</t>
  </si>
  <si>
    <t>…igo. {Se continuará.) ■ ■ -------- —-----------------.....■■■ ARTICULO DE OFICIO. Las Cortes ordinarias, constituidas en su segunda legislatura, han nom brado por su presidente al Sr. D. Vicente Ruiz Albillos, diputado por la provincia de Salamanca; por více-presidente al Sr. D. Andrés Oller, dipu tado por la provincia de Cataluña; y por secretarios á les Sres. D. Manuel María Aldecoa, diputado por la provincia de Vizcaya; D. Blas Ostolaza por la del Perú ; D. Jua…</t>
  </si>
  <si>
    <t>Gaceta de Madrid n.º 109</t>
  </si>
  <si>
    <t>…Malcampo, en atención al zelo que ha manifestado por el socorro de los Santos Lugares, y demás apreciables circunstancias que reúne. Atendiendo S. M. á los servicios y méritos de D. Vicente Ruiz Albillos, canónigo doctoral de la santa iglesia de Ciudad Rodrigo, se ha servi do nombrarle juez del tribunal de la Rota de la Nunciatura apostólica e» esta corte, vacante por muerte de D. Evaristo Vejarano. D. Miguel Fernandez Portal, vecino de Puerto de Vega, ha hec…</t>
  </si>
  <si>
    <t>Albillos, Vicente Ruiz de</t>
  </si>
  <si>
    <t>Vicente Ruiz de Albillos</t>
  </si>
  <si>
    <t>Gaceta de Madrid n.º 138</t>
  </si>
  <si>
    <t>PDF p. 11</t>
  </si>
  <si>
    <t>…ara una plaza de la sala de al caldes de casa y corte á D. Ramón Satué: para otra de la misma sala á Don Vicente.......Cabero: para una plaza efectiva de juez auditor de la Rota á D. Vicente Ruiz de Albillos. Asimismo ha concedido S. M. gracia de capellanes de honor á D. Ma tías Vinuesa López de Alfaro; á D. Blas Ostoiaza, y á D. Alfonso Ximenez de Cisneros. Los honores del consejo de Hacienda á D. Manuel López de Araujo, á D. Francisco González Estéfani, á D. Fr…</t>
  </si>
  <si>
    <t>Albo, Joaquín de Helguero y</t>
  </si>
  <si>
    <t>Joaquín de Helguero y Albo</t>
  </si>
  <si>
    <t>Gaceta de Madrid n.º 108</t>
  </si>
  <si>
    <t>…Eusebio Arandia, D. Silverio Antonio del Pdao y D. José Sarmiento. En el esquadron de Pacasmayo tenencia al alférez D. José Leandro Zamora. En ei de Amotape compañía al teiliente D. Joaquín de Helguero y Albo. Y en el esquadron de milicias disciplinadas de dragones de Guayaquil compañías á los tenientes D. Sebastian Baquerizó y D. José Joaquín AviíéS; El cabildo de Toledo, deseoso de contribuir eri quánto ptieda a 1 alivió deias urgencias'd*el estado, que unto afl…</t>
  </si>
  <si>
    <t>Albornoz, Cristóbal Carrillo de</t>
  </si>
  <si>
    <t>Cristóbal Carrillo de Albornoz</t>
  </si>
  <si>
    <t>2076</t>
  </si>
  <si>
    <t>…enca, y la segunda por fallecimiento de D. Juan Tenaxas, á D. Luis Cabrejano. El Rey nuestro Señor se ha dignado admitir con agrado la oferta qué el prior cura párroco de Menjibar D. Cristóbal Carrillo de Albornoz y ,Goro' ha hecho de establecer en aquella villa un hospital provisional , en el que’ sean asistidos á sus expensas los militares enfermos que transiten por ella. Asimismo S. M. se ha dignado admitir el donativo que ha hecho un;etn* pleado de la Real Hacienda…</t>
  </si>
  <si>
    <t>Albuera, Beresford de</t>
  </si>
  <si>
    <t>Beresford de Albuera</t>
  </si>
  <si>
    <t>Gaceta de Madrid n.º 77</t>
  </si>
  <si>
    <t>llero igualmente de la orden del Baño - baxo del nombre, apellido y título de barón Beresford de Albuera. Por un tratado hecho entre las potencias aliadas en Chaumont el i.° de Marzo, se obligaron estas mutuamente á continuar la guerra con todo su poder, y las estipulaciones de esta alianza deben durar 20 años, obligándo se á dar 60® hombres cada una de ellas en…</t>
  </si>
  <si>
    <t>Alburquerque, Francisco de Paula de</t>
  </si>
  <si>
    <t>Francisco de Paula de Alburquerque</t>
  </si>
  <si>
    <t>Gazeta de la Regencia de las Españas n.º 47</t>
  </si>
  <si>
    <t>…porfía’se disputaban el ries go: asi recomiendo á todos generalmente, sin que dexe de hacerlo en parti cular con el coronel D. Miguel Correa y el ayudante de la segunda divisiort D. Francisco de Paula de Alburquerque, que fué el primero que llegó á la Altura batiendo con denuedo á los enemigos, y al señor teniente de vicario general D. Andrés Torrellas, que jamas ha desamparado mi lado, con mis ayudantes de campo D. Isidoro Quintero y D. Mariano Arcaya. Igualmen te has ac…</t>
  </si>
  <si>
    <t>Alcalá, Antonio Ruiz de</t>
  </si>
  <si>
    <t>Antonio Ruiz de Alcalá</t>
  </si>
  <si>
    <t>…itud, é inviolable su adhesión á la Persona y soberanía deV.M.” &lt;&lt;■ ¿ En el mismo diá se presento igualmente á felicitar al Rey nues tro Señor como diputado por la villa de Estepa D. Antonio Ruiz de Alcalá , relator' del supremo consejo de la Guerra ; el qual dirigiera Sí/ M. el discurso siguiente: 19 Señor: el ayuntamiento y vecinos-de la Viiía de'Estepa felicitan-á V. M.: le juran eterna fidelidad*; y ofrecen acreditar con las obras el amór'y lealtad' qué pro…</t>
  </si>
  <si>
    <t>Alcántara, José</t>
  </si>
  <si>
    <t>José Alcántara</t>
  </si>
  <si>
    <t>Gaceta de Madrid n.º 122</t>
  </si>
  <si>
    <t>…el honor de cumplimentar y besar la mano de S M* y A A. la diputación del ayuntamiento y clero de la villa - de Archidonacompuesta de D. Miguel Sánchez de la Fuente, regidor, y de D. José Alcántara, presbítero;, la que filé presentada por el Excmo. Sr* duque de O:una, quien dirigió á S. M. el discurso siguiente: », Señor: U villa de Archidona , cuya diputación presento á V. M., vie ne hoy á ofrecerle el homenage respetuoso de su amor, de su lealtad y de…</t>
  </si>
  <si>
    <t>Alcayde, Agustín</t>
  </si>
  <si>
    <t>Agustín Alcayde</t>
  </si>
  <si>
    <t>suficientes para su remoción; se nombro para secretario primero al doctor y maestro en artes D. Agustín Alcayde, abogado, que lo es asimismo de la academia de nobles y bellas artes de S. Luis. Todos los socios están poseídos de los mas vivos deseos para cooperar á la prosperidad de tan útil é Ínteres sante establecimiento, y se dedican con incesantes tareas á organizar…</t>
  </si>
  <si>
    <t>Alcázar, Francisco</t>
  </si>
  <si>
    <t>Francisco Alcázar</t>
  </si>
  <si>
    <t>Gaceta de Madrid n.º 158</t>
  </si>
  <si>
    <t>…r y juez de letras de la ciudad de Sevilla, cumplimentada por el Sr. D. Fran cisco Assin, del consejo de S. M., teniente corregidor de esta villa, por la escri banía del número de D. Francisco Alcázar, se llama, cita y emplaza nuevamente á todos los parientes pobres de D. Sebastian Caballero Henriquez do Gazman, co mendador que fue de Aguilarejos en la orden de Santiago, y los de su muger Do ña Petronila de Saidival, para que en término preciso de 15 dias,…</t>
  </si>
  <si>
    <t>Alcedo, José Faustino</t>
  </si>
  <si>
    <t>José Faustino Alcedo</t>
  </si>
  <si>
    <t>Gaceta de Madrid n.º 136</t>
  </si>
  <si>
    <t>…ración de !a catedral de Orihuela, vacante por muerte de D. Gabriel Andu ez2: á D. Gerónimo Merino para una canongía de la metropolitana de Valencia, vacante por fallecimiento de D. José Faustino Alcedo: á D. Luis de Exarque para otra de la misma, vacante por muerte de D. Francisco Vailejo: á D. Manuel de Roa para otra de la misma iglesia, vacante por fa llecimiento de D. Francisco María Vich; y para otra canongía de la metro politana de Valencia , vacante p…</t>
  </si>
  <si>
    <t>Alcoba, Gaspar Carrasco y</t>
  </si>
  <si>
    <t>Gaspar Carrasco y Alcoba</t>
  </si>
  <si>
    <t>…r, Fernando de Iturmendi. El Rey se ha servido nombrar para la dignidad de prepósito de la igle sia colegial de Antequera, en el obispado de Malaga, vacante por falleci-!miento de D. Gaspar Carrasco y Alcoba, á D. José María de Miera , ca&lt;r pellan primero de la Real capilla parroquial del Real palacio de Aranjuez: para el arcedianato titular de la iglesia catedral de Segovia, que resultará vacante por promoción de D. José Azpey tia y Saenz de Santa María al obis…</t>
  </si>
  <si>
    <t>Alda, Santiago de Suso y</t>
  </si>
  <si>
    <t>Santiago de Suso y Alda</t>
  </si>
  <si>
    <t>700</t>
  </si>
  <si>
    <t>…lla, los Sres. D. Bonifacio Tos^ntos, lectoral de ia catedral de Sto. Domingo de la Calzada, D. Pablo Rniz de Labastida, ministro del tribunal de la Contaduría mayor de Cuentas, y Don Santiago de Suso y Alda, ex-corregidor de la ciudad de Logroño; el pri mero de los quales habló en los términos siguientes:/ „Señor: los comisionados por el cabi do eclesiástico y por la villa de Labastida en vuestra provincia de Alava para felicitar á V. M. por su feliz regreso al…</t>
  </si>
  <si>
    <t>Aldama, José de</t>
  </si>
  <si>
    <t>José de Aldama</t>
  </si>
  <si>
    <t>…or fallecimiento de D. Matías de Rebles, al Lmo. Sr. obispo de Orihuela, paniarca de las Indias: para una canongía de la iglesia catedral de Córdo ba, vacante por fallecimiento de D. José de Aldama , á D. José Urrutia, teniente vicario general del quano exército: para otra de la iglesia catedral de Sigiienza, vacante por muerte de D. Fernando Iscar, á D. Lope More no, cura párroco del lugar de B. lbacil, en la misma diócesis: para otra de la catedral de…</t>
  </si>
  <si>
    <t>Aldana, Antonio Vázquez de</t>
  </si>
  <si>
    <t>Antonio Vázquez de Aldana</t>
  </si>
  <si>
    <t>…su tierra, compuesta de los se ñores el Lie. D. Sebastian Antonio de Trias, alcaide primero D. Fernando Manteca, regidor decano; D: Matías Seco, procurador general de la. tierra; D. Antonio Vázquez de Aldana, oficial de la secretaría de Estado y,del despacho de Guerra, secretario de S. M. con exercicio de decretos, y caba-* llero de la real y distinguida orden española de Carlos m, y D. Manuel Pablo de Linage; de los quales el primero habló en estos términos: ,,…</t>
  </si>
  <si>
    <t>Aldao</t>
  </si>
  <si>
    <t>…ri las de los montes, multitud de heridos, de que han muerto ya algunos pasmados por la mucha agua-que cayó eo la misma tarde y su noche. • Entre los muertos se cuenta ai teniente coronel Aldao, con otro de la misma graduación, y aun se asegura cupo la misma suerte ai gefe de la expedición Valdés. También murió el capitán Manuel Coba, y el auditor y comisario , pues tenia ambos el licenciado Tomas Millano, con otros muchos oficiales de todas graduac…</t>
  </si>
  <si>
    <t>Aldea, Juan</t>
  </si>
  <si>
    <t>Juan Aldea</t>
  </si>
  <si>
    <t>Gaceta de Madrid n.º 80</t>
  </si>
  <si>
    <t>599</t>
  </si>
  <si>
    <t>…ra/’ Asimismo tuvo en este día la honra de presentarse á S. M. una comisión militar de la provincia de Zamora, compuesta del sargento mayor de aque lla plaza D. Joaquin Mexía, del capitán D. Juan Aldea y del subteniente D. José Piñeyro, del regimiento infantería de Compostela; quienes, des pués de haber tenido el honor de cumplimentar á S. M., entregaron en sti real mano varios documentos concernientes á su provincia. El dia 22 del mes próximo pasado* fuero…</t>
  </si>
  <si>
    <t>Aldecoa, Antonio</t>
  </si>
  <si>
    <t>Antonio Aldecoa</t>
  </si>
  <si>
    <t>Gazeta de la Regencia de las Españas n.º 40 (extraordinaria)</t>
  </si>
  <si>
    <t>…eo D. Juan, Doa, del oficial del mismo cuerpo D.‘ José Bermudez, del capitán agregado ai propio D. José Toyos, del capitán de ingenieros británico D. Juan Wells, del de artillería D. Antonio Aldecoa, que voluntariamente me acompañó en las operaciones de aquella noche sin tener aqui su destino...__Ig almente me acompañó ea ¡dicha noche el comandante de ingenieros del bloqueo D. Basilio Augusrin. Incluyo iet estado de pérdida.-__Lo traslado a V- S., á fin…</t>
  </si>
  <si>
    <t>Aldecoa, Manuel María</t>
  </si>
  <si>
    <t>Manuel María Aldecoa</t>
  </si>
  <si>
    <t>…D. Vicente Ruiz Albillos, diputado por la provincia de Salamanca; por více-presidente al Sr. D. Andrés Oller, dipu tado por la provincia de Cataluña; y por secretarios á les Sres. D. Manuel María Aldecoa, diputado por la provincia de Vizcaya; D. Blas Ostolaza por la del Perú ; D. Juan José Sánchez de la Torre por la de Búrgos, y Don Tadeo Joaquín Gárate por la del Perú. El señor duque de Ciudad-Rodrigo ha dirigido al señor secretario de Estado y del despacho…</t>
  </si>
  <si>
    <t>Aldecoa, Manuel María de</t>
  </si>
  <si>
    <t>Manuel María de Aldecoa</t>
  </si>
  <si>
    <t>208</t>
  </si>
  <si>
    <t>…las Ostolaza , dipu tado secretario. = Juan José Sánchez de la Torre , diputado secretario, ss Señor secretario interino del despacho de la Guerra/’ * 2.0 ,, Los señores diputados D. Manuel María de Aldecoa y D. Blas Os tolaza han cedido tas dietas que les correspondan en el mes en que llegue á esta capital el Sr. D. Fernando vil á beneficio del exército que tenga el honor de recibirle. De orden de las Cortes lo comunicamos á V. S. para in teligencia de la Regencia del Reyno…</t>
  </si>
  <si>
    <t>Ale</t>
  </si>
  <si>
    <t>…Aiexandro y del rey Prusia. Hace mu cho tiempo que se espera en las Cámaras del parlamento un mensage sobre este matrimonio. En la gran función que el Príncipe Regente debe dar al emperador Ale jandro y al rey de Pru ia, se verán en la mesa del banquete dos águilas de oro macizo del tamaño natural con las alas extendidas, y mirando á los pi dos que tienen á sus pies.</t>
  </si>
  <si>
    <t>Gaceta de Madrid n.º 105</t>
  </si>
  <si>
    <t>…no para los baños de Aix la archiduquesa María Luisa. Esperamos aquí al coronel Laharpe, que va á Viena, en donde perma necerá todo el tiempo que esté allí su ilustre discípulo el emperador Ale jandro. El gobierno del cantón de Berna hace preparativos militares, y organiza todas sus milicias de reserva. El gran consejo del cantón de Lucerna ha provisto los e ripíeos que ha bían quedado vacantes con motivo de la revolución que nos libró de nues tro m…</t>
  </si>
  <si>
    <t>Alegre, Agustín</t>
  </si>
  <si>
    <t>Agustín Alegre</t>
  </si>
  <si>
    <t>…al Exemo. Señor -'duque de Iíijar, marques de Ozoni, conde de Aráñday y por director se-1 gundo al señor canónigo D. José Sobrevía. En la elección de oficiales sé nombró censor al Sr. D. Agustín Alegre, abogado, alcalde primero consti tucional; contador al Sr. D. Antonio Herranat, y tesorero al Sr. D. Andrés 3Ma-riá , abogado. Declarada vacante Ik secretaría principal quedesempeñaba rD. Diego de Torres, contador que fue de la qtiarta división durafite-la dt…</t>
  </si>
  <si>
    <t>Alegría, Pedro López</t>
  </si>
  <si>
    <t>Pedro López Alegría</t>
  </si>
  <si>
    <t>…n Haro D. Manuel Fer nandez Mariaca; en Náxera el médico de ciudad; en Calahorra el de cabildo; en Pamplona D. Pedro Guardamíno, oficial primero del Crédito público, y en Vi toria D. Pedro López Alegría, calle de la Correría. Memoria geográfico-cconómico-política del departamento de Venezuela, por D. J osé María de Aurrecoechea. Se hallará en Cádiz en el puesto del Sol y en la librería de Font y Closas. En esta memoria, después de describir su autor el terri…</t>
  </si>
  <si>
    <t>Alejandro</t>
  </si>
  <si>
    <t>Gaceta de Madrid n.º 90</t>
  </si>
  <si>
    <t>…G igarino dixo quien era: entonces la gran duquesa salid á la escalera á recibirlor.y S. M. I., despuesde haberla saludado de la manera mas afectuosa, estrechó entre sus brazos al príncipe Alejandro, que es todavía niño. Poco después de haber llegado fue S. M* I. á visitar al Príncipe Regente, con quien permaneció juntamente con el Rey de Prusia mas de media hora. Es imposible expresar el entusiasmo que ha excitado la presencia del feld mariscal Biueher.…</t>
  </si>
  <si>
    <t>…nco de la mañana se avistaron una docena de buques que se dirigían á aquel puerto. Uña fragata que traía bandera imperial rusa se .aproximó á eso $ie las siete para desembarcar al emperador Alejandro y á la gran duquesa de Oidenburgo. M. Segur, coman dante del puerto, se presentó inmediatamente en la rada con una magnífica falúa para recibir á tan ilustres personages. Los buques ingleses saludaron, y correspondió 1* artillería de los fuertes. Las tropas e…</t>
  </si>
  <si>
    <t>Alemán, Juan Estéban</t>
  </si>
  <si>
    <t>Juan Estéban Alemán</t>
  </si>
  <si>
    <t>…ndo asegurar a V. S. que todos ios señores oficiales y soldados han desempeñado sus respectivas obligaciones Á mi satisfacción, y que tos ayudantes de V. S. D. Juan Ignacio Noain, D. Juan Estéban Alemán y D. Martin Laquidain han trabajado con tesón y eficacia en todo él tiétnpó que han permanecido. Los efectos encontrados en el fuerte consisten en quatro piezas de cañón , algunas municiones, una pequeña porción de tocino y ¿azúcar, con unos 80 cahíces de trigo de buena calidad, 4…</t>
  </si>
  <si>
    <t>Alexan-</t>
  </si>
  <si>
    <t>…el Real sitio de Aranfuez,. para que dentro del término de 20 dias , que por tres, y el último perentorio, se les concede , se presenten en este juzgado y escribanía del número de D. Alexan-1 dro Gutiérrez á contestar las pretensiones de los curiales que la han defendido ea ciertos pley‘tós que ha seguido en el mismo juzgado sobre la pertenenbia de una ca sa en el expresado Real sitio y otros, baxp el apercibimiento de que! pasado di cho término,…</t>
  </si>
  <si>
    <t>Alexandco</t>
  </si>
  <si>
    <t>…los pedidos de estos géneros. Nuestro cambio con Londres ha subido con tanta rapidez, que está hoy á 30, siendo asi que estaba á 26 hace 1$ dias. SAXONIA. Leipsick rp de Julio. El emperador Alexandco, í su paso por esta ciudad el día 16, conver-»</t>
  </si>
  <si>
    <t>Alexandro</t>
  </si>
  <si>
    <t>…tiva dé ha entradá dé los exércitos aliados en Francia: ahora tenemos la felicidad de ver en nuestro recinto á nuestro antiguo monarca el emperador Francisco. También está aqui el emperador Alexandro, y de un dia para otro se espera á S. M. el rey de Prusia , y con él á varios príncipes alemanes. PRUSIA. j Stettin 18 de Diciembre. El dia 5 se verificó la entrega de esta fortaleza según lo convenido en la capitulación. A las diez de la mañana salió la guar…</t>
  </si>
  <si>
    <t>Gazeta de la Regencia de las Españas n.º 17</t>
  </si>
  <si>
    <t>…quería capitular si le dexaban volver á Francia; pero se le negó. Se espera que el general Graham, luego que se apodere de Berg-opzoom, irá sobre Ambéres. Ha llegado una orden del emperador Alexandro para que se dirijan á Holanda 400 hombres de los de la esquadra rusa que está en Chatham.</t>
  </si>
  <si>
    <t>Gazeta de la Regencia de las Españas n.º 31</t>
  </si>
  <si>
    <t>236</t>
  </si>
  <si>
    <t>…acuerdo con este ha frustrado los desigr nios que tenia el enemigo de atacar cprt superiores fuerzas á un cuerpo se parado, consiguiendo al linda mas gloriosa victoria. . .» . El emperador Alexandro ha regalado al príncipe Schwartzenberg una espada en señal del alto aprecio que hace de su mérito. El general Wrede y el príncipe real de Wurtemberg han sido condecorados en el campo de batalla con la segunda clase del orden de S. Jorge • Nunca se ha manifest…</t>
  </si>
  <si>
    <t>…iente las reservas del exército, pasó S. M. I. el Rhin el 13 con S. M. el rey de Prusia. El emperador de.Austria, que había llegado á Basilea la tarde anterior, salió á recibir al emperador Alexandro á alguna distancia , y SS. MM. II. y RR. entraron en Basilea á caballo al frente de las guardias rusas y pru sianas y de algunos otros regimientos de reserva. Estas tropas desfilaron después como en parada delante de SS, MM., y avanzaron muchas leguas en dire…</t>
  </si>
  <si>
    <t>Gazeta de la Regencia de las Españas n.º 23</t>
  </si>
  <si>
    <t>…stó que se creta con derecho á la capitulación que había fir mado, y que asi entregaría ia plaza el i.° de Enero, confiando la suerte de su persona y de la guarnición ah honor del:emperador Alexandro. ‘; %, FRANCIA. San Juan de Luz ii de Febrero. Nada se «abe absolutamente de Bayona, desde donde hace tres días no llega nadie, sin duda porque habrán tomado precauciones, por hallarse en es tas cercarías el duque de Angulema. Según dice una persona que ha ll…</t>
  </si>
  <si>
    <t>Gazeta de la Regencia de las Españas n.º 37</t>
  </si>
  <si>
    <t>…el general está en Nanuir, forma el centro. Este general se ha apoderado ya de las ciuda des de. Mons, Avennes y Rbejms, cuyas llaves envió al príncipe real, y este las remitió al emperador Alexandro. El cuerpo del conde Woronzow, que pasó pbc aquí, el Rhin, se dirige igualmente á'Narour para comunicarse con el general Winzlngerode. El. general StrogonolT está pronto á seguirle. La. vanguardia del exército sueco estará el dia 21 en el Rhin, de manera que…</t>
  </si>
  <si>
    <t>Gazeta de la Regencia de las Españas n.º 58 (extraordinaria)</t>
  </si>
  <si>
    <t>…lo que estos oficiales refieren, y por varios documentos que han presen tado, parece que los aliados entraron en País el dia 31 de Marzo, y poco des pués de su entrada publico el emperador Alexandro una proclama, declarando que los aliados no harían jamas la paz con Bonaparte ni con otro alguno de su dinastía.__Poco después se juntó el Senado, y nombró cinco personas, entre ellas el príncipe de Benevento, para formar el gobierno provisional de Francia, d…</t>
  </si>
  <si>
    <t>Alexandró</t>
  </si>
  <si>
    <t>…e segundo de estado mayor. D. José Ruiz, subteniente del 2.° de Asturias. D. Antonio Ruiz Alvarez, id de id. D. Jacobo Saavedfa, id. de id. D. Rafael Martínez, ayudante de Marina. D. Alexandró: Larrüa, teniente de id. D. Manuel Rodríguez, subteniente de vo luntarios de Asturias. D. Ramón Solís, teniente de la Corona. D. Antonio María de Castro, id. de id. D. Manuel Ramón Castell, id. de id. D. An drés Gayoso,, subteniente de id. D. Pedro Cid, id. d…</t>
  </si>
  <si>
    <t>Gazeta de la Regencia de las Españas n.º 64</t>
  </si>
  <si>
    <t>…ue la emperatriz. Mafia Luisa será ’ gran duquesa, de Palma yPlasencia. : ,■ * v ^ ^ . , ^/ Ha llegado á está capital el general Savary; duque de Royigo. , Se asegura que S. M. el emperador Alexandró ha ,dádo órdeo á los co^</t>
  </si>
  <si>
    <t>…iva el padre y el saltador de, los pueblos. S. M. se ha dignado manifestar quan grates la eran estos testimonios del respeto y-profundo reconocimiento de Jos franceses. SS. MM. el emperador Alexandro y el rey de Prusia ,S. A. R. el conde de Artois, lugar-teniente de Francia, S. A. I. el gran duque Constantino y el príncipe real de Suecia ,'que habían salido á recibir á S. M. I. y R., lo han acompañado hasta el antiguo palacio de Charost, en donde se ha ll…</t>
  </si>
  <si>
    <t>Gazeta de la Regencia de las Españas n.º 65</t>
  </si>
  <si>
    <t>…ado que le habita. S. A. R. se dignó complaciera! público , presentándose. en el balcón varias veces, y en todas ellas fue recibido con las mayores demosx traciones de alegría. El emperador Alexandro fué esta mañana al palacio de las Tullerías , so lo y como un simple particulares. M. 1. estuvo tres quartos de hora confe renciando con el príncipe con la mayor intimidad. Quando ’se retiró S. M., quisó S. A. R. acompañarle hasta el coche ; pero el emperador…</t>
  </si>
  <si>
    <t>…r haber concedido la paz á la Francia y al mundo, ya por la devoción teligiosa de 8o© guerreros de di ferentes naciones, arrodillados al pie de los altares. A medio dia SS. MM. el emperador Alexandro y el rey de Prusia y S. A. el príncipe de Schwartzemberg, representando al emperador de Aus tria , se presentaron delante de los baluartes papa revistar sus tropas respec tivas , formadas desde el baluarte del arsenal hasta el de la Magdalena. A la una SS MM.…</t>
  </si>
  <si>
    <t>Gaceta de Madrid n.º 71</t>
  </si>
  <si>
    <t>…. ■ Londres i£ de Abril.: La primera disposición que .tomaron los ^íi^dp^s después de la llegada do $. A. R. Monsieur á París rué el hacer salir á.JÍoñaparté para su destino,:,el emperador Alexandro, juzgando indecoroso que permaneciese Napoleón en Fontainebleau, al mismo tiempo que Monsieur en nombre de su real her mano tomaba posesión de su antigua capital, destinó una escolta de 2$ co sacos á las órdenes del conde Orloff para escoltarle hasta la isla…</t>
  </si>
  <si>
    <t>Gaceta de Madrid n.º 75</t>
  </si>
  <si>
    <t>…n ser el conductO’ de sus voluntades benéficas para con unos militares * cuyo valor he tenido tantas ocasiones de apreciar. Admitid* señor conde &amp;c. París 4 de Mayo. = Sachen,” £1 emperador Alexandro visitó la semana pasada la biblioteca real * donde se le presentaron algunos sabios empleados en ella. Después efe haber recor rido todas las salas* S. M. I. se detuvo particularmente en la pieza en que se hallan los manuscritos orientales y chinos. Las pregu…</t>
  </si>
  <si>
    <t>…l honor no deben mancillarse. Se sabe aquí que en la posta inmediata las gentes que se reunieron obli garon á Bonaparte á gritar v'va el Rey , viva Luis xviii. París 3 de Mayo. El emperador Alexandro, acompañado de Mr. de la Ha-rpe , visitó el 26 del pasado las galerías del museo de Historia natural. S. M. I. oyó con interes á los profesores encargados de este establecimiento, y les manifestó la satisfacción con que había visto unas colecciones tan precio…</t>
  </si>
  <si>
    <t>…de Mayo, Ayer salió de aquí uñ inspector de caminos para preparar los tiros y dar las demas disposiciones necesarias acerca del viage que están para hacer i Inglaterra SS. MM. el emperador Alexandro y el rey de Prusia. El emperador de Austria y el rey de Prusia fueron ayer como simples particulares á la galería del museo con el fin de presenciar la revista de la guardia nacional. SS. MM. se mezclaron con el concurso que se hallaba allí, y hablaron con gr…</t>
  </si>
  <si>
    <t>Gaceta de Madrid n.º 86</t>
  </si>
  <si>
    <t>…considerable en la Otilia izquierda del Rhin, y que se le reunirá todo el antiguo Palatinado. FRANCIA. Parts 2 de -Junto. Hoy á las tres de la mañana ha salido de esta capital el emperador Alexandro, y su comitiva le ha seguido inmediatamente. $. M.* se detendrá un poco en Amiens, y de allí se encaminará á Boloña, donde se reunirá con S. M. el rey de Prusia, que saldrá de París el sábado. Los dos monarcas se embarcarán en aquel puerto para pasar á .Ingla…</t>
  </si>
  <si>
    <t>Gaceta de Madrid n.º 92</t>
  </si>
  <si>
    <t>…la^a el 6 del presente Junio. En un artículo de los periódicos de B remen se inserta un artículo de Pet-ersburgo de 14 de Mayo , en que dice haber decretado el senado de Ru sia al emperador Alexandro un nuevo título que expresa los beneficios que le deben sus pueblos; y dehia partir una diputación de tres miembros del mismo senado el día 17 del mismo mes para presentar el decreto al empera dor. La diputación se compone del príncipe Kurakin, del general To…</t>
  </si>
  <si>
    <t>…C. Bentink y el conde de Rosslyns recibieron á los soberanos y los conduxeron á casa de Mr. Factor. La guardia de honor de SS. MM. se componía de dos regimientos de infantería. El emperador Alexandro, fatigado de la navegación,se retiró temprano á descansar, dicien do que saldría al día siguiente á las nueve de la mañana para Londres. El día 7 desde la madrugada se veia ya cubierto el camino de Douvres con innumerables carruages y un inmenso gentío de tod…</t>
  </si>
  <si>
    <t>…satisfechos. Los aplausos que recibieron estos príncipes de toda clase de gen tes fueron muchos, y con especialidad el emperador de Rusia. Se dice de unos dias á esta parte que el emperador Alexandro será rey de Polonia, y que el príncipe Constantino gobernará aquel país con el título de virey. No habiendo tenido por conveniente el emperador de Austria venir á Inglaterra, ha encargado al príncipe de Metternich y al conde Meerfeldt, su ministro en esta cor…</t>
  </si>
  <si>
    <t>Gaceta de Madrid n.º 97</t>
  </si>
  <si>
    <t>…visita fué el despedirse de la Reyna conforme á la etiqueta que se usa aquí. Una carta de Portsmouth asegura que la guardia rusa no vendrá á In glaterra, por haber determinado el emperador Alexandro qee vaya dere chamente á Cherburgo en Rusia. Los almirantes Foote y Crown han mar chado con sus esquadras para tomarla á bordo. En virtud de una orden del Príncipe Regente se celebrará el 7 de Juflio en todo el reyno .una función de iglesia en acción de graci…</t>
  </si>
  <si>
    <t>…esquadra rusa, y á bordo de los navios ingleses Leyde y Bucéfalo, para pasar en derechura á Rusia. Un olicial ruso que ha ve nido con el almirante Foote ha traído pliegos para el emperador Alexandro. Nuestros ilustres huéspedes han partido de esta capital. El Emperador y la gran duquesa de Oidenburgo, acompañados del duque de Oidenburgo y el príncipe de Wurtemberg, el rey de Prusia y sus hijos, partieron esta mañana á las nueve, y no volverán mas á Londr…</t>
  </si>
  <si>
    <t>Gaceta de Madrid n.º 101</t>
  </si>
  <si>
    <t>824</t>
  </si>
  <si>
    <t>824 emperador Alexandro debe llegar á su capital el 25 del corriente. Entre los grandes preparativos que hace ya dias que se disponen para recibirlo, es uno el magnífico arco triunfal y suntuosa columnata, adornada de emble mas y geroglíficcs, que se está erigiendo por la parte de P…</t>
  </si>
  <si>
    <t>Gaceta de Madrid n.º 103</t>
  </si>
  <si>
    <t>842</t>
  </si>
  <si>
    <t>…e Henrique iv. £1 mariscal conde Barclay de Toliy, general en gefe de los exércitos rusos, llegó el 3 á Francfort del Mein, é inmediatamente salió para Magun cia á esperar alii al emperador Alexandro. ESPAÑA. Arehidona 20 de Junio. Deseando el ayuntamiento de esta villa manifestar los sentimientos de amor y fidelidad que tiene hacia su Soberano, y satisfacer ¡os ardientes vo tos de u;\ pueblo enagenado de alegría por la feliz restitución del mbmo al trono…</t>
  </si>
  <si>
    <t>…ó no el nuevo pacto federativo. Con el mismo objeto se reunirán en esta semana casi todas las autoridades superiores del cantón. Los grandes duques Nicolás y Miguel, hermanos del emperador Alexandro, llegaron ayer*aqui, en donde se detendrán algunos dias. También pasó ayer por aquí de camino para los baños de Aix la archiduquesa María Luisa. Esperamos aquí al coronel Laharpe, que va á Viena, en donde perma necerá todo el tiempo que esté allí su ilustre d…</t>
  </si>
  <si>
    <t>86q lina carta constitucional fecha en Londres el 18 del mes próximo pasado* juntamente con la renuncia que ha hecho de Ja soberanía de este principado el príncipe Alexandro (el marisca! Berthier ) En vitiud de esto todas las autoridades se reunieron el dia 2 de¡ corriente á las echo de la mañana en la gran sala de los estados, en donde se íes crmuricó de oficio la aldxacion del príncipe Alexandro, y la carta constitucional del R…</t>
  </si>
  <si>
    <t>, • - . . - , 8r? naval, cuya resulta ha sido hacernos dueños de los quatro navios ám ericas nos el Frotes yz 1 Marte, eL Húsar y la Culebra de cascabel. , El emperador Alexandro durante su permanencia en Londres hizo una visita á la viuda del general Moreau. Se detuvo en su casa mas de una hora, y al despedirse le regalo una libranza de ioo© rublos* pagadera á la vista; ademas una pensión de 40© rublos, y la orden de Sta. Catalina. P…</t>
  </si>
  <si>
    <t>Gaceta de Madrid n.º 110</t>
  </si>
  <si>
    <t>…cámara de S. M. Católica.* do$ tomos en 4.° Se hallarán en el despacho de la imprenta Real. Memoria sobre la alianza de España con Rusia, y la gratitud que los españo les deben al emperador Alexandro*. dala á luz D. Matías Jorge de Arcas. Se halla rá en la librería de Ranz, calle de la Cruz. Exercicio quotidiano de diferentes oraciones para todos los dias, y para ante»' y después de la confesión y sagrada comunión, con un exercicio cristiano para la santa…</t>
  </si>
  <si>
    <t>Gaceta de Madrid n.º 113</t>
  </si>
  <si>
    <t>22</t>
  </si>
  <si>
    <t>…fin se ha verificado ya la llegada á esta capital que todos deseaban tanto del príncipe Metternich, ministro de Relaciones exteriores. Este prín cipe, después de haber visitado al emperador Alexandro enBruchsal, se di rigió por Stuttgardt y Munich para trasladarse aquí, en donde no se ha de tenido, pues inmediatamente después de su llegada salió para ir á ver á S. M. I. á Badén. Como el congreso de las potencias de Europa, que debía celebrarse aquí el pró…</t>
  </si>
  <si>
    <t>Gaceta de Madrid n.º 129</t>
  </si>
  <si>
    <t>Se dice que saldrán quatro archiduques de Austria á tecibir á los Soberanos que se esperap en Víena; á saber: el archiduque Palatino irá á reci bir at emperador Alexandro hasta la frontera de la Galitzia; el archiduque Carlos recibirá al rey de Prusia en Bohemia , y los archiduques Juan y An tonio recibirán á los reyes de Baviera y Wirtemberg. ESPAÑA. Madrid 21 de Setiembre. El día 13 del presente mes se presentó S. M., acompa…</t>
  </si>
  <si>
    <t>Gaceta de Madrid n.º 131</t>
  </si>
  <si>
    <t>…Bresíau, donde S. M. trata de p rm-inecer algunos dias, y que de allí se dirigirá 2 Vilna, pasando por la Bohemia. No parece vero ímil que tenga una conferencia en Toeplitz con el emperador Alexandro, según se ha dicho; porque este mo narca debe pasar por Cracovia, y atravesar la Hungría con dirección á Vie* na, que es muy aiverso viage del de Bohemia. Varias cartas de Petersburgo aseguran que el emperador de Rusia se pondrá en camino para Viena del</t>
  </si>
  <si>
    <t>…eral Krasinsky, Comandante de la guardia polaca, con las siguientes voces: ,t viva por siempre el bizarro exército polaco;” á lo qual gritaron los polacos en respuesta: ,, viva el emperador Alexandro, que nos restituye la Polonia.'* AUSTRIA. Viena j8 de Setiembre. Aunque son tantos los asuntos que deben tratarse en el congreso, se cree no obstante que no pasará de seis semanas la residencia de los Soberanos extrangeros en esta capital, en atención á que e…</t>
  </si>
  <si>
    <t>Gaceta de Madrid n.º 145</t>
  </si>
  <si>
    <t>4102</t>
  </si>
  <si>
    <t>…teatro de la puerta de ^Carintia,, en el qual, después del drama que se representó, la compañía de baylarines de la ópera francesa executó un vistoso baylé. En seguida SS. MM. el emperador Alexandro y^l rey de Prusia honraron con su presencia -la casa de la princesa Bagration, que los obsequió con un suntuoso baylé, que duró hasta bien entrada la noche. ' La corte de ayer fue-de lo mas magnífico y suntuoso de que hay memo.ría : los Emperadores , los Reye…</t>
  </si>
  <si>
    <t>Gaceta de Madrid n.º 153</t>
  </si>
  <si>
    <t>…el mando del bizarro regimiento qu'e ha querido honrar poniéndose á la cabeza de él, TLrlIábanse juntos los-dos augustos Emperadores, y al presentarse el regi miento foitnádo, el emperador Alexandro sacó su espada, y se colocó al •frente del redimiente como coronel en propiedad de él. En seguida mandó ha*</t>
  </si>
  <si>
    <t>2T7$ El viernes último S. M. el emperador Alexandro, sin acompañamiento ni comitiva, y sin mas distintivo que la cruz militar de Austria , y con el uniforme del regimiento austríaco que manda, fue á visitar dicho regimien to, arengó á los soldados, y después de haberse detenido mucho tiempo pla ticando con los…</t>
  </si>
  <si>
    <t>…rmonía y buena inteligencia que reyna entre estos augustos Soberanos. Nuestro Emperador ha tomado el mando como coronel ruso del primer regimiento de la guardia rusa, que S. M. el emperador Alexandro ha pues to á sus órdenes. .El gran duque Constantino regaló dias pasados un ducado á cada uno de los soldados ael regimiento austríaco cuyo.mando ha tomado; bebió con ellos» y les dispensó las muestras ma^ positivas de aprecio. S. M. el empera dor de Rusia na…</t>
  </si>
  <si>
    <t>Gaceta de Madrid n.º 156</t>
  </si>
  <si>
    <t>…ones en pleno congreso. Los Soberanos volvieron ya de Buda á esta capital antes del dia que se les aguardaba. Ayer por la tarde llegó el emperador de Austria, y hoy han llegado el emperador Alexandro y el rey de Prusia. Se ha publicado hoy la declaración siguiente: ,,H.biéndose señalado para el i.° de Noviembre la abertura del congre so por la declaración del 8 de Octubre próximo pasado, los plenipotencia rios de las potencias que firmaron el tratado del…</t>
  </si>
  <si>
    <t>Gaceta de Madrid n.º 159</t>
  </si>
  <si>
    <t>…constitución de Alemania asegurará á los del país de Alemania que hacen parte de la monar quía prusiana, y que hasta entonces no mudará nada de su constitución ac tual: y S. M. el emperador Alexandro ha manifestado la satisfacción parti cular que le causa esta declaración.’* 1 GRAN BRETAÑA. Londres j de Noviembre. Antes de ayer, primer sábado del mes, tuvo la Reyna un consejo en Windsor para exáminar el éstado déla salud del Rey, conforme á IaS dispo sici…</t>
  </si>
  <si>
    <t>Álexandro</t>
  </si>
  <si>
    <t>Gaceta de Madrid n.º 168</t>
  </si>
  <si>
    <t>…jamas apoderarse de su territorio. El Austria, con pretexto de que padecería mucho su comercio,#to quie re absolutamente renunciar la parte que posee de la Polonia. Se dice que el emperador Álexandro saldrá de aquí para Rusia el 10 de Diciembre, pues desea pasar las navidades en Petersourgo. El príncipe y la princesa de Repnin han llegado á Vuna, y el Empera dor su amo los na recibido con distinción. Desde el dia 18 se observa que los ánimos están mas agi…</t>
  </si>
  <si>
    <t>Gaceta de Madrid n.º 171</t>
  </si>
  <si>
    <t>…te de esta capital á principios de este mes. El día 10 el emperador de Rusia marchará acompañado del emperador Francisco á Mu nich, en donde se detendrán muy poco, y desde allí el emperador Álexandro se propone ir á Stuttgardt y. á Carlsruhe, y luego á las cortes del rey de Wurtemberg y del duque de Badén, en donde es probable que se de tendrá igualmente muy poco tiempo, porque ha señalado su entrada en Varsovia el i.° de Enero. Esto parece que confirma l…</t>
  </si>
  <si>
    <t>…á Hungría. Se cree que esta providencia esté dictada con in tención de facilitar a las autoridades húngaras los medios de reclutar y corm pietar los regimientos. Es regular que el emperador Alexandro salga muy en breve , pues se e*r tan empaquetando ya los electos de la papilla rusa. SUIZA. B asile a j de Diciembre. El ministro de Francia ha representado á la dieta que los suizos que cían parte de los regimientos suizos á sueldo de su gobierno, y que se h…</t>
  </si>
  <si>
    <t>Alexar.dro</t>
  </si>
  <si>
    <t>2167, eer al regimiento los tres saludos de estilo y que desfilase por delante de S. M. el emperador de Austria , durante cuya maniobra el emperador Alexar.dro se mantuvo con la espada inclinada como según ordenanza executan en ta les casos los demás coroneles; y después repetidos los tres saludos, envayn&lt;5 su espada, y corrió á precipitarse en los brazos de S. M. nuestro Empe rador, que lo estrechó cordialmente. A…</t>
  </si>
  <si>
    <t>Aléxatidro</t>
  </si>
  <si>
    <t>Gaceta de Madrid n.º 162</t>
  </si>
  <si>
    <t>…l. 1 a bendi ción nupcial la recibieron pór la ríiañáriá en la iglesia de lós dominicos, y por la noche en la capilla de la embaXada tusa, segurt el rito de la religión griega. El emperador Aléxatidro asistió á ella en Cíase de testigo; lá gran duquesa Catalina fue ! la ./rudrirta, y ¿e Convidados asistieron ios reyes de Prusia y de Bavíerá. ' Se lee en tin péVi^dícó dé Transitvániacoñ fecha de 2$ dé Octubre, lo que sigue: „De*pUes del ^momento én ¿pié póí…</t>
  </si>
  <si>
    <t>Alexattdro</t>
  </si>
  <si>
    <t>2^3demás relaciones del Austria con ellos van á.temar de nuevo la mayor ac tividad. ' - - :: Según las ú'timas noticiis de Petersbargo el emperador Alexattdro salió de su capital el 12 de este mes con dirección al congreso. S. M. I. pasará por Minsk y Lubdn, y se encaminará á Cracovia. G R A N B R E T A Ñ A. Londres 23 de Setiembre. El día 25 de Agosto las armas británicas, al mando déL general Rbss , se apoderaron…</t>
  </si>
  <si>
    <t>Alexo, José</t>
  </si>
  <si>
    <t>José Alexo</t>
  </si>
  <si>
    <t>…al teniente agregado D. Ignacio Cabero: empleos de alféreces á los cadetes D. Andrés Truxillo y D, José Pió San tiago; y de portaguiones á los de la propia clase D. José Torres , D. José Alexo de los Ríos, D. Juan Manuel Piñeyro y D. Juan Felipe Negron. En el de milicias urbanas de dragones de Carabayllo tenencia al alférei D. Manuel Palacios; y esta resulta ai cadete D**Melchor Velasco. En el de Chota el empleo de teniente coronel al comandante de…</t>
  </si>
  <si>
    <t>Alfaro, Ignacio Aragón y</t>
  </si>
  <si>
    <t>Ignacio Aragón y Alfaro</t>
  </si>
  <si>
    <t>Gazeta de la Regencia de las Españas n.º 63</t>
  </si>
  <si>
    <t>…ndaluza, con residencia en Aranjuez. La persona que ten ga derecho á sus bienes acudirá ante dicho señor alcalde, donde se le administrara justicia. Los albaceas testamentarios de D. Ignacio Aragón y Alfaro, vecino que fué hasta su fallecimiento de la villa dei Arahal, en la provincia de Sevilla, citan y emplazan á todos los que se consideren acreedores á su caudal, ya sea por la quie bra que experimentó en su comercio el año 1777,j-ó por qualquiera otro motivo…</t>
  </si>
  <si>
    <t>Alfaro, Isidoro Lainz de</t>
  </si>
  <si>
    <t>Isidoro Lainz de Alfaro</t>
  </si>
  <si>
    <t>…idos, cuya amable presencia consuela á todo español, y cuya conducta nos edifica con las virtudes heroyeas de que nos da tan grandes exemplos,” i . ' El día 13 del mismo los Sres. D. Isidoro Lainz de Alfaro, prebendado de la santa iglesia de México, y D. Antonio Ibar Navarro, tuvieron el ho nor de cumplimentar á S. M. y AA. en nombre de la ciudad y cabildo ecle siástico de Arnedo; pronunciando el primero el discurso siguiente: ,, Señor: la ciudad y cabildo ecles…</t>
  </si>
  <si>
    <t>Alfonso</t>
  </si>
  <si>
    <t>…s grandes y acendrados sacrificios. Sus fieles moradores, atentos al cumplimiento de las obligaciones debidas ai órden social, y á la observancia de las venerables leyes del sabio D. Alfonso en sus Partidas, supieron hacer frente á los nuevos hijos de Amon; no les sorprehendieron las insidias de los habitantes de Tiro; las temeridades de los Asirlos é insolencias de los Amalécitas no bastaron á intimidarlos, ni para in fundirles atolondramiento e…</t>
  </si>
  <si>
    <t>Alfonso'Pozo</t>
  </si>
  <si>
    <t>…oldados, siendo aque llos ci'cotnandance del 2.0 de Vizcaya D. Miguel de Artola, el teniente del mismO'ctíerpo D. Joan Sancho , y* el ayudante del &gt;2.° de tiradores de Can tabria \D. Alfonso'Pozo. Los heridos «omtres oficiales y 5ó soldados, siendo ios-priméros el cípitan dd.:2.° de tiradores de Cantabria D. Anselmo Ondicota,?el tenrénte del 3.0 de tiradores de Cantabria D. Felipe de Lama, y el subteniente del 2.0 de Vizcaya D. Valentín Abrisqueta; y…</t>
  </si>
  <si>
    <t>Alfonso, José</t>
  </si>
  <si>
    <t>José Alfonso</t>
  </si>
  <si>
    <t>…. D. Ramón de Arribas, subteniente de id. D. Silvestre Hidalgo, teniente coronel del de Laredo. D. Bernardino García, capitán de id. D. Antonio González Villamil, ayu dante de id. D. José Alfonso, teniente de id. D. Félix del Arenal, subte niente de id. D. José Gómez, subteniente de tiradores de Cantabria. Contusos. D. Angel Vallejo, ayudante segundo de estado mayor. D. José Ruiz, subteniente del 2.° de Asturias. D. Antonio Ruiz Alvarez, id de id. D.…</t>
  </si>
  <si>
    <t>Almaraz, Hill de</t>
  </si>
  <si>
    <t>Hill de Almaraz</t>
  </si>
  <si>
    <t>…tulo de barón de Condermere, en el condado palatino de Chester._Al teniente general sir Rowland Hill, caballero también de la orden del Baño, baxo del nombre, apellido y título de barón Hill de Almaraz,, y de Hawkestone, en el copdado de Salop._ Y al teniente general sir Guillermo Car Bere&amp;fosd, caba</t>
  </si>
  <si>
    <t>Almazan, Joaquín</t>
  </si>
  <si>
    <t>Joaquín Almazan</t>
  </si>
  <si>
    <t>2046</t>
  </si>
  <si>
    <t>…o: para el de Logroño á Don José Perez de Rozas: para tenientes de corregidor de Madrid á D. Manuel de Gamboa, D. Francisco Assin, D. Luis Gabaldon y López, D. León de la Cámara y D. Joaquín Almazan: para la vara de Burgos á D. Prudencio Fernandez de la Pelilla : para el corregimiento de Molina de Aragón á Don Francisco Estéban y Ranz: para la vara de Osuna á D. Juan Antonio Del gado: para la de Don Benito á D* Eusebio Lampie: para la de Medellin á •D. F…</t>
  </si>
  <si>
    <t>…ición de documentos del crédito público un vale Real de 600 pesos de i.° de Setiembre de 1808, núm. 140507, que salió encabezado á D. Diego de Erce; y en virtud de providencia del Sr. D. Joaquín Almazan, del consejo de S. M., te niente corregidor de esta villa, por la escribanía del número de D Francisco Alcazar, se cita, llama y emplaza al nominado D. Antonio Garro, ó qualquiera otra persona que pretenda tener derecho ó motivo fundado para la redamación ó r…</t>
  </si>
  <si>
    <t>1288</t>
  </si>
  <si>
    <t>…r de Vtcálbtro, propia de los herederos de Marcela Martin, que cemprehende 691 pies superficiales, está tasada en 6989 rs., y se vende para pago de cierto acreedor, acu da ante el Sr. D. Joaquín Almazan, del consejo de S. M., teniente de corregidor de esta villa, por la escribanía del número de D. Juan Antonio de Urraza, en el término de 15 dias contados desde esta-fecha, que se admitirán las que se hicieren siendo arregladas, y'para su remate-está señalado…</t>
  </si>
  <si>
    <t>Almazan, Manuel Vela</t>
  </si>
  <si>
    <t>Manuel Vela Almazan</t>
  </si>
  <si>
    <t>…eros á D. Alfonso de Tuero, y de cazadores á D. Miguel de Urguia y D. Lorenzo Fernandez Somera; de fusileros á D. Ignacio Mora les de los Ríos, teniente de infantería de Burgos, á D. Manuel Vela Almazan, teniente dei 2.° de Jaén; D. José Cortés, teniente del depósito de</t>
  </si>
  <si>
    <t>…la guerra, sin mas auxilios que los escasos productos dei mismo canal. El dia 14 del mismo tuvieron igualmente el honor de ser presentados á cumplimentar y besar la mano de S. M. D. Manuel Vela Almazan y Don R amon Oroüo, ofici.les' del real cuerpo de guardias españolas, comisionados por la ciudad de Ubeda ; el primero de los quales, después de haber felicitado á S. M. por su restirucion al trono, y prestádole el homenage del mas respe tuoso acatamiento, puso en su…</t>
  </si>
  <si>
    <t>Almirante, Infante</t>
  </si>
  <si>
    <t>Infante Almirante</t>
  </si>
  <si>
    <t>…n á los motivos que expuso. El 16 último se instaló el Consejo de Almirantazgo; y habiendo presta do los vocales que se hallan en esta^corte el juramento acostumbrado en manos del Sr. Infante Almirante general, pronunció S. A. R. el siguiente discurso. - Señores: ’’ „Si en el móménto de instalarse ét Consejó de Almirantazgo presentase yo á los individuos que le componen (como empresa posible á sus talentos, á su zelo y á su infatigable laboriosidad ) el mag…</t>
  </si>
  <si>
    <t>Almonte, Manuel</t>
  </si>
  <si>
    <t>Manuel Almonte</t>
  </si>
  <si>
    <t>…te mayor dél de caballería de lí nea D. Ildefonso Udave, y 40 soldados. Heridos el cápitan/ de artillería D. Narciso Martínez» el de infantería D. Francisco Udacta » los tenientes D. Manuel Almonte» D. Felipe Velando y D. Silverio Mogrovejo^ y los subtenientes D. Dionisio Delgadillo y D. Miguel Sclís, 3 sargentos, 13 ca bos y 88 soldados; no pudiendo especificar los muertos y hetidos dé los cuerpos de cazadores, partidarios y dragones, por haber salido…</t>
  </si>
  <si>
    <t>Alonso</t>
  </si>
  <si>
    <t>366</t>
  </si>
  <si>
    <t>…seen obtenerla dirigirán al expresado ayuntamiento de la misma sus memoriales y relaciones de méritos y circunstancias en todo eí presente mes de Abril. Las siete Partidas del Rey D. Alonso el Sabio. Nueva edición, trabajada por la academia nacional de la Historia sobre un gran número de códices antiguos: tres tomos en 4.0 de marca. Véndese en la casa Panadería á'150 rs. en pasta y 132 en rústica. = Memoria sobre las diversiones publicas, escrit…</t>
  </si>
  <si>
    <t>Alonso, Angel</t>
  </si>
  <si>
    <t>Angel Alonso</t>
  </si>
  <si>
    <t>Gazeta de la Regencia de las Españas n.º 21</t>
  </si>
  <si>
    <t>…D. Mariano Rodríguez Olmedo, su plente ípor las provincias del Rio de la Plata; y en clase de suplentes á Don Tomas May ano Rodríguez, diputado por la provincia de Valladolid, y á D. Angel Alonso de ia Pántiga, que lo es por la provincia de Mérida de Yucatán. Extractó del parte dado aí Exento. Sr. comandante general del aposta dero de la Havanápor los tenientes de navio de la armada nacional D. Manuel Funes y D. Adrián Morquecho con fecha de 20 de Set…</t>
  </si>
  <si>
    <t>Alonso, Antonio</t>
  </si>
  <si>
    <t>Antonio Alonso</t>
  </si>
  <si>
    <t>…d 1B de Febrero. El cahifdo eclesiástico de la ciudad de Guadalaxara, deseoso de congra tular á S. A. ha Regencia del Rey no por su feliz traslación á esta, capital, nombró al Dr. D. Antonio Alonso, cura de la parroquial de S. Esteban, y abad del clero; á D. Gregorio Antonio Carrasco, de la de S. Nicolás el Real; á D'. Lu is Batanero, de la de Sta. María la Mayor, y á D. Manuel Gregorio Beleña, beneficiado de la expresada Sta. María,’ para el desempe ño…</t>
  </si>
  <si>
    <t>…sta de D. Gregorio Antonio Carrasco, cura de S. Nicolás el Rea), abad del cabido; del Lie. D Manuel Gregorio de Beleña, beneficiado de la parroquia de Santa María U Mayor; dei Dr. D. Antonio Alonso, beneficiado de la de S. Estéban, secretario del cabildo, y de D. Luis Batanero, cura de la expresada parroquia de Santa María la Mayor.</t>
  </si>
  <si>
    <t>Alonso, Francisco</t>
  </si>
  <si>
    <t>Francisco Alonso</t>
  </si>
  <si>
    <t>928</t>
  </si>
  <si>
    <t>…que era en 181 1 quando la rendición de la p!aza de O ¡venza, en don le fué prisionero y conducido á Francia, como lo certifica el teniente de granaderos del regimiento de Toledo D. Francisco Alonso, que igualmente fué prisionero enton ces, sin que después haya tenido noticia alguna del referido D. Roque Rodríguez: por lo qual sup ica á la persona que tuviere noticia de su paradero se sirva avisar lo en Bilbao á la expresada Dona Isabel Rubio. Se hallan…</t>
  </si>
  <si>
    <t>Alonso, Gabriel</t>
  </si>
  <si>
    <t>Gabriel Alonso</t>
  </si>
  <si>
    <t>…licitar á S. M. una diputa ción del cabildo de la. iglesia catedral de león., compuesta de los Dres. Don José Adanez Orduña , dignidad de tesorero, y canónigo magistral de ella, y D. Gabriel Alonso, canónigo «dé la misma; dé los quales el primero arengó á S. Ai. en los términos siguientes: ,, Señor: el cabildo de vuestra iglesia catedral de León ,&lt;jue entre las mu chas y singulares honras con que le ha distinguido la piedad de vuestros au gustos predece…</t>
  </si>
  <si>
    <t>Alonso, Lucas María</t>
  </si>
  <si>
    <t>Lucas María Alonso</t>
  </si>
  <si>
    <t>Gaceta de Madrid n.º 94</t>
  </si>
  <si>
    <t>…o deio^ridad del quartel de Afligidos de esta corte, com puesta de los Sres. D;. José-Blazquez, diputado eclesiástico del barrio de Monterey, D. Juan Marra Villanueva, presbítero, D. Lucas María Alonso, diputado y alcalde del de S Marcos, y D. Manuel García, alcalde del barrip del Rosario ; delps ^qu^esel primero dixo¿ ,. Señor: las ocho diputaciones de caridad .reunidas del quartel de Afli-, gidosv, al mismo tiempo ,qu§ tienen el honor y dulce satisfacción…</t>
  </si>
  <si>
    <t>Alonso, Manuel</t>
  </si>
  <si>
    <t>Manuel Alonso</t>
  </si>
  <si>
    <t>…el Tenorio, D. Francisco González, D. Josef Barreda , D- Pascual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 único y perentorio les señalo, comparezcan por sí ó por procuradores con los correspon…</t>
  </si>
  <si>
    <t>Alonso, Tomas Fernandez</t>
  </si>
  <si>
    <t>Tomas Fernandez Alonso</t>
  </si>
  <si>
    <t>…” Igualmente tuvieron en este día la honra de ser presentados á cumpli mentar á S. M. y besar su real mano en nombre del ayuntamiento de la, ciudad de León los dos regidores de él D. Tomas Fernandez Alonso y Don Gerónimo Gómez González; el primero de los quales dixo: ,, Señor: la ciudad de León, que vivamente resentida de los ultrajes co metidos en Bayona contra la soberana persona de V. M., tuvo en ide JTnbío de 180&amp; la magnánima osadía de declarar solemnemente la guerra.á los, au…</t>
  </si>
  <si>
    <t>Alós, José María de</t>
  </si>
  <si>
    <t>José María de Alós</t>
  </si>
  <si>
    <t>…Zarauz* D. Francisco Salinas de Moñino, D. José del Pozo y Sucre, conde de Bel— bedel , D. Cárlos O’Doneli, D. Bernardo de Acuña , D. José Marta de Carvajal, el marques de Zayas, D. José María de Alós , D. Felipe de Paz, Príncipe de Anglona, D. Juan Senen de Coimeras, D. Felipe KeatingRoche, y D. Francisco Cabrera. A mariscales de campo á los brigadieres D. Miguel de los Ríos , D. Car los de Gunchi, D. Bartolomé Georget, el barón de la Barre , D. José Fal…</t>
  </si>
  <si>
    <t>Alsi</t>
  </si>
  <si>
    <t>Gazeta de la Regencia de las Españas n.º 39</t>
  </si>
  <si>
    <t>290</t>
  </si>
  <si>
    <t>…división, compuesta de unos 3500 'infantes, se hallaba-situado en Champaabert. Fué atacado por un cuerpo muy superior del enemigo,en el qual había de 5 á 6© caballos; y aunque $1 general Alsi&gt;íiéf se formó en quadr* y resistió con la mayor obstinación por</t>
  </si>
  <si>
    <t>Álsufief</t>
  </si>
  <si>
    <t>…rusa del general Atsúfief padeció mucho ayer tarde de resultas de un ataque del enemigo. En mi parte de ayer indiqué haberse recibido aviso de que Bonaparte esta ba en Sezane. El general Álsufief con su división, compuesta de unos 3500 'infantes, se hallaba-situado en Champaabert. Fué atacado por un cuerpo muy superior del enemigo,en el qual había de 5 á 6© caballos; y aunque $1 general Alsi&gt;íiéf se formó en quadr* y resistió con la mayor obstinación…</t>
  </si>
  <si>
    <t>Altamirano, Juan Crisóstomo</t>
  </si>
  <si>
    <t>Juan Crisóstomo Altamirano</t>
  </si>
  <si>
    <t>…í compañíasf al ayudante D. Vicente Ámat y Men doza, á ios tenieiités D. Francisco Xavier Arévalo y D. Pedro Nolascó .Teilo, y al marques de Mozobamba: y tenencias á los alféreces D. Juan Crisóstomo Altamirano, D. Eusebio Arandia, D. Silverio Antonio del Pdao y D. José Sarmiento. En el esquadron de Pacasmayo tenencia al alférez D. José Leandro Zamora. En ei de Amotape compañía al teiliente D. Joaquín de Helguero y Albo. Y en el esquadron de milicias disciplinadas d…</t>
  </si>
  <si>
    <t>Alten</t>
  </si>
  <si>
    <t>Gazeta de la Regencia de las Españas n.º 3</t>
  </si>
  <si>
    <t>20</t>
  </si>
  <si>
    <t>…ligera del mando del mariscal de campo Altea se puso igualmente en marcha desde Basusany , y reconoció por , aquella parte los atrincheramientos del enemigos. o Sir Juan Hope y el general Alten se retiraron en La misma tarde, y se establecieron én el terreno qué anteriormente ocupaban. En la mañana debió halló sir Rolando Ilili que el enemigo se había re tirado dé la posición qué ocupó ;el dia anterior en las alturas, metiéndose en ;el campó'atrinch…</t>
  </si>
  <si>
    <t>…las alturas que ocupaban el centro y la izquierda del enemigo con las divisiones tercera y sexta, sostenidas por el general Coton con la caballería del lora G. Somerset. El mayor general Alten con la división ligera mantenía la comunicación, y servia de reserva á estos dos ataques. También mandé pasar el Gave al general Hill, y que doblase y atacase la izquierda del enemigo. ,, El mariscal Beresford se apoderó de la aldea de St. Boes con la quarta…</t>
  </si>
  <si>
    <t>Alten, Carlos de</t>
  </si>
  <si>
    <t>Carlos de Alten</t>
  </si>
  <si>
    <t>…to. El dia 24 pasó el Gave de 01eron,en Villenave, el teniente general sir Rowland Hill con las divisiones ligera, segunda y la división portuguesa, mandarlas por el mayor general barón Carlos de Alten, el teniente general sir VVilliam Heuvart y el mariscal de campo D. Federico Leor, mientras que el teniente, general sir Henry Clinton lo pasaba con la sexta división entre Monfbrt y Laas. El teniente general sir Tomas Picton hizo al mismo tiempo demostracion…</t>
  </si>
  <si>
    <t>Alv, Pedro</t>
  </si>
  <si>
    <t>Pedro Alv</t>
  </si>
  <si>
    <t>2270 El Rey se ha servido nombrar para la dignidad de arcediano de Cea, y canongía vacante en la iglesia de León por fallecimiento de D. Joaquín' Queypo de Llano, á D. Pedro Alv^rez Cabañero, con dimisión del arce-, dianato de Vi i la viciosa, y caiióñgía que obtiene en la catedral de Oviedot para ia dignidad de m íestreseuela de la catedral"de Vatladolid, va-í e nte por haber obtenido lavcanóngía doctoral de la^prirtiada 'de Toledo…</t>
  </si>
  <si>
    <t>Alva</t>
  </si>
  <si>
    <t>Gazeta de la Regencia de las Españas n.º 35</t>
  </si>
  <si>
    <t>…Orea , calle de la Montera. Examen imparcial de las disensiones de la América con la España, de los rae-1 dios de su reconciliación, y de la prosperidad de todas las naciones: por D. Alva ro Florez Entrada, segunda impresión, corregida y aumentada considerablemente por su mismo autor: un tomo en 4.0 Se hallará en la librería de la viuda de Quiroga;, e^Ue de las Carretas, á 24 rs. en rústica. MADRID EN LA IMPRENTA NACIONAL.</t>
  </si>
  <si>
    <t>Alva, Juan</t>
  </si>
  <si>
    <t>Juan Alva</t>
  </si>
  <si>
    <t>Gazeta de la Regencia de las Españas n.º 49</t>
  </si>
  <si>
    <t>…éis se imprima, publique y circule. = L. de JSerbon, cardenal de Scala, arzobispo de Toledo, presidente, zz Pedro de Agar.zzQrabriel Ciscar.= En Palacio á 29 de Marzo de 1814. = A D. Juan Alva rez Guerra.”</t>
  </si>
  <si>
    <t>Alvarez, Antonia Gutiérrez</t>
  </si>
  <si>
    <t>Antonia Gutiérrez Alvarez</t>
  </si>
  <si>
    <t>Gaceta de Madrid n.º 164</t>
  </si>
  <si>
    <t>…z Goveo, natural que fue de está corte, y habitante en ella , y sú calle de S. Pedro , núm. 1.6, quarto entresuelo , de edad de 58 años , de estado solte ro , hijo de D. José y de Doña Antonia Gutiérrez Alvarez, falleció en el hospital General de la misma, sin constar dexase disposición testamentaría, por lo qual se emplaza y cita á qualquiera persona que presuma tener derecho a sus bienes, pata que dentro de 15 dias, en que se incluyen tres términos y el último per…</t>
  </si>
  <si>
    <t>Alvarez, Antonio Ruiz</t>
  </si>
  <si>
    <t>Antonio Ruiz Alvarez</t>
  </si>
  <si>
    <t>…te niente de id. D. José Gómez, subteniente de tiradores de Cantabria. Contusos. D. Angel Vallejo, ayudante segundo de estado mayor. D. José Ruiz, subteniente del 2.° de Asturias. D. Antonio Ruiz Alvarez, id de id. D. Jacobo Saavedfa, id. de id. D. Rafael Martínez, ayudante de Marina. D. Alexandró: Larrüa, teniente de id. D. Manuel Rodríguez, subteniente de vo luntarios de Asturias. D. Ramón Solís, teniente de la Corona. D. Antonio María de Castro, id. de id.…</t>
  </si>
  <si>
    <t>Alvarez, Domingo</t>
  </si>
  <si>
    <t>Domingo Alvarez</t>
  </si>
  <si>
    <t>…ildo de curas y beneficiados de Madrid, que en 11 del mismo mes había tenido ya en Aranjuez la honra de cumpli mentar á S. M. y AA. Componíase esta diputación del abad del cabildo Don Domingo Alvarez , beneficiado de Santiago;del decano D. Juan Antonio de Salcedo, cura de S. G'nes; de D. Fernando Moran, beneficiado de S. An drés, y de D. Juan de Leza y Cano, cura de S. Salvador; el primero de los quales, que ya en Aranjuez había dirigido á S. M. la palabr…</t>
  </si>
  <si>
    <t>Alvarez, José Francisco</t>
  </si>
  <si>
    <t>José Francisco Alvarez</t>
  </si>
  <si>
    <t>…y Pantiga, cura pár roco y castrense de la ciudad y puerto de Campeche', para una canongíá de la catedral de la Puebla de los Angeles. Para otra de la santa iglesia de Du rango a D. José Francisco Alvarez , cura de la Ciniega de los Olivos en Iá provincia de Nueva-Vizcaya. Para una ración de la catedral de la Puebla de los Angeles á D. Juan Miguel García de Paredes ,* cura de la parroquia de S. Juan Tianguismanalco, en aquel obispado. Para dos raciones y una m…</t>
  </si>
  <si>
    <t>Alvarez, Muía Antonia</t>
  </si>
  <si>
    <t>Muía Antonia Alvarez</t>
  </si>
  <si>
    <t>Gazeta de la Regencia de las Españas n.º 8</t>
  </si>
  <si>
    <t>…rden á los coñeurrentes, y proporcionará las comodidades po sibles para el tráfico. En 20 dé noviembre de 18*12 remitió por el correo una carta D. Donato de Vivanco,con ei sobre á Doña Muía Antonia Alvarez, residente, en la Isla de León; en dicha carta se indltiiar» 4rés yáiés reales de a l 50 pesos, de la creación de i.° dé'efietó de ¥808 el uno;, nómero; 243585, y los dbí Testantes dé i,° de’ en*ro¡ dé ft&amp;a^tbsí 3ob^¿^: f 3Ó0913 , todos endosados pÓr la Vitid…</t>
  </si>
  <si>
    <t>Alvarez, Nicolás</t>
  </si>
  <si>
    <t>Nicolás Alvarez</t>
  </si>
  <si>
    <t>586</t>
  </si>
  <si>
    <t>…o Pablo de Udacta. Una de las dos plazas de médico titular de la villa de la Nava del Rey, parti do de Medina dei Campo, que coásta de 8.00 vecinos, se halla vacante por muerte de D. Nicolás Alvarez: si al gnu*-profesor quisiese, hacer pretensión, acudirá por medio de memorial á su ayuntamiento-:-efi el término de un mes, contado desde esta publicación. Su dotación anual son 69 rs., ademas del producto de las visi tas y consultas de fuera de la villa. EN…</t>
  </si>
  <si>
    <t>Alvarez, Sinforiana de</t>
  </si>
  <si>
    <t>Sinforiana de Alvarez</t>
  </si>
  <si>
    <t>Gazeta de la Regencia de las Españas n.º 53</t>
  </si>
  <si>
    <t>…Los siete endosados á favor de Doña María Ger trudis Jorganes. Uno de 600 pesos, núm. 12976: uno de 300, núm. 47335; y uno de 150 pesos, núm. 170161. Los tres endosados á favor de Doña Sinforiana de Alvarez. Y uno de 300 pesos, núm. 24793 , endosado á favor de Doña Joa quina de Larrea. Y habiéndose extraviado dichos 11 vales, se suplica á la persona' ó personas en cuyo poder se hallen, ó tengan noticia de ellos, se sirvan entregar los ó comunicar su paradero en…</t>
  </si>
  <si>
    <t>Álvarez, Ventura Antonio</t>
  </si>
  <si>
    <t>Ventura Antonio Álvarez</t>
  </si>
  <si>
    <t>…público». ; s \ En vi/tud de despacho requisitorio librado por el Sr. marques de Qitintanar, conde de Santibafiez , corregidor intcrijip de la ciudad de Scgo^via^ aut&lt;&gt;ri?acjo Je D. Ventura Antonio Álvarez, 'escribano de su- número, cúmpiidó por el Sr. Doñ Francisco Assin , teniente de corregidor de esta vil.a, en auto’dé 21 del corriente* refrendado de D. Claud.ip.Saoz, escribano del número d¿ éílá, se cita, llama y em plaza por segundo y último;térmic a los a…</t>
  </si>
  <si>
    <t>Amaya, Bernardo</t>
  </si>
  <si>
    <t>Bernardo Amaya</t>
  </si>
  <si>
    <t>2203</t>
  </si>
  <si>
    <t>…Pozo, D. Matías Herrero Prieto, D. Manuel Martin Berna!, D. Maurteio Baradat, B. Ignaro Martínez de Torres y D* Anacleto Fagoaga. El Rey nuestro Señor, atendiendo á los méritos de D. Bernardo Amaya, oficial de la tesorería del exército de Castilla la Vieja, y á los grandes ser vicios de su padre D. Francisco, se ha servido nombrarle administrador de rentas del partido de Currion de los Condes. B. Manuel López Barajas, caballero de la Real y distinguida…</t>
  </si>
  <si>
    <t>Ameil</t>
  </si>
  <si>
    <t>Gazeta de la Regencia de las Españas n.º 61</t>
  </si>
  <si>
    <t>…enado. = El presidente del Senado¿sJFat-. mudo¡ps'fiarthetémy. ; j o o: Actas de adhesión. - i • ; El ¡general de división Nansouty.o ■’&gt; ■ --- ■&gt; ■ • , í.j El general de( brigada barón Ameil. ** ■ Los señores senadores cardenal de Bayane , eUducJue de-Dantzick y cojHde de Colcbein han puesto #en manos del gobierno provisional el documento deb $u adhesioj^^ firmado el acta .constitucional ■ -uf .. ‘ ,00 ' o y: ■i oq El duqu&amp;.deóMassa, presidente d…</t>
  </si>
  <si>
    <t>Ameller, Blas</t>
  </si>
  <si>
    <t>Blas Ameller</t>
  </si>
  <si>
    <t>…Perez, calle de las Carretas. Retratos de espinóles que se han hecho dignos de la gratitud de su nación por sus distinguidos servicios, grabados por los artistas D. Rafael Esteve, D. Blas Ameller y D. Tomas López Enguádanos, profesores conocidos por su distinguido mérito: contiene el primer quaderno que se da al público los retratos del marques de la Romana, D. José Palafox y Melcy, D. Martin de la Carrera, el Empecina do , D. Juan Palarea, el Médico, y D# Juan de Tapia , el Cur…</t>
  </si>
  <si>
    <t>Ameller, Francisco</t>
  </si>
  <si>
    <t>Francisco Ameller</t>
  </si>
  <si>
    <t>Donativo, suscripción o relación nominal</t>
  </si>
  <si>
    <t>Gaceta de Madrid n.º 125</t>
  </si>
  <si>
    <t>…vn. S. M. se ha dignado admitir estos donativos, mandando que se den gra cias á los interesados, y que se publiquen en la gaceta estos rasgos de leal tad y amor á su Real Persona. D. Francisco Ameller, del comercio de Madrid, en 18 de Junio de este año remitió por el correo un vale de 600 pesos de la creación de Mayo, número 4; 0477 , encabezado á D. Domingo de Zuazagi, y con esta firma lo endosó á Don Francisco Planas y Casals, de Barcelona, que escribe n…</t>
  </si>
  <si>
    <t>Ametller, Blas</t>
  </si>
  <si>
    <t>Blas Ametller</t>
  </si>
  <si>
    <t>…arca mayor, como se venen en el trascoro de la santa iglesia catedral de Málaga: dibuxada por Don Cosme de Acuña de la célebre escultura executada por ,D. Juan Adan, y‘grabada por D. Blas Ametller, académico de mérito de la real eje b. Fernando. Se hallará en el despacho de la calcografía de la imprenta real, ¿ 69 rs. cada exemplar. ~ r EN LA IMPRENTA REAlT ~</t>
  </si>
  <si>
    <t>Amor, Bartolomé</t>
  </si>
  <si>
    <t>Bartolomé Amor</t>
  </si>
  <si>
    <t>Gazeta de la Regencia de las Españas n.º 19</t>
  </si>
  <si>
    <t>…La octava compañía de húsares de Navarra, que estaba á mi cargo, se colocó y mantuvo formada junto al puente de Lana. El teniente coronel y comandante del i.° de dragones de Soria D. Bartolomé Amor vino desde Pardinilia á auxiliarme voluntariamente con su esquadron, y se mantuvo junto al molino de Guasa. Quando me pareció se hallaban ya las tropas en los puntos* hice la señal, y empezaron de uniformidad sus movimientos; y en menos de un quarto de hora s…</t>
  </si>
  <si>
    <t>An</t>
  </si>
  <si>
    <t>…coronel D. Antonio Cano, comandante de la cofuna de cazadores, al teniente coronel comandante accidental del bata llón de la Legión D. Rodrigo Bermudez, los capitanes de cazadores D. An tonio Ximenez, D. Angel Bermudez, y D. José María Freyre, y los te nientes D. Manuel Toledo y D. José Buzarron.__ El brigadier D. Juan Downie, que casualmente se hallaba con licencia en esta división , se me pre sentó para que le emplease, y acompañó á la Leg…</t>
  </si>
  <si>
    <t>…ridos los que sean sa cerdotes. Diccionario geográfico universal, que comprehende la descripción de las quatro partes del mundo , corregido y enmendado en esta sexta impresión por D. An tonio Montpalau. Se hallará en las librerías de esta corte, y en el despacho de la compañía de impresores y libreros, calle de los Preciados. Reducción de todas las monedas francesas de oro y plata á reales y maravedi ses de vellón, en la que se demuestra el…</t>
  </si>
  <si>
    <t>…id. D. Manuel Rodríguez, subteniente de vo luntarios de Asturias. D. Ramón Solís, teniente de la Corona. D. Antonio María de Castro, id. de id. D. Manuel Ramón Castell, id. de id. D. An drés Gayoso,, subteniente de id. D. Pedro Cid, id. de id. D. Lorenzo As ease) ¿ teniente coronel del de Ribero. D. Bartolomé Sotelo, capitán de id. D. Joaquín Zarráélná ¿-subteniente de id. D. Ramón de Muniz, sargento mayor ac Oviedo. D. Alberto Rodríguez, ca…</t>
  </si>
  <si>
    <t>Gazeta de la Regencia de las Españas n.º 67</t>
  </si>
  <si>
    <t>…sus padres ceden, con destino á ves tir un soldado, y para que se amorticen 20 pesos sencillos con sus réditos contra el banco nacional de S. Cárlos, que obran en la escribanía de D. An tonio Domínguez en Sevilla. A su consecuencia la Regencia del Reyno ha admitido con el mayor aprecio dicho donativo de 2© pesos sencillos con sus réditos, mandando se den las gracias a estos interesados, y se ponga en no ticia del público para su satisfacción…</t>
  </si>
  <si>
    <t>Gaceta de Madrid n.º 87</t>
  </si>
  <si>
    <t>PDF p. 10</t>
  </si>
  <si>
    <t>…fecha de 8 del actual lo. que sigue: - ■ _,,Excmo. Sr.: quando por las tristes ocurrencias del año de 1808 tuvie ron SS.. AA. los Srcs. Infantes D. Cárlos, D. Francisco de Paula, D. An tonio y D. Cárlos Luis, Rey de Etruria , que ausentarse de España, dexaron encomendada la administración de sus bienes y encomiendas á sus res pectivos secretarlos,4e cámara, lo's ¿que continuaron . én su «administración y en la satisfacción de las cargas de.…</t>
  </si>
  <si>
    <t>…n posible; he venido en resolver que á imitación de lo practicado en mis exércitos, se forme también una juntad de marina, que deberá ser presidida por mi muy amado Tio el Infante D. An tonio, la qual me expondrá ió que estimaré mas acertado en quanto á las materias de que habrá de ocuparse, y orden con que se deberán tratar, con sultándome para mi soberana aprobación en aquellas én que fuere preciso este requisito. Sobre el numero de vocale…</t>
  </si>
  <si>
    <t>Gaceta de Madrid n.º 143</t>
  </si>
  <si>
    <t>2092</t>
  </si>
  <si>
    <t>…tenga se sirva comunicar las en Madrid i JD. Anselmo García, plazuela de ia Cebada, núm. 1 , frente á la parroquia de S. Milian, ó en el lugar de Quecedo i su vicario eclesiástico D. An gel Antonio de Isla. Se desea saber e! paradero de D. Luis Tereyro y Valcárcei, de edad de &lt;5$ años, y natural de la parroquia de S. Pelayo de Arcilla, en el obispado de Mondoñedo, provincia de Lugo, rey no de Ga icia, que siendo estutjunte se embarcó hace ma…</t>
  </si>
  <si>
    <t>…s Subiza, D. Mateo Bautista del Cerro, D. Fe mando Carvia y D. Francisco del Castillo. Y para siete plazas de al caldes del crimen de la misma chancillería á D. Manuel de Viiches, D. An tonio Lorenzo Martínez del Pozo, D. Matías Herrero Prieto, D. Manuel Martin Berna!, D. Maurteio Baradat, B. Ignaro Martínez de Torres y D* Anacleto Fagoaga. El Rey nuestro Señor, atendiendo á los méritos de D. Bernardo Amaya, oficial de la tesorería del exérc…</t>
  </si>
  <si>
    <t>2276</t>
  </si>
  <si>
    <t>…n y de Dresde manifiestan mil dudas so bre este particular , y se pretende que el rey de Saxonia, que permanece en el castillo de Frederichí&gt;feld , cerca de Berñn, ha recibido del príncipe An tonio, su hermano, cartas muy satisfactorias. El príncipe Antonio, que es cuñado del emperador de Austria ,y que se halla en el dia en Schoenbrunn go zando de la consideración general, visita con frecuencia á los Monarcas alia dos, porque está encargado de mi…</t>
  </si>
  <si>
    <t>An, Francisco</t>
  </si>
  <si>
    <t>Francisco An</t>
  </si>
  <si>
    <t>Gazeta de la Regencia de las Españas n.º 13</t>
  </si>
  <si>
    <t>…mas López de Regó, su actual rector, D. Venancio Dusmet, catedrático de concilios nacionales, D. NicoLs Heredero, de elo cuencia, D. Juan de la Dehesa, de instituciones civiles, y D. Francisco An tonio González, bibliotecario de S. M., tuvo el honor de felicitar á S. A. la Regencia de las Españas el domingo 16 del corriente. ARTICULO DE OFICIO. El mariscal de campo D. Luis Wimpffen, gefe del estado mayor gene ral de campaña, comunicó en 18 de Abril de…</t>
  </si>
  <si>
    <t>An, Francisco de Sales</t>
  </si>
  <si>
    <t>Francisco de Sales An</t>
  </si>
  <si>
    <t>…que le aflige, y sobre que en el mismo memorial reclama.’* Al dia siguiente tuvo igual honra una diputación de la villa de la Guar dia, en la Riojá Alavesa, compuesta de ios Sres. D. Francisco de Sales An drés, deí Consejo de S. M., y su ministro en el tribunal de Cruzada y Gra cias subsidiarias; D. Justo Martínez de Baños; Fr. Eustaquio de Aimarza, presidente del real monasterio de S. Gerónimo de Madrid , y D. Pío Santos,</t>
  </si>
  <si>
    <t>An, Gerónimo</t>
  </si>
  <si>
    <t>Gerónimo An</t>
  </si>
  <si>
    <t>…da en Palacio á 2 de Octubre de 1814.= YO EL RliY.ss Yo D. Juan Ignacio de Ayestarán, Secretario del Rey nuestro Señor, lo hice escribir por su mandado. = El Duque del Inf ntado. =D. Gerónimo An tonio Diez.= D. TomasMoyano.reD. Antonio Alvarez de Contreras. = Don Josef Antonio de Larruníbide.= Registrada , Fernando de Iturmendi. = Ter niente de Canciller mayor, Fernando de Iturmendi. El Rey se ha servido nombrar para la dignidad de prepósito de la ig…</t>
  </si>
  <si>
    <t>An, Juan</t>
  </si>
  <si>
    <t>Juan An</t>
  </si>
  <si>
    <t>…as del ataque de Alba de Tormes de 1809 no se sabe si murió ó fue conducido prisionero á Francia. El qiya supiere de él se servirá avisarlo á Betanzos al teniente coronel retirado D. Juan An tonio de Leys. , / ' En la librería de Hurtado, calle de las Carretas, y en la de Qui'rós, fr,enteiiá los gremios, se venden barajitas nuevas de 30 preguntas y 30 respuestas, grabada la letra por D. José Asensio, y puestas en cartulina, á 8 rs. en negro y á 1…</t>
  </si>
  <si>
    <t>An, Pedro</t>
  </si>
  <si>
    <t>Pedro An</t>
  </si>
  <si>
    <t>…avor de dicho Sr. Zavala; y no ha biendo llegado dicho pliego, se suplica á quien le haya recogido lo entregue en dicha ciudad al expresado D. Julián de Buruaga, ó en esta corte á D. Pedro An gel de Zavala. Para pago de un crédito se venden judicialmente 383 libras de tramas finas de seda á la píamontesa de la fábrica de Murcia, retasadas á 130 rs. libra en caso de venderse fuera de esta corte, y en ella á 134, y un fardo de casimiros negros, re t…</t>
  </si>
  <si>
    <t>Anaya, Julián</t>
  </si>
  <si>
    <t>Julián Anaya</t>
  </si>
  <si>
    <t>…, general de campanas é iluminación, en que se esmeraron los vecinos. El día 14, reunidos en la casa,del gobernador los demas gefes é in dividuos del estado mayor de la plaza?, el coronel D. Julián Anaya con los oficiales dei regimiento de infantería de Mallorca de su cargo, los de las compañías de inválidos y urbanos, el M. N. ayuntamiento, y los emplea dos en las oficinas de Real hacienda, pasaron á la iglesia parroquial de nues tra Séñórá de la Encárnácion…</t>
  </si>
  <si>
    <t>Anda, Santiago de Suso y</t>
  </si>
  <si>
    <t>Santiago de Suso y Anda</t>
  </si>
  <si>
    <t>…ultimo tuvieron el honor de cumplimentar y besar la Real mano á S. M. y AA. en nombre de la villa de Reynosa, el marques de Ciiteruelo, mayordomo de semana del Rey nuestro Señor ; Don Santiago de Suso y Anda, corregidor que fue de la misma villa y su juris dicción , y el coronel D. Manuel García dei Barrio, natural de ella; de los quales el primero pronunció el discurso siguiente: ,, Señor: vuestra vi’iia de Reynosa , representada por esta comisión , tie ne el ho…</t>
  </si>
  <si>
    <t>Anda, Santiago Suso y</t>
  </si>
  <si>
    <t>Santiago Suso y Anda</t>
  </si>
  <si>
    <t>Gazeta de la Regencia de las Españas n.º 59</t>
  </si>
  <si>
    <t>…r para la canongía docto ral de la capilla real de Granada á D. Jo:é Rafael de Sebastian. Asimismo lia nombrado para magistrados de la audiencia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t>
  </si>
  <si>
    <t>…tirmo consejo á D. Martin Xavier de Muzquiz : para otra también nacio nal á D. Juan Miguel de Echevarría: para otra de oidor no nacional á Don Ramón Macia de Lleopart: para otra á D. Santiago Suso y Anda: para una de alcalde nacional á D. Fermín Sanz y López: para otra á D. Manuel Arbizu: para otra á D. Pedro Lapuerta; y para otra no nacional á D. Map riano Rufino González; y para la fiscalía ae dicho consejo,á D. Juan Rar mon de Matute; y para una de ministr…</t>
  </si>
  <si>
    <t>Andrade, Andrés de</t>
  </si>
  <si>
    <t>Andrés de Andrade</t>
  </si>
  <si>
    <t>…segundo ayudante mayor á D. Antonio Romero; á segundos tenientes á D. José Joaquín de la Mata, de granaderos, al conde de Torrejon de ca zadores, y de fusileros á D. José de Osea, D. Andrés de Andrade, D. Ig nacio de Alava, D. Antonio María San Andrés y D. José Masón; á alfére ces, de granaderos á D. Alfonso de Tuero, y de cazadores á D. Miguel de Urguia y D. Lorenzo Fernandez Somera; de fusileros á D. Ignacio Mora les de los Ríos, teniente de infantería d…</t>
  </si>
  <si>
    <t>Andrade, Antonio Agudo y</t>
  </si>
  <si>
    <t>Antonio Agudo y Andrade</t>
  </si>
  <si>
    <t>…nde sus homenages.” El dia 29 del pasado tuvieron asimismo la honra de felicitar á S. M. y besar su real mano á nombre del cabildo de la santa iglesia de Oviedo sus dos Individuos D. Antonio Agudo y Andrade, arcediano de Benavente, dignidad de aquella santa iglesia, y D. Pedro Inguanzo y Rivero, doctoral de la mis ma; el primero de los quales entregó á S. M. una carta capitular relativa al asunto, y dixo: „ Señor: el cabildo de la santa iglesia de Oviedo, lleno…</t>
  </si>
  <si>
    <t>Andreossi</t>
  </si>
  <si>
    <t>…mperio y á la seguridad de sus sucesores, y dará al mismo tiempo un nuevo impulso ál sistema militar turco. Los ministros extrangeros rendentes aquí esperan con impaciencia que el general Andreossi reciba noticias oficiales para comunicarlas á la sublime Puer ta. Todos ellos hacen grandes preparativos para celebrar con festejos la paz felizmente concluida entre las potencias aliadas y la Francia. Este retardo ha impedido ha-ta ahora que el cuerpo diplom…</t>
  </si>
  <si>
    <t>Andrés</t>
  </si>
  <si>
    <t>…José Sobrevía. En la elección de oficiales sé nombró censor al Sr. D. Agustín Alegre, abogado, alcalde primero consti tucional; contador al Sr. D. Antonio Herranat, y tesorero al Sr. D. Andrés 3Ma-riá , abogado. Declarada vacante Ik secretaría principal quedesempeñaba rD. Diego de Torres, contador que fue de la qtiarta división durafite-la dtíminacton francesa, con presencia de la causa que se le está siguiendo acercar de su conducta política, sobr…</t>
  </si>
  <si>
    <t>Andrés, Antonio María San</t>
  </si>
  <si>
    <t>Antonio María San Andrés</t>
  </si>
  <si>
    <t>…á segundos tenientes á D. José Joaquín de la Mata, de granaderos, al conde de Torrejon de ca zadores, y de fusileros á D. José de Osea, D. Andrés de Andrade, D. Ig nacio de Alava, D. Antonio María San Andrés y D. José Masón; á alfére ces, de granaderos á D. Alfonso de Tuero, y de cazadores á D. Miguel de Urguia y D. Lorenzo Fernandez Somera; de fusileros á D. Ignacio Mora les de los Ríos, teniente de infantería de Burgos, á D. Manuel Vela Almazan, teniente dei 2.° de Jaén;…</t>
  </si>
  <si>
    <t>Andrés, Feliciano</t>
  </si>
  <si>
    <t>Feliciano Andrés</t>
  </si>
  <si>
    <t>…clamaciones mil veces y de mil modos repetidas á la iglesia parroquia!, en dende fueron recibidos S. M. y A A. por el-cura párroco D. Antonio Rufino, acompañado»de los- éapelíanes D. Feliciano Andrés y D. Blas Rubio. En seguid* $e cantó él Te T)eum:\e\ qual concluido, se de tuvo S. M. á examinar los destrozos que 1a barbarie y espíritu destructor de las húdstes fra«désas^h4bian hecho en esfé tempío y en lo? demas del caseTÍOidél pueblo', enterneciéndose su Real ánimo á v…</t>
  </si>
  <si>
    <t>Andrés, Melchor</t>
  </si>
  <si>
    <t>Melchor Andrés</t>
  </si>
  <si>
    <t>68</t>
  </si>
  <si>
    <t>…itucional de la ciudad de Segóvía, compuesta de D. Jacinto del Rio , alcalde de segundo voto, de D. Josef Ca savan y D. Manuel Vázquez Araujo, regidores, y del procurador sín dico D. Melchor Andrés, con el apoderado general de la tierra, se presentó el 12 del corriente á felicitar á la Regencia del Reyno por su feliz llegada á esta capital, y tuvo la honra de merecer á S. A. las mas expresivas demos traciones de benevolencia y de gratitud. ARTICULO DE O…</t>
  </si>
  <si>
    <t>Andriani</t>
  </si>
  <si>
    <t>Gaceta de Madrid n.º 151</t>
  </si>
  <si>
    <t>…mente por el espacio de ocho dias, sin fuerzas físicas, sin probabilidad alguna. ,, Dígnese V. M.,eomo tan amante de sus vasallos, acoger benignamen te y leer la exposición que el gobernador Andriani tiene la honra de poner en este momento á L. R. P. de V. M.; y si logran el gobernador y defeniores de Sagunto un testimonio de que á V. M. sean gratos sus servicios, verán colmados todos sus deseos, y satisfecha toda su ambición. El dia 14 del mismo el ayunt…</t>
  </si>
  <si>
    <t>Andu, Gabriel</t>
  </si>
  <si>
    <t>Gabriel Andu</t>
  </si>
  <si>
    <t>…aller para otra presbiterial de la misma catedral, va cante por muerte de D. Félix Rabal: á D. Francisco Sepulcro para una ración de !a catedral de Orihuela, vacante por muerte de D. Gabriel Andu ez2: á D. Gerónimo Merino para una canongía de la metropolitana de Valencia, vacante por fallecimiento de D. José Faustino Alcedo: á D. Luis de Exarque para otra de la misma, vacante por muerte de D. Francisco Vailejo: á D. Manuel de Roa para otra de la misma…</t>
  </si>
  <si>
    <t>Andueza, Juan Antonio</t>
  </si>
  <si>
    <t>Juan Antonio Andueza</t>
  </si>
  <si>
    <t>…egorio Guinea, deán de la Sta. iglesia deTruxiiio; D. Agustín Fernandez de Córdoba, D. José Miguel del Castillo, dipu tados por Truxillo; D. Antonio Navarrere, diputado por Puira; D. Juan Antonio Andueza, diputado por Chachapoyas; D. Tadeo Gárate, goberna dor, electo intendente de la provincia de Puno, diputado por la misma; D. Martin Muxica, diputado por Guamanga; D. Mariano Rivero, diputa do por Arequipa; D. José Joaquín de Olmedo, D. Vicente Rocafuerte, di…</t>
  </si>
  <si>
    <t>Anfión, Stewart del</t>
  </si>
  <si>
    <t>Stewart del Anfión</t>
  </si>
  <si>
    <t>…mar sangre, abriendo de esta forma las comunicacio nes con las fuerzas aliadas en el sur de Holanda. ,,Me tomo la libertad de recomendaros particularmente el zelo y acti vidad del capitán Stewart del Anfión ; las mismas calidades han distingui do á Mr. Whyte , primer teniente del Horacio, y á todos los oficiales; ma rineros y soldados de marina que han servido á mis órdenes en esta empresa. Ko puedo menos de manifestar mi agradecimiento al capitán Hamilton Smitl…</t>
  </si>
  <si>
    <t>Angel</t>
  </si>
  <si>
    <t>Gaceta de Madrid n.º 69</t>
  </si>
  <si>
    <t>514</t>
  </si>
  <si>
    <t>…á I09 comisionados del crédito público en dicha ciudad, nombrados viuda de Ramiro y Mesa, ante quienes se ha de celebrar el citado remate en el mejor postor el dia 20 de este mes. D. Angel de la Cuesta, vecino de México, solicita saber quienes, son los here deros de D. Bonifacio Angulo, que murió en Veracruz en el mes de Junio de 1802. D. Fausto Antonio Saenz de Navarrete, vecino de la villa del Ciego, provin cia de Alava, solicita saber el par…</t>
  </si>
  <si>
    <t>Angelí, Regnauk de Saint-Jean de</t>
  </si>
  <si>
    <t>Regnauk de Saint-Jean de Angelí</t>
  </si>
  <si>
    <t>…MARTES 18 DE ENERO DE 1814. FRANCIA. París 21 de diciembre de 1813. A Cuerpo legislativo, baxo la presidencia de Regnier, duque de Mers$a&gt; Después de las ceremonias, de estilo el conde Regnauk de Saint-Jean de Angelí hablo en los términos siguientes: „ Señores: en las dos últimas campañas, sin haber sido abandonados por la victo-ría, nos ha desamparado la fortuna. En la primera de aquellas inutilizo los triunfos mas gloriosos uno de aquellos inviernos, cuyo rigor no se ex…</t>
  </si>
  <si>
    <t>Angelí, Regnault de Saint-Jean de</t>
  </si>
  <si>
    <t>Regnault de Saint-Jean de Angelí</t>
  </si>
  <si>
    <t>…ersión á vergonzosos tratados.” El cuerpo legislativo dio á los oradores del ¿onsejo de Estado copia del decreto imperial que acababa de comunicarse, como también del discurso del conde Regnault de Saint-Jean de Angelí. Sigue el decreto imperial nombrando una comisión de cinco individuos encargados de examinar los documentos oficiales que debe presentar al cuer po legislativo el ministerio de relaciones exteriores. GRAN BRETAÑA. Londres 24 de diciembre, Oficio del almirante…</t>
  </si>
  <si>
    <t>Angelo</t>
  </si>
  <si>
    <t>Gazeta de la Regencia de las Españas n.º 12</t>
  </si>
  <si>
    <t>…odas ocasiones. He admirado su bizarría en el ataque del Schanza; asi como el valor y la actividad de los tenientes Hotham y Moore, y de Mr. Hibbert, guardia marina del Aguila. El capitán Angelo, del regimiento 21 , fjié el primero en señalar ios parages donde debían colocarse las^ faginas para cubrir nuestra gente, .mientras se si tuaban los cañones. Me tomo la libertad de recomendar á los lores comisa rios del almirantazgo al capitán Moresly, de la…</t>
  </si>
  <si>
    <t>Angulo, Apolinar</t>
  </si>
  <si>
    <t>Apolinar Angulo</t>
  </si>
  <si>
    <t>Gaceta de Madrid n.º 130</t>
  </si>
  <si>
    <t>…as González de Iturralde, á D. To mas de Simón Saez; y para una ración de la iglesia colegial de Briviesca, diócesis de Burgos, vacante por fallecimiento de D. Manuel de Miguel, á D. Apolinar Angulo. En atención á los distinguidos méritos y circunstancias de D. Tomas Arias Leiza de Eraso, canónigo de la iglesia metropolitana de Zaragoza , se ha servido S. M. nombrarle para la plaza del tribunal de la Rota de la Nun ciatura apostólica, vacante por renunci…</t>
  </si>
  <si>
    <t>Angulo, Bonifacio</t>
  </si>
  <si>
    <t>Bonifacio Angulo</t>
  </si>
  <si>
    <t>…a, ante quienes se ha de celebrar el citado remate en el mejor postor el dia 20 de este mes. D. Angel de la Cuesta, vecino de México, solicita saber quienes, son los here deros de D. Bonifacio Angulo, que murió en Veracruz en el mes de Junio de 1802. D. Fausto Antonio Saenz de Navarrete, vecino de la villa del Ciego, provin cia de Alava, solicita saber el paradero de Antonio y Bernardo García, hermanos, naturales de Galicia, en el obispado de Lugo, ó de s…</t>
  </si>
  <si>
    <t>Angulo, Diego Pascual de</t>
  </si>
  <si>
    <t>Diego Pascual de Angulo</t>
  </si>
  <si>
    <t>2172</t>
  </si>
  <si>
    <t>…os; apercibidos que de no verificarlo, las providencias que sé dictasen en su juicio de testamentaría les parará el perjuicio que haya lugar. La persona que supiese el paradero de D. Diego Pascual de Angulo se^ servirá avisarlo á su hermano D. Fernando ea la^villa de Vara de Rey, en la provincia de Cuenca, partido de S. Clemente. Mauricio Hidalgo /soldado dél regimiento provincial de milicias de Sevilla, fue cogido prisionero en la acción de Ocuña {én Noviembre…</t>
  </si>
  <si>
    <t>Angulo, Isidro</t>
  </si>
  <si>
    <t>Isidro Angulo</t>
  </si>
  <si>
    <t>7</t>
  </si>
  <si>
    <t>…lmente la honra de cumplimentar í S. M. y besar su real mano una diputación del ayuntamiento de ia ciudad de Cádiz compuesta de los Sres. D. Juan José 1 liarte, alcalde primero, y D. Isidro Angulo, procurador síndico; el primero de los quales dirigió á S. M. el discurso siguiente: , „ Señor: Cádiz, baluarte de! trono excelso de las Espaúas, asilo de sus defensores, y ancora de salud en la mas espantosa borrasca; Cádiz, cuyos votos fueron siempre por V.…</t>
  </si>
  <si>
    <t>Angulo, Ventura de Bustos y</t>
  </si>
  <si>
    <t>Ventura de Bustos y Angulo</t>
  </si>
  <si>
    <t>…sencillo éc conservar por sí mismo esta parte preciosa sana, firme y blanca, y libertarse v de sus dolencias, con otros avisos interesantes á la vida y salud; tercera edición, por D. Ventura de Bustos y Angulo, cirujano dentista que ha sido en esta corte. Se hallará á 4 rs. en casa de la viuda del autor, calle de las Carretas, esquina á la de Majadericos, núm. 10, quarto segundo. Se halla de venta en el despacho de la imprenta real la música del himno de D. Juan Ba…</t>
  </si>
  <si>
    <t>Anlestia, Miguel</t>
  </si>
  <si>
    <t>Miguel Anlestia</t>
  </si>
  <si>
    <t>Gaceta de Madrid n.º 142</t>
  </si>
  <si>
    <t>…a Sal, núm. 7, quarto 2.* Se desea saber el paradero de D. Melchor Osorio de Coca, natural de Salaman ca, que en 2 1 de Diciembre de 1808 por una carta que escribía en Cuenca á su capitán D. Miguel Anlestia, que por casualidad vino i manos de su padre D. Do mingo Osorio, se sabe era soldado distinguido del regimiento de voluntarios de Ledesma, desde cuyo tiempo no sé ha vuelto á saber de é!. Se suplica á la perso na que sepa su paradero ó muerte tenga la bondad…</t>
  </si>
  <si>
    <t>Anoro, José Abad y</t>
  </si>
  <si>
    <t>José Abad y Anoro</t>
  </si>
  <si>
    <t>…esa de Wclüngton, que viene á reunirse en esta capital con su ilustre esposo» • . * - ' , ESPAÑA. Alcántara (provincia de Extremadura') 1$ de Octubre. Deseoso el Sr. gobernador él coronel D. José Abad y Anoro de que se celebrase con la solemnidad que permite el estado actual de esta plaza el cum pleaños de nuestro amado y deseado-'Monarca el Sr. D. Fernando vii , dis puso se anunciase al público el diá 13 del corriente la función del siguiente por&lt;ún repique, gene…</t>
  </si>
  <si>
    <t>Anr</t>
  </si>
  <si>
    <t>…e1 Olavarrieta, subdirector; D. José,Martínez r de San Martin, censor Antonio Osterez yNario, secretario; D. Antonio Regas, contador; D. Fermín María de Uria Nafarrondo, tesorero; D. Anr tonio Sandalio Arias, archivero; D. Tiburcio Hernández, bibliotecario . ; r • . • , ■» ' ■ j ‘ • ■ &gt; • f * * En la villa de Chozas de Canales, distante ocho leguas de esta corte y quatró de Toledo, se halla vacante la plaza de maestro de niños, cuya dotación…</t>
  </si>
  <si>
    <t>Ansel</t>
  </si>
  <si>
    <t>…García.' Los deinas discípulos fueron obiéqiítedo^'cop libros, cortaplumas y otros agasajos, por haberles conside rado a téáos dignos de prertiio; Por último él procuradorJsíndico D. Ansel mo Velo pronunció un elocuente discurso análogo á tes circunstancias, y dio las mas expresivas gracias ú toda aquella bniiá'nté cohcurrencia, que acompañada de los afectuosos y sencillos ecos de tan bellos discípulos, con cluyeron el acto con Iás dulces expre…</t>
  </si>
  <si>
    <t>Ant</t>
  </si>
  <si>
    <t>Gaceta de Madrid n.º 172</t>
  </si>
  <si>
    <t>…s vecinos, siempre firmes en la noble determinación de morir ó vencer. A pesar de la indigen cia en que se hallaban contribuyeren sin necesidad de apremio con 80$ rs. que pidió el general D. Ant&lt; nio Bejines de los Ríos para las urgencias de las tropas de su mando, dándoles ademas quanto necesitaron á su paso por es ta villa en las diferentes expediciones que hizo, y á su regreso. Finalmente, Señor, para no distraer la atención de V. M. del cúmulo in…</t>
  </si>
  <si>
    <t>Antillon, Isidoro de</t>
  </si>
  <si>
    <t>Isidoro de Antillon</t>
  </si>
  <si>
    <t>…geografía astronómica, natural y política, escritas de orden del Gobierno para uso principalmente del seminario de nobles de Madrid, por el ca tedrático del mismo-establecimiento D. Isidoro de Antillon, académico de la his toria. Dos tomos en 8.° marquilla, acompañados de siete láminas para la inteligen cia del texto, y un mapa-mundi segyn las mas modernas observaciones y descubri mientos. Se hallarán en la librería de Cifuentes, calle de Preciados, á 40 rs…</t>
  </si>
  <si>
    <t>Antinaguel, Pascual</t>
  </si>
  <si>
    <t>Pascual Antinaguel</t>
  </si>
  <si>
    <t>…res cris tianos, y los propios naturales tienen significación en su idioma: Villacura, que se titula D. José, quiere decir tejo de oroj D. Agustín Lincopichum, perdiz encopetada $ D. Pascual Antinaguel, tigre del sol; I&gt;. Manuel Ren gueantes, refiexos del sois D. Juan Naguelpanc, tigre y león; D. JoséNeculneri, carrera de zorra. Participo á V. S. esta importantísima ocur rencia para su satisfacción, y que el Exemo. Sr. virey cuente con la inalte rable fidel…</t>
  </si>
  <si>
    <t>Anto</t>
  </si>
  <si>
    <t>…pesos, lino creación de Mayó, número 395476, y los dos de Enero, números 374114 y 375476; lo que se avisa al público á fin de que el que los obtenga se sirva entregarlos ál mismo D. Anto nio en Astorga, ó en esta corte á D. Pedro Arroyo, calle de la Magdalena baxa, 'núm. 4. Falsificación de vales reales hecha por el gobierno intruso, que pública la jun ta nacional del Crédito público. Se vende en la librería de Ranz, calle de la Cruz: su prec…</t>
  </si>
  <si>
    <t>747</t>
  </si>
  <si>
    <t>…puntos; para cuya operación nombra S„ M. por la infan tería al mariscal de campo D. Luis Wimpífen, segundo gefe que ha sido del estado mayor general abolido : por la caballería al brigadier D. Anto nio Cea: por ingenieros al de igual clase D. Antonio Eenayides; y por arti llería al mariscal de campo conde de Casasarria; y finalmente que en los exércitos primero y quarto se establezca el estado mayor prevenido en las ordenanzas generales mientras subsist…</t>
  </si>
  <si>
    <t>…reúna la Asamblea de la Orden de San Júaii dé Jerusalen, para tratar y dar curso á los asuntos de su atribución, ha nombrado S. M. por el real decreto siguiente &lt;il Sr. Baylío Fr. D. Anto nio Valdés Lugar-Teniente del Gran Prior de Castilla de la misma Ordén^ y como tal Presidente de dicha Asamblea. Por. quanto la dignidad de Gran Prior de Castilla y León de la Orden Militar y hospital de Jerusalen se halfa vacante por muerte del Infante Don P…</t>
  </si>
  <si>
    <t>Gaceta de Madrid n.º 106</t>
  </si>
  <si>
    <t>…io de iS^.sYO EL REY.srYo D. Juan Ignacio de Ayestarán, Secretario del Rey nuestro Señor, lo hice escribir por su man dado. =El Duque del Infantado. =s D. Luis Melendez y Bruna. = D. Anto nio Ignacio de Cortabarría.sD. Miguel Alfonso Villagomez. D. José Antonio de Larrumbide. = Registrada, Fernando de Iturmendi. = Teniente de Canciller mayor, Fernando de Iturmendi. El Rey ha tenido á bien promover á subtenientes en el Rea! cuerpo de Artillería…</t>
  </si>
  <si>
    <t>…io de hacer las fumiga ciones, tanto en los lazaretos de mar y tierra, como en los navios, hospitales, hos picios, cárceles y casas particulares: traducido y recopilado por el Dr. D. Anto nio Lavedan, profesor de medicina, y cirujano de cámara de S. M. Católica.* do$ tomos en 4.° Se hallarán en el despacho de la imprenta Real. Memoria sobre la alianza de España con Rusia, y la gratitud que los españo les deben al emperador Alexandro*. dala á l…</t>
  </si>
  <si>
    <t>1029</t>
  </si>
  <si>
    <t>…ai sociedad,patriótica de Aíadrid, compuesta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 históric…</t>
  </si>
  <si>
    <t>…u an Ignacio de Ayestarán, Secretario del Rey nuestro Señor, lo hice escribir por su mandado. = El Duque de! I;f ata do. = El Conde del Pinar. = D. Josef Antonio de Larrumbide. =. D. Anto nio Alvarez de Confreras. = D. Tomas Moyano.s: Regbtr.- da , Fernando de Iturmendi. = Teniente de Canciller mayor, Eernando de Iturmendi. El Rey se ha servido nombrar para una canongía de la iglesia catedral de Segovia, vacante por fallecimiento de D. Ignacio…</t>
  </si>
  <si>
    <t>…er de los asuntos que se promuevan en Madrid y su provincia sobre el reintegro de los bienes confiscados por el go bierno intruso; y ha nombrado por individuos de ella á los Sres. D. Anto nio Aivarez de Contreras y D. Antonio Ignacio de Cortabarría, del coa¿se jo Real; D. Franchco Ibaáez de Ley va, dei de Indias; D. Francisco Xa vier Adeü, del de Ordenes, y D. Jayme Aivarez de Mer.dieta, del de Ha cienda; y para fiscal al Sr. D. M muel Vicente…</t>
  </si>
  <si>
    <t>Anto, José</t>
  </si>
  <si>
    <t>José Anto</t>
  </si>
  <si>
    <t>2039</t>
  </si>
  <si>
    <t>…, y se restableció el antiguo que antes habia, acordó este dar á S. M. las debidas gracias por medio de una diputación, para la qual nombró á sus dos regidores perpetuos los Sres. D. José Anto nio de Larruiabide, ministro del consejo Real, y al marques de Valera,</t>
  </si>
  <si>
    <t>Anto, Josef</t>
  </si>
  <si>
    <t>Josef Anto</t>
  </si>
  <si>
    <t>2045</t>
  </si>
  <si>
    <t>…le dé la misma’ fe y crédito qúe á su original. Dada en Madrid á 6 de Setiembre de 1814. = El Duque dtl Infantado. = D. Igna cio Martínez de Villela. = D, Luis Melendez y Bruna. = D. Josef Anto nio de Larrumbide. = D. Tomas Moyano,=Yo D. Bartolomé Muñoz, Se cretario del Rey nuestro Señor, y su Escribano de Cámara, la hice escribir por su mandado con acuerdo de los de su Consejo. = Registrada, Fernando de Iturmendi. = Por el Canciller mayor, Fernando…</t>
  </si>
  <si>
    <t>Anto, Juan</t>
  </si>
  <si>
    <t>Juan Anto</t>
  </si>
  <si>
    <t>…gusta persona, y le conceda el necesario acierto. ” Asimismo en este día cumplimentaron á S. M. á nombre del cabildo de la catedral de Málaga sus individuos comisionados los Dres. D. Juan Anto nio Ximenez Pérez , arcediano de Velez, y D¿ José Navarrete, canónigo: el primero de los quales dixo á S. M. ,, Señor: la,catedral de Málaga tiene hoy el honor de reiterar árV. M. el debido homenage de su obediencia y fidelidad, pide y pedirá incesan temente…</t>
  </si>
  <si>
    <t>Anto, Manuel</t>
  </si>
  <si>
    <t>Manuel Anto</t>
  </si>
  <si>
    <t>…ncia de bandera al sargento primero Don Diego Roldan. En el de León de Huanuco compañía de granaderos al de fusileros Don Francisco Ingunza: compañías de fusileros á los tenientes D. Manuel Anto nio de la Mata y D. José Jorge Duran: tenencia de granaderos al de fusi leros D. Vicente Caballero: tenencia de fusileros al subteniente D. José de Meza ; y subtenencias á D. José Viiaurrizaga y D. Santiago Villar. En el de Huanta el empleo de teniente corone…</t>
  </si>
  <si>
    <t>Antón</t>
  </si>
  <si>
    <t>2076 D. Migue! de Orozco, D. Antón ib Gómez de Barreda, í).; Alonso de Tor res y Guerra, D. Manuel de Posada, y D. José Melendez Bruna. El Rey se ha servido nombrar para la dignidad de deán de la iglesia ca tedral de Cartagena, vacante por fallecimiento de D. Ignacio Ofañez, á Don Blas Ostoíaz…</t>
  </si>
  <si>
    <t>Antoneli, Pedro</t>
  </si>
  <si>
    <t>Pedro Antoneli</t>
  </si>
  <si>
    <t>Gaceta de Madrid n.º 79</t>
  </si>
  <si>
    <t>…aluarte por concluir, que está situado á tiro de pistola de esta garita, tratando algunos de ellos pasar el foso; pero el oportuno auxilio que dió el comándame del batallón ligero D. Pedro Antoneli á dicho punto, y las medidas que tomó el sargento mayor D. Ignacio del Corral, fueron suficientes para resistir aquel ímpetu y rechazarlos, á cuyo tiempo llegué, y notando se aumenta ban en quantíoso número los enemigos, y que se aproximaban decididos á entra…</t>
  </si>
  <si>
    <t>…tonio Larragoyti, que logró en la segunda saíiJa de esta ciudad arrollar al enemigo con la caballería que tenia á sus órdenes. Me son cambien de la mayor consideracf n el teniente coronel D. Pedro Antoneli, comandante dsl ligero de México, por los prontos auxilios que dió á su sargento mayor, y haber contribuido á desalojar al enemigo del fortín que ocupó en el primer avance. También debo hacer justicia al capitán del batallón ligero D. Hilario Díaz, y teniente…</t>
  </si>
  <si>
    <t>Antonio</t>
  </si>
  <si>
    <t>Gazeta de la Regencia de las Españas n.º 20</t>
  </si>
  <si>
    <t>…or colocación, y ajponpr, la mía- al tiempo de. la descúbierta.se opusieron los franceses cojji bastante fuego; loqual .vist^ ppr el co ronel comandante de la columna de pazadores'D. Antonio ;Cano, y obrando según mis instrucciones, fue feforz;ando el punto atacado i proporción,que</t>
  </si>
  <si>
    <t>…nemigos en vuelta de afuera, á cuyo tiempo se observó salía de Sta. Marta una goleta mercante embergando su aparejo, que armada con mucha gente , y al majido del teniente de navio D. Antonio. Gastón venia á reforzarnos. A las quatroy media volvió á virar el enemigo, dirigiéndose como á atacar ají Borja y la Junta de Sevilla, que estaban algo atrasados; pero habiéndolo verificado en vuelta de ellos el Cupido y la Galga reviraron los enemigos en.vu…</t>
  </si>
  <si>
    <t>…iato continuarían su viage con arreglo al itinerario. * Asimismo ha sabido la Regencia que el 13, el 14 y el 15 continuaba en Valencia sin particular novedad el Sermo. Sr^ Infante D. Antonio. Posteriormente ha sabido la Regencia que el Rey y el Sermo. Sr. Infan te DI Carlos habían llegado á Sarrion entre dos y tres de la tarde del día 14 con la mas completa salud, y que en medio de un inmenso concurso y de repetidas aclamaciones había sido conduc…</t>
  </si>
  <si>
    <t>Gaceta de Madrid n.º 91</t>
  </si>
  <si>
    <t>…naval; mis deseos de dar á este distinguido cuerpo una prueba de lo convencido que estoy de su utilidad, y ios que al mismo tiempo me ani man de mostrar á mi amado Tío el Infante D. Antonio mi reconocimiento por su constante amor, servicios y consuelos que le he merecido durante mi largo cautiverio, me han movido á nombrarle, como en virtud de este de creto le elijo y nombro, para gefe superior del expresado cuerpo y sus aca-</t>
  </si>
  <si>
    <t>Gaceta de Madrid n.º 104</t>
  </si>
  <si>
    <t>…muy madura reflexión me ha propuesto la Junta de Marina, que tuve á bien crear por mi Real decreto de i i de este mes baxo la inmediata presidencia de mi muy'amado Tio el Infante D. Antonio, he venido en aprobar el establecimiento de un Tribu nal ó Consejo de Marina, con la denominación de Almirantazgo, que siem pre se ha acostumbrado darle. Y' como al mismo tiempo estoy bien satisfe cho de las recomendables calidades de capacidad, juicio y prud…</t>
  </si>
  <si>
    <t>885</t>
  </si>
  <si>
    <t>885 cLL Excmo. Sr. Ü. Pedro de Cevalfos, y de los Sres. D. Antonio de la. Cuesta y D. Gabriel de Hoyos y ’Velarde, quienes tuvieron ei honor de bear la real mano de S. M. y la de SS. AA., después de haber pronunciado el primero de ellos el siguiente difcurío: ,,Señor: la junta general de los representantes de las montañas de…</t>
  </si>
  <si>
    <t>…cias, ha convenido en ello el Austria con la condición de qjue el rey de Saxonia deba volver á ocupar ei trono, y que después de su muer te se asegure ia sucesión en su hermano el príncipe Antonio, tio de nuestro Emperador, y por quien se interesa mocho nuestra corte. Si esto es cierto, habrán desistido la Rusia y la Prusia del proyecto que tenían de restablecer en el trono de Saxonia al actual duque de Saxonia- Weimar. Se cree generalmente que nuestro…</t>
  </si>
  <si>
    <t>…l colegio de Farmacia de esta corte principia el curso de enseñan za de dicha facultad el dia i.ü de Octubre: los que desearen ari-tir se pre sentarán en el expresado colegio á su secretario D. Antonio de ía Cruz para matricularse con arreglo á las ordenanzas de 1804.</t>
  </si>
  <si>
    <t>2014</t>
  </si>
  <si>
    <t>…* Wingen. Varias cartas que se han recibido últimamente de Viena dicen que el rey ;de Saxonia ha renunciado todas sus pretensiones y derechos á este reyno á favor de su hermano el príncipe Antonio, tio por afinidad del emperador de Austria, y que se halla en el dia en Viena. ALEMANIA. Francfort jj de Setiembre. Según noticias del norte de Alemania el general en gefé conde de Benjungsen ha alquilado en Hannóver casa para un año; lo que hace presumir que…</t>
  </si>
  <si>
    <t>…rgo. H m llegado últimamente á esta capital desde Londres el duque de Richeiieu, teniente general al servicie» de la Rusia, el conde de Rastignac, ma riscal del exército trances y D. Antonio deSaldanha de Gama, plenipoten ciario de Portugal, que todos deben asistir al congreso.</t>
  </si>
  <si>
    <t>…eto, y dicen que no tardarán en publicarse. Entre tanto se hace correr la voz de que si llega á reconocerse la independencia de la Saxonia, se le dará tal vez la corona de ella al príncipe Antonio, tío por afinidad del emperador de Austria, y hermano ael Rey actual. . ' Otra proposición no menos fuerte encuentra el plan relativo á la Polo nia ; y las pretensiones de la Rusia excitan diariamente los mas vivos deba tes en las conferencias particulares de…</t>
  </si>
  <si>
    <t>2266</t>
  </si>
  <si>
    <t>…to que con prodigios y portentos extraordinarios le ha conducido á esté suelo la divina Providencia.” En los mismos términos felicitaron á los Sermos. Sres. Infantes D. Car los y D. Antonio. El 28 del mismo tuvieron igualmente la honra de cumplimentar á S. M. en nombre de la sociedad patriótica de la Rioja los Sres. conde de Murillo y de Bornos, D. Ignacio de Marrón, D. joaquin de Osma y D. Pedro Gon zález Robles; diciendo el primero de ellos: „…</t>
  </si>
  <si>
    <t>…y se pretende que el rey de Saxonia, que permanece en el castillo de Frederichí&gt;feld , cerca de Berñn, ha recibido del príncipe An tonio, su hermano, cartas muy satisfactorias. El príncipe Antonio, que es cuñado del emperador de Austria ,y que se halla en el dia en Schoenbrunn go zando de la consideración general, visita con frecuencia á los Monarcas alia dos, porque está encargado de mirar por los intereses de su casa. Ademas los saxones no cesan de e…</t>
  </si>
  <si>
    <t>Antonio'Valdés</t>
  </si>
  <si>
    <t>…a de presentarse á cum plimentar á S. M. la asamblea de la sagrada religión de S. Juan de Jerusalen* presidida por e! lugar-teniente de gran prior de Castilla y León el baylío Er. D. Antonio'Valdés, que expresó los sentimientos de la asamblea en Iostérminos siguientes: „ Señor: la asamblea de la orden militar y hospitalaria de S. Juan de Jerusalen, representada por los pocos individuos que en el dia la componen, y reunida por orden de V. M. para el exer…</t>
  </si>
  <si>
    <t>Antonio, Cárlos y Doft</t>
  </si>
  <si>
    <t>Cárlos y Doft Antonio</t>
  </si>
  <si>
    <t>…señalados servicios de Casares , que ten drá presentes» Después tuvieron también dichos Excmos. Sres. comisionados la honra de poner en manos de SS. AA. los Sermos. Sres. Infantes D. Cárlos y Doft Antonio otros seis exemplares del citado expediente. ‘ ARTICULO DE OFICIO, Con fecha de ayer 8 de Noviembre se ha servido S. M. expedir él de creto siguiente: v ,, Habiendo resuelto que mi Secretario de Estado y del Despacho de Gracia y Justicia D. Pedro Maranaz cese…</t>
  </si>
  <si>
    <t>Antonio, Infante DL</t>
  </si>
  <si>
    <t>Infante DL Antonio</t>
  </si>
  <si>
    <t>Gazeta de la Regencia de las Españas n.º 45 (extraordinaria)</t>
  </si>
  <si>
    <t>…recibir á S. M., y hacerle los honores debidos á su Real Persona. En efecto, hoy ha sido el dia feliz que tenia preparado el cielo para que S. M. el Sr. D. Fernando vil y S. A. el Sr. Infante DL Antonio entrasen en territorio que ocupan las tropas de este primer exército. Habiendo salido S. M. de Figueras esta mañana, se presentó al medio dia en la orilla izquier da del rio Fluviá, frente de Bascara, hasta cuyo punto vino custodiando á S. M. el mariscal Such…</t>
  </si>
  <si>
    <t>Antonio, José</t>
  </si>
  <si>
    <t>José Antonio</t>
  </si>
  <si>
    <t>…te Don Ignacio Carrillo y al teniente D. José Félix Muñoz. En el regimiento de milicias disciplinadas de dragones de Lima el em pleo de teniente coronel ai comandante de esquadron D. José Antonio de trrea: esta resulta al coronel conde de Villar de Fuentes, capitán de gra naderos del mismo cuerpo: la compañía de granaderos que este dexa al ca pitán D Lorenzo de Zarate: empleos de capitanes á los tenientes D. Pedro Manuel Escobar y D. José Ramírez Xará…</t>
  </si>
  <si>
    <t>Antonio, Josef</t>
  </si>
  <si>
    <t>Josef Antonio</t>
  </si>
  <si>
    <t>…A\ esta-* rin , Secretario del Rey nuestro Señor, lo hice escribir por su mandado. =3 Di Gonzalo Josef de Vilches. reD. Miguel Alfonso Villagomez. = D, Geró nimo Antonio Diez. =r D. Josef Antonio de^Larrumbidei £2 D-Tomas Moyaiid.= Registrada, Fernando de íturmendi.=sTeniente de Canciller mayor, Fernando de Iturmendú * » , * * . * El virey de Navarra dio parte á S. M., con fecha de 9 de Setiembre, que por las difrentes quejas que le habían dado las ju…</t>
  </si>
  <si>
    <t>Antonio, Juan</t>
  </si>
  <si>
    <t>Juan Antonio</t>
  </si>
  <si>
    <t>Gaceta de Madrid n.º 118</t>
  </si>
  <si>
    <t>…el honor de besar la mano y cumplimentar á S. M., á nombre de las villas de Potes y S. Vicente de la Barquera, el llmo. Sr. D. Isidoro Perez de Celis, obispo electo de Segovia, y D. Juan Antonio deNoreña; el priinero de los quales dixo: ,, Señor: ei ayuntamiento de vuestra villa de Potes, capital de la pro-</t>
  </si>
  <si>
    <t>…Joaquín Almazan: para la vara de Burgos á D. Prudencio Fernandez de la Pelilla : para el corregimiento de Molina de Aragón á Don Francisco Estéban y Ranz: para la vara de Osuna á D. Juan Antonio Del gado: para la de Don Benito á D* Eusebio Lampie: para la de Medellin á •D. Feliciano Centeno: .para Ja de Guadalaxara á D. Estéban Rodríguez Ga llego: para la de Laseca á D. Pablo Blanco Caballero: para el corregi miento de Calahorra á D. Francisco Fabian: pa…</t>
  </si>
  <si>
    <t>AntoniojBarrenay, Pedro</t>
  </si>
  <si>
    <t>Pedro AntoniojBarrenay</t>
  </si>
  <si>
    <t>Gazeta de la Regencia de las Españas n.º 29</t>
  </si>
  <si>
    <t>…ballería se dirigía por el camino real. Todas estas fuerzas compon drían uñ número de hombres. s Al primer aviso reforcé los puentes principales, y traté de esperar al enemigo. El coronel D. Pedro AntoniojBarrenay del 2.®, reforzó elpuente de Echeverri, en donde se; hallababde facción La compañía de granaderos coü la tercera y con la segúnda , á .ia¡ que ^cubría la , izquierda en el barrio de Leis-^ pais yy con las restantes tomoiposieion en una altura que le domina._L…</t>
  </si>
  <si>
    <t>Aparíci, Pedro</t>
  </si>
  <si>
    <t>Pedro Aparíci</t>
  </si>
  <si>
    <t>…Don Francisco de-la-Vega.nD. Francisco de Arango. = D. Francisco Ibañez Leyva. = D. Juan Gualberto González, Fiscal. = D. Estéban Varea, Secre tario-= Sala segunda de Gobierno. = D. Pedro Aparíci. = Conde de TorreMuzquiz. = D. Ignacio OmulrriannD. Cayetano Urbina. = D. Juan Ro bledo. = D. Francisco Xavier Caro. = D. Josef Aycinena. = D. Antonio Cal derón , Fiscal. = D. Silvestre Collar, Secretario. = Sala tercera de Justician D. Ramón de Posada.s= Di…</t>
  </si>
  <si>
    <t>Aparici, Pedro</t>
  </si>
  <si>
    <t>Pedro Aparici</t>
  </si>
  <si>
    <t>…la Real mano de S. M.= A D. Miguel de Lardizabal y Uribe. Nómina de los Ministros de mi Real Cámara de Indias; = El Duque de Montemar, Presidente. = D. Miguel Calixto de Acedo. = D. Pedro Aparici. = D. Ramón de Posada. =D. Francisco Requena. =D. Josef Pablo Va liente. Madrid 2 de Julio de 1814. = Señalado de la Real mano de S. M. Circular del Ministerio de Hacienda. ,,He dado cuenta al Rey nuestro Señor del oficio de V. S. de 14 de Junio último, en qu…</t>
  </si>
  <si>
    <t>Aparicio, Diego Antonio Ramos</t>
  </si>
  <si>
    <t>Diego Antonio Ramos Aparicio</t>
  </si>
  <si>
    <t>Gaceta de Madrid n.º 85</t>
  </si>
  <si>
    <t>…fué también de teología: el Dr. D. José Mintegui, catedrá tico jubilado de cánones; el Dr. D. Nicolás María de Sierra, del consejo Real, catedrático que fué de elocuencia; el Dr. D. Diego Antonio Ramos Aparicio, catedrático actual de historia eclesiástica ; los Dres. D. Andies Aransai, D, Agustín Librero y D. Fernando Velez, capellanes de honor de S. M.; el Dr. D. Andrés Cerezo; los Sres. Dres. D. José Coba y Sai o y D. Francisco Crespo Rascón, del consejo de S. M.,…</t>
  </si>
  <si>
    <t>Aparicio, Diego Ramos</t>
  </si>
  <si>
    <t>Diego Ramos Aparicio</t>
  </si>
  <si>
    <t>…para presidente el Sr. D. Gerónimo Diez, diputado por Salamanca; para vice-presidente el Sr. D. Antonio Joaquín Perez de la Puebla, diputado por Nueva-España, y para secretario el Sr. D. Diego Ramos Aparicio, diputado por Extremadura. Actas de las Cortes ordinarias, para que el público sepa con certeza sus resolu ciones, y no extravie la opinión por medio de extractos equivocados. Se hallarán á 6 quartcs cada pliego desde el núm. 59 , y á real ídem hasta el 58 ,…</t>
  </si>
  <si>
    <t>Apedaca, Juan Ruiz de</t>
  </si>
  <si>
    <t>Juan Ruiz de Apedaca</t>
  </si>
  <si>
    <t>…o, porque se pone en un estado separado. Idem r$. Oficio de D. Fernando Miyares y capitán general de la provincia .de Ma rx cay b o , al Exento, Sr. capitán general} gefe político D. Juan Ruiz de Apedaca. Excmo. Sr.: el brigadier D. José Vázquez y Tellez, gobernador mili tar interino de la ciudad y distrito de Coro, con fecha de 12 del corriente me dice lo que sigue: ,, Para la satisfacción de V. S., y de todo buen español que habite en esa provincia, expreso…</t>
  </si>
  <si>
    <t>Apodaca, Sebastian Ruiz de</t>
  </si>
  <si>
    <t>Sebastian Ruiz de Apodaca</t>
  </si>
  <si>
    <t>…rpo de sn Real armada una prueba del aprecio en que lo tiene, se ha servido de hacer por ahora en él la promoción siguiente: Ascendidos á tenientes generales ios gefes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t>
  </si>
  <si>
    <t>Ápsin, Francisco</t>
  </si>
  <si>
    <t>Francisco Ápsin</t>
  </si>
  <si>
    <t>…sta heroyea villa tasada en 1658 rs. en moneda metálica, de que han de deducirse un censo de 889 rs., y dema* cargas que sobre sí teng í. Quien quisiere hacer postura acuda antee! Sr. D. Francisco Ápsin , del concejo de S. M., teniente corregidor de esta villa, por la escribanía de su número que exerce D. Juan Raya, donde se manifestarán los títulos de per tenencia. Sermones sobre las verdades mas importantes de la religión, traducidas del fran cés por el P.…</t>
  </si>
  <si>
    <t>Aquavera, Juan</t>
  </si>
  <si>
    <t>Juan Aquavera</t>
  </si>
  <si>
    <t>…ado mayor el ayudóte Massaues y Villaespesa, coronel dei regimiento de Soria, con la escolta del primer esquadron de húsares, man dado por el capitán gt&amp;dúadó de teniente eóironel D. Juan Aquavera. Gomo á uha hora 4istúitte de ^erona arrisaron los batidores-dei Rey se aristabael coche ^'^ué^vénia S.riAy íL elr. Inlan te D. Carlos,, y al lle gar á su inmediacioíi^ apeándose 'S.lMi y ambos Sres. Infantessfc abrazaroa tiernamente* ou ■ . • &gt;ó-.h</t>
  </si>
  <si>
    <t>Aquenza, Ramón</t>
  </si>
  <si>
    <t>Ramón Aquenza</t>
  </si>
  <si>
    <t>…entro D. Sebastian Benavente', cTcorohel de ca ballería D. Jorge Baiüvian, el comandante dél esqüadroa de dragones par tidarios D. Saturnino Castro, el de los mismos de infantería D. Ramón Aquenza, el de cazadores D. Pedro Antonio de Okñeta, el de las guerri llas D. Manuel-Valle, y todos los oficiales hasta el último soldado han cum plido en sus respectivos destinos de una maneta que no hay voces con que elogiarlos. ,,En consecuencia» y para premio de…</t>
  </si>
  <si>
    <t>Ar</t>
  </si>
  <si>
    <t>Gazeta de la Regencia de las Españas n.º 7</t>
  </si>
  <si>
    <t>…LO DE OFICIO. La Regencia del Rey no acaba de recibir la noticia de que el exdrcito que e'tró en Tejas, capitaneado por el cabecilla Toledo, ha sido completam nte derrotado por el general Ar edondo el dia 18 de agosto del año pasado, ha biendo esperado dicho g neral á los rebeldes en una excelente posición, y lo grado desde aquel punto atraerlos á una emboscada, en que fueron destrui dos por la artillería, castigándolos por la osadía que tuvieron…</t>
  </si>
  <si>
    <t>Ar, Pablo</t>
  </si>
  <si>
    <t>Pablo Ar</t>
  </si>
  <si>
    <t>…s políticas lo modificó á su manera, y lo insertó en su gaceta de 19 de Febrero del mismo año con las adiciones, supresio nes y enmiendas que en él hicieron el conde de Cabarrás y D. Pablo Ar ribas para presentarlo tal como ellos apetecían, y no como se pronunció. Todo esto lo ha justificado plenamente el canónigo Posada en el juzgado de primera instancia de D. Manuel Fernandez Gamboa, con audiencia de los síndicos procuradores generales del ayunt…</t>
  </si>
  <si>
    <t>Aramburo, Manuel de</t>
  </si>
  <si>
    <t>Manuel de Aramburo</t>
  </si>
  <si>
    <t>…acho requisitorio del juzgado de letras de la ciudad de Segovia, cumplimentado por el Sr. D. Francisco Assin, alcalde mayor de Madrid, se cita, llama y emplaza á los acreedores de D. Manuel de Aramburo, vecino que fue de dicha ciudad, para que por sí ó por sus legítimos apoderados comparezcan á usar de su derecho en dicho juzgado de Segovia, en el término ordinario, aper cibidos que en su defecto les parará el perjuicio que haya lugar. - Se desea saber el p…</t>
  </si>
  <si>
    <t>Arana, Alexandro de</t>
  </si>
  <si>
    <t>Alexandro de Arana</t>
  </si>
  <si>
    <t>…el doble objeto de que descubriesen todas sus tuerzas; y si hubiese un momento favorable se atacase la línea fortificada debenemigo, pues al intento mandé á mi ayu dante de Cimpo capitán D. Alexandro de Arana reconociese bien Ja línea para el araque que pensaba dar por la noche. La aproximación de Orrantia con sus cuerpos á las cercas y parapetos no intimido á los rebeldes, pues se mantuvieron con serenidad en los pues tos de defensa; pero al acercarse mas rompier…</t>
  </si>
  <si>
    <t>Está prisionero el ^teniente general Matamoros (segundo de Morelos), de cuya sumaria está encargado mi ayudante el capitán D. Alexandro de Arana. Con Matamoros fueron hechos prisioneros muchos de so plana mayor, entre ellos 18 coroneles, tenientes coroneles y capitanes, que han sido pasa dos por las armas. ¡ Morelos salió de esta hacienda la víspera del ataque del 5 con solo una compañía de su guardia…</t>
  </si>
  <si>
    <t>Aranda, Diego de</t>
  </si>
  <si>
    <t>Diego de Aranda</t>
  </si>
  <si>
    <t>…* cura de la parroquia de S. Juan Tianguismanalco, en aquel obispado. Para dos raciones y una media ración de la santa iglesia de Guadalaxara de Indias á D. José Domingo Sán chez, D. Diego de Aranda y D. José Miguel Ramírez, curas párrocos del mismo obispado: y para una plaza de oidor de la Real audiencia de Guadalaxara á D. Mariano Mendiola , auditor que fué de milicias de aquella pro vincia. El Rey se ha servido nombrar al Dr. D. Juan de Lera y Cano, cura párroco de la iglesia…</t>
  </si>
  <si>
    <t>Arandia, Andrés de</t>
  </si>
  <si>
    <t>Andrés de Arandia</t>
  </si>
  <si>
    <t>…de colocado el retrato de S. M. al lado del evangelio , en el presbiterio, baxo un dosel de damasco , se celebró una misa con eí Señor manifiesto/i en la'qual predicó el R. P. Fr. D. Andrés de Arandia, lector pasante de teología de la orden :de ¡a Mer ced; concluida la qual se cantó un solemne Te Deum. Finalizado este,.acto religioso, se dirigió el alcalde , acompañado de los individuos de ay un tanyen-</t>
  </si>
  <si>
    <t>Arandia, Eusebio</t>
  </si>
  <si>
    <t>Eusebio Arandia</t>
  </si>
  <si>
    <t>…ente Ámat y Men doza, á ios tenieiités D. Francisco Xavier Arévalo y D. Pedro Nolascó .Teilo, y al marques de Mozobamba: y tenencias á los alféreces D. Juan Crisóstomo Altamirano, D. Eusebio Arandia, D. Silverio Antonio del Pdao y D. José Sarmiento. En el esquadron de Pacasmayo tenencia al alférez D. José Leandro Zamora. En ei de Amotape compañía al teiliente D. Joaquín de Helguero y Albo. Y en el esquadron de milicias disciplinadas de dragones de Guayaq…</t>
  </si>
  <si>
    <t>Arango, Antonio</t>
  </si>
  <si>
    <t>Antonio Arango</t>
  </si>
  <si>
    <t>Gaceta de Madrid n.º 169</t>
  </si>
  <si>
    <t>…D. Juan Nepomueeno del Puerto, á D, Juan López Muñíz , cura párroco de la misma catedral; y para otra ración de la misma , vacante por muerte de D. Manuel de San Pedro Ordoñez, á Don Antonio Arango, sacristán mayor, dé la propia catedral. Asimismo el Rey nuestro Señor en atención á:los méritos y servicios del presbítero D. Alexandro Riquelmé, teniente de cura de la catedral de Ceu ta, ha venido en nombrarle para una radon de la misma iglesia, vacante po…</t>
  </si>
  <si>
    <t>Arangoyti, Manuel Domingo de Perca y</t>
  </si>
  <si>
    <t>Manuel Domingo de Perca y Arangoyti</t>
  </si>
  <si>
    <t>Gaceta de Madrid n.º 133</t>
  </si>
  <si>
    <t>2003</t>
  </si>
  <si>
    <t>…lecimiento de D. Francisco Gregorio de Sierra, á D. Juan Mier Gastañon: para una. capellanía de Sres. Reyes nuevos de la ciudad de Toledo, vacante por muerte de D. Carlos Duran, á D. Manuel Domingo de Perca y Arangoyti: para el. beneficio simple servidero de la parroquia de.-Stai María de Carraona, diócesis de Sevilla, vacante por falle cimiento'de-D,. José Valderas , á D. Vicente Ribera,cura párroco del Real sitio de S. Lorenzo, con retención del curato: para la media pres…</t>
  </si>
  <si>
    <t>Aranguren, Tomas</t>
  </si>
  <si>
    <t>Tomas Aranguren</t>
  </si>
  <si>
    <t>221</t>
  </si>
  <si>
    <t>…ntonio Castro,. 16: Francisco Djaz, 2&lt;p:, José Reyes, 10: José García Zurrique, 20: Juan de Caz, 30: Mariano Riaza, 20: Clemente Majoleto, 20: Francisco García Hernández, 120: Dr. D. Tomas Aranguren, 100: D. Fernando Milano, presbítero, 100: D. Diego Milano, 30: D. José de'Olmo, presbítero regu lar, 10: Félix Riaza*', 3°: Marcos Riaza, 20: Francisco Riaza, 20: Manuel Reguera , 8 : Mimiíiél; Erranz , i i ?: Jorge García, 2ó : Estanislao de la Cáíi— tilla…</t>
  </si>
  <si>
    <t>Aransai, Andies</t>
  </si>
  <si>
    <t>Andies Aransai</t>
  </si>
  <si>
    <t>…r. D. Nicolás María de Sierra, del consejo Real, catedrático que fué de elocuencia; el Dr. D. Diego Antonio Ramos Aparicio, catedrático actual de historia eclesiástica ; los Dres. D. Andies Aransai, D, Agustín Librero y D. Fernando Velez, capellanes de honor de S. M.; el Dr. D. Andrés Cerezo; los Sres. Dres. D. José Coba y Sai o y D. Francisco Crespo Rascón, del consejo de S. M., y el Dr. D. José Ca— franga, oficial de la secretaría de Gracia y Justicia…</t>
  </si>
  <si>
    <t>Aransolo, Manuel Perez</t>
  </si>
  <si>
    <t>Manuel Perez Aransolo</t>
  </si>
  <si>
    <t>…buenos y distinguidos servicios del conde de la Cimera, se ha servido con cederle honores del Consejo de Estado. El Rey se ha servido «nombrar* para el corregimiento de Torrijas ¿ Don Manuel Perez Aransolo*; para kpvara.de Saldada i!D. José Benito Gutiér rez Bustamante: para la de Tavara á D. Manuel Ximenez: para el corregi miento dé Afstójfga á D. Babiüa/Gircía:MaQrtqiue : para la vara de Santilla-</t>
  </si>
  <si>
    <t>Aransoro, Manuel Perez</t>
  </si>
  <si>
    <t>Manuel Perez Aransoro</t>
  </si>
  <si>
    <t>…os honores de intendente de provincia. El Rey se ha servido nombrar para el corregimiento de la ciudad de Astorga á D. Basilio García Manrique, y para el de la villa de Torrijos á D. Manuel Perez Aransoro; para la vara de lá villa de Elche á D. Ignacio Sauca; para la de Almazañ á D. Gregorio Bárraycoa; para la de SantULua i d J oaquin Paz Merino; para la de Tabara á D. Manuel Xlmenez , y par ra ia dé Sald ña á D. José Benito Gutiérrez Bustamante. En atención á…</t>
  </si>
  <si>
    <t>2148</t>
  </si>
  <si>
    <t>…y en el puesto de Sánchez , calle de Atocha, frente á la plazuela del Angel, á 10 rs, en rústica y 1 2 en pasta. N®ta. En la gaceta nám. 143» pág. 2091, lín. 24 y 25 , donde dice D. Manuel Perez Aransoro, léase Aransolo. Y en la gaceta núm. 144 del 29 de Octubre último,- pág. 2097, lín. 40, donde dice D. Franciseo Galvez y dignidad de tesorero de la santa iglesia de Córdoba , léase de Gra nada. EN LA• IMPRENTA- • # ♦REAL. t * *</t>
  </si>
  <si>
    <t>Ararno, Juan de Dios</t>
  </si>
  <si>
    <t>Juan de Dios Ararno</t>
  </si>
  <si>
    <t>…regimientos de milicias del vireynato ael Perú, que abaxo se expresan, los empleos si guientes : En el de Arequipa:, de infantería disciplinada ,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infantería urbana, subtenencia…</t>
  </si>
  <si>
    <t>Araujo, Manuel López de</t>
  </si>
  <si>
    <t>Manuel López de Araujo</t>
  </si>
  <si>
    <t>…a concedido S. M. gracia de capellanes de honor á D. Ma tías Vinuesa López de Alfaro; á D. Blas Ostoiaza, y á D. Alfonso Ximenez de Cisneros. Los honores del consejo de Hacienda á D. Manuel López de Araujo, á D. Francisco González Estéfani, á D. Francisco Ortiz Taraa* co, á D. Nicolás Lamiel, y á D. José Teodoro Santos. Conformándose el Rey nuestro Señor con el parecer de su consejo supre mo de la Guerra, se há servido declarar por distinguida y digna de premió…</t>
  </si>
  <si>
    <t>Araujo, Manuel Vázquez</t>
  </si>
  <si>
    <t>Manuel Vázquez Araujo</t>
  </si>
  <si>
    <t>…el mismo acompañamiento. Una diputación del ayuntamiento constitucional de la ciudad de Segóvía, compuesta de D. Jacinto del Rio , alcalde de segundo voto, de D. Josef Ca savan y D. Manuel Vázquez Araujo, regidores, y del procurador sín dico D. Melchor Andrés, con el apoderado general de la tierra, se presentó el 12 del corriente á felicitar á la Regencia del Reyno por su feliz llegada á esta capital, y tuvo la honra de merecer á S. A. las mas expresivas demo…</t>
  </si>
  <si>
    <t>Gaceta de Madrid n.º 81</t>
  </si>
  <si>
    <t>…i tución al trono el ayuntamiento de la M. N. y L. ciudad de Segovia por medio de sus comisionados D. Manuel de la Fuente, alcalde primero, Don Juan Manuel Cubero, regidor decano, D. Manuel Vázquez Araujo, Don Manuel Rodríguez Ribera, regidores, y D. Pedro Yagiie Delgado, pro curador general de la tierra, quienes tuvieron la honra de presentarse á S. M. y besar su real mano. Este dia tuvo igualmente el honor de cumplimentar á S. M. el limo, ca bildo de la sant…</t>
  </si>
  <si>
    <t>Arauz, José González</t>
  </si>
  <si>
    <t>José González Arauz</t>
  </si>
  <si>
    <t>…ranaderos á D. Bernabé García Ábreu , y de cazadores á D. Salvador Hernández Abad; á subteniente de fusileros á D. Domingo Hernández Leal, y de bandera á D. Lu s Román y Franco y.,D. José González Arauz. Y á subtenientes en ei batallón de milicias urbanas de. la plaza de Alburquerque á D. Bruna del Pilar y D. Manuel María Salvadores. Por dimisión del gefe de esquadra de la armada nacional D. Francisco Xavier de Uriarte y Borja ha quedado vacante la plaza de…</t>
  </si>
  <si>
    <t>Arazuri</t>
  </si>
  <si>
    <t>Gazeta de la Regencia de las Españas n.º 14</t>
  </si>
  <si>
    <t>…e con las avanzadas de Jesús á medio tiro de la pla za: se situaron los obuses, y cubrieran los parapetos sobre la derecha del río con infantería de Rioja y Cariñena, al mando del capitán Arazuri y el teniente D. Antonio Aznar, y se rompió el fuego muy vivo por nuestros obuses y fusilería, causando mucho daño ai enemigo, que no contestó sino con la última arma. Por e«ta observación, y por las noticias que se había* extendido de que el ecemigo trataba…</t>
  </si>
  <si>
    <t>Arazuri-, Saturnino García de</t>
  </si>
  <si>
    <t>Saturnino García de Arazuri-</t>
  </si>
  <si>
    <t>…de patiiotismo y amor á su Real Persona. Donativos patrióticos hechos en Arequipa en Junio de 1812 para auxilio de la dividan de D. francisco Espoz y Mina, mariscal de ampo. El Dr D. Saturnino García de Arazuri-, deán de esta santa iglesia, 500 pesos: el Dr. D. Francisco Xavier Echeverría, arcediano de la misma, too: el Dr. D. Cipriano Villota, chantre de ídem-, 200: el Dr. D. Juan Felipe Portu, prebendado de ídem, 25 : el Dr. D. Francisco Pantaleon Uztariz, cura ré'…</t>
  </si>
  <si>
    <t>Arbizu, Manuel</t>
  </si>
  <si>
    <t>Manuel Arbizu</t>
  </si>
  <si>
    <t>…e Echevarría: para otra de oidor no nacional á Don Ramón Macia de Lleopart: para otra á D. Santiago Suso y Anda: para una de alcalde nacional á D. Fermín Sanz y López: para otra á D. Manuel Arbizu: para otra á D. Pedro Lapuerta; y para otra no nacional á D. Map riano Rufino González; y para la fiscalía ae dicho consejo,á D. Juan Rar mon de Matute; y para una de ministro togado en la Cámara de Comptos á D. Joaquín Eiio y Jaureguizar: para una de oidor d…</t>
  </si>
  <si>
    <t>Arbizu, Manuel José</t>
  </si>
  <si>
    <t>Manuel José Arbizu</t>
  </si>
  <si>
    <t>…real de Granada á D. Jo:é Rafael de Sebastian. Asimismo lia nombrado para magistrados de la audiencia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 ia iglesia catedral de Guadalaxara á O.…</t>
  </si>
  <si>
    <t>Arcas, Matías Jorge de</t>
  </si>
  <si>
    <t>Matías Jorge de Arcas</t>
  </si>
  <si>
    <t>…mos en 4.° Se hallarán en el despacho de la imprenta Real. Memoria sobre la alianza de España con Rusia, y la gratitud que los españo les deben al emperador Alexandro*. dala á luz D. Matías Jorge de Arcas. Se halla rá en la librería de Ranz, calle de la Cruz. Exercicio quotidiano de diferentes oraciones para todos los dias, y para ante»' y después de la confesión y sagrada comunión, con un exercicio cristiano para la santa misa, el ofrecimiento del santo rosar…</t>
  </si>
  <si>
    <t>Arce, José María de</t>
  </si>
  <si>
    <t>José María de Arce</t>
  </si>
  <si>
    <t>…bas cá.maras ó consejos completos en el número prescritoupot: la constitución. ESPAÑA. ' : —^ _ ,.*'*■ . .1 . j . Zamora 7 de Junio, r Deseando el Sr. intendente de esta provincia D. José María de Arce con</t>
  </si>
  <si>
    <t>Arce, Ramón Josef de</t>
  </si>
  <si>
    <t>Ramón Josef de Arce</t>
  </si>
  <si>
    <t>…--- U.------- ^ 4—t - r * ----------- — — U íí -.1? .&lt; .¡4— —-■ Por providencia del FraíicLiCG Assin, Juez letrado :de primera instancia de esta villa, se cita, llama y, emplaza á D. Ramón Josef de Arce, conde de Galvez, D. Miguel Josef de Ázanza , D, Gonzalo O-Farril, marquesa de Montchermoso, marques de Valle de la Paloma, D. Josef Ignacio Joven de Salas, D. Josef R omero, D. Magín Ferrer, D. Domingo Agüero, D. Manuel Sil vela, D. Rafael Tenorio, D. Franci…</t>
  </si>
  <si>
    <t>Arcis, Platow de</t>
  </si>
  <si>
    <t>Platow de Arcis</t>
  </si>
  <si>
    <t>…el 28 de Febrero, fué destacado el general Platow á Sezanne para mantener la co municación con aquel mariscal, y amenazar la retaguardia de Bonaparte. En esta marcha se apoderó el general Platow de Arcis, haciendo prisionera á su guarnición. Han llegado periódicos de París hasta el 12 de este mes, los quales no contienen noticia alguna oficial de los exércitos; sin embargo el Monitor del lo, en un artículo de Craon el 7 de Marzo dice que Bonaparte der rotó aq…</t>
  </si>
  <si>
    <t>Ardizoni, Boidi de</t>
  </si>
  <si>
    <t>Boidi de Ardizoni</t>
  </si>
  <si>
    <t>…cuerpo legislativo que se han adherido al asta constitucional. El conde Henrique de Montesquiou, vice-presidente. El caballero Bouchet, ídem. El caballero Félix Faulcon, ídem. El barón Boidi de Ardizoni, ídem. El caballero Chauvin de Bois-Savary , Laborde, secretario. Estanislao Baure, ídem. Aber, Barrot, Bassenge (L), Blanqjuart de Bailleul, Botta, BruysCharly-Caze de la Bove, Cazenave, Cavagnary, Challan ( le Chevalier) Chappuis, Charles (du Luz) Chatenay…</t>
  </si>
  <si>
    <t>Arechabala, Marcial</t>
  </si>
  <si>
    <t>Marcial Arechabala</t>
  </si>
  <si>
    <t>Gazeta de la Regencia de las Españas n.º 18</t>
  </si>
  <si>
    <t>…s Victoriano Orozco, Vicente Morales y Josef Castrejon. En la mañana del 4 sufrieron los rebeldes este durcflgolpe en los llanos de Huapan, y en la del 5 los atacó el, subteniente D. Marcial Arechabala en el parage llamado Cerro alto, á una legua de distancia de Zacualpilla, de cuyo suceso recibí en la-mañana del 6 el parte, que por su laconismo no se puede extractar, y copiado á la letra es como sigue: „No habiéndome permitido la copiosa lluvia de la noche…</t>
  </si>
  <si>
    <t>Arechavala, Marcial de</t>
  </si>
  <si>
    <t>Marcial de Arechavala</t>
  </si>
  <si>
    <t>…por nues tra parte, me he regresado á este real en la rioche de'ayer. Los oficiales qué me han acompañado en esta expedición son los mencionados de caballería* y los de infantería D. Marcial de Arechavala y D. Alexandro del Paso*1* Baygorri a 4 de Enero. Partes que el mariscal de campo D. Francisco Esyoz y Mina ha dirigido al Exento. ir. duque de Ciudad-Rodrigo* El comandante del 7.° regimiento que bloquea á Jaca me dioe lo que copio: „ Mi general: anoche baxé á este pueblo con quatr…</t>
  </si>
  <si>
    <t>Areipacochaga, Nicolás José</t>
  </si>
  <si>
    <t>Nicolás José Areipacochaga</t>
  </si>
  <si>
    <t>…............ D. Lorenzo Gibert. En Pamplona..................... D. Miguel Echarri. En Piase neta..................... D. Juan Campo y Oliva. En Sevilla.,......................... D. Nicolás José Areipacochaga» En Segovia,........................ Viuda de Ramiro y Mesa. En Santiago........................ D. Manuel de la Riba Moreno. En Soria............................. D. Joaquín Tutor Ibalzola. En Salamanca................... D. Francisco de Zúñiga y Barbosa. En…</t>
  </si>
  <si>
    <t>Areizaga, Juan Carlos de</t>
  </si>
  <si>
    <t>Juan Carlos de Areizaga</t>
  </si>
  <si>
    <t>854</t>
  </si>
  <si>
    <t>…la la Vieja, con inclusión de la Comandancia general de Asturias, cuyo destino ha tenido á bien suprimir. También ha notnbrádo S. M. para Capitán general de Guipúzcoa al Te niente general D. Juan Carlos de Areizaga, y para Capitán general de Ga licia al de igual clase D. Felipe de Saint-Marcq. Igualmente ha nombrado S. M. para la de Castilla la Nueva, vacante por haber pasado á Inspector general de milicias el Teniente general marques de Villanueva de Duero conde de Vil…</t>
  </si>
  <si>
    <t>Aréjula, Juan Manuel de</t>
  </si>
  <si>
    <t>Juan Manuel de Aréjula</t>
  </si>
  <si>
    <t>2204</t>
  </si>
  <si>
    <t>…oría sobre las causas del origen , continuación y fin de !a vida : á 2 rs. zr Reflexiones sobre varios pun tos de la breve descripción *de la fiebre amarilla dé Andalucía, del Dr. D. Juan Manuel de Aréjula, continuos á la virtud de las fumigaciones ácido-minerales: á 2 rs.ir: Defensa de las mismas contra las razones expuestas por la comisión médica de Cádiz: a 2 rs.ir: Reparos sobre el método de curar la fiebre amarilla: á 2 rs. Disertación canónica sobre la in…</t>
  </si>
  <si>
    <t>Arellano, Agapito Ramírez de</t>
  </si>
  <si>
    <t>Agapito Ramírez de Arellano</t>
  </si>
  <si>
    <t>2310</t>
  </si>
  <si>
    <t>…M. se ha servido nombrar á D. Pedro Valero, canónigo de la iglesia de Zaragoza y gobernador de aquel arzobispado, para la mitra y obispado de Gerona, vacante por fallecimiento de D. Agapito Ramírez de Arellano. Asimismo se ha servido nombrar S. M. á consulta dé la cámara para tres plazas de oidor de la Real audiencia de Aragón á D; Francisco Melgatres, D. Cosme Laredo y D. Pedro de Castro González: para el corregi miento de Oateniente á D. Juan María Garrido: para…</t>
  </si>
  <si>
    <t>Arellano, Domingo Ramírez</t>
  </si>
  <si>
    <t>Domingo Ramírez Arellano</t>
  </si>
  <si>
    <t>…r; i úíi; „u: ■ ¡ i En este mismo dia se presentó igualmente á felicitar á S. M. un3 dipu tación del real cuerpo de maestranza dé caballería de Ronda,- compuesta de sus individuos D. Domingo Ramírez Arellano, el marques de Valera y D. Do ningo Valmaseda;el primero de los quales pronunció el siguiente dis curso: Señor: la diputación del real cuerpo de caballeros maestrantes de Ron da , que tenemos el honor de estar á L. R. P. dé V. M., le ofrecemos nues tro leal r…</t>
  </si>
  <si>
    <t>Arenal, Félix del</t>
  </si>
  <si>
    <t>Félix del Arenal</t>
  </si>
  <si>
    <t>…e de id. D. Silvestre Hidalgo, teniente coronel del de Laredo. D. Bernardino García, capitán de id. D. Antonio González Villamil, ayu dante de id. D. José Alfonso, teniente de id. D. Félix del Arenal, subte niente de id. D. José Gómez, subteniente de tiradores de Cantabria. Contusos. D. Angel Vallejo, ayudante segundo de estado mayor. D. José Ruiz, subteniente del 2.° de Asturias. D. Antonio Ruiz Alvarez, id de id. D. Jacobo Saavedfa, id. de id. D. Rafael…</t>
  </si>
  <si>
    <t>Arenal, Míreos Fernando del</t>
  </si>
  <si>
    <t>Míreos Fernando del Arenal</t>
  </si>
  <si>
    <t>…e la ciudad de Zaragoza , en su tránsito para Francia se quedó enfermo en el hospital de la ciudad de Tudela. La persona que tuviese noticia de éí se servirá avisarlo en Ma drid á D. Míreos Fernando del Arenal, que vire en la calle de S. Jacinto, casa de 1 ¡ viuda de Robledo. Proyecto y plan de reforma dirigido á promover los adelantamientos de la medicina, y m:jorar la suerte de sus profesores, igualmente que la de los enfer mos, por el Lie. D. Ignacio Graells, mé…</t>
  </si>
  <si>
    <t>Arenas, Isabel</t>
  </si>
  <si>
    <t>Isabel Arenas</t>
  </si>
  <si>
    <t>…á la persona en cuyo poder se hallen se sirva entregarlos en Madrid tn la casa del Banco, calle de la Luna , y en Cádiz á los citados comisionados. , Se desea saber el paradero de Doña Isabel Arenas, natural de Lora del Rio, provincia de Sevilla. El que supiere su paradero se servirá avisarlo en Madrid en la imprenta Real á D. Pedro Gutiérrez, y en Cádiz en el correo á D. Matías Int'riago. Ensayos sobre la historia de la filosofía desde Adan hasta nuestr…</t>
  </si>
  <si>
    <t>Arenas, José María</t>
  </si>
  <si>
    <t>José María Arenas</t>
  </si>
  <si>
    <t>…Manuel Joaquín Condado, á D. Miguel José Escobedo: para la prestamera de Santaeíla, en la misma diócesis dé Cór doba, vacante por fallecimiento de D. S lvador Ximenez Coronado, á Don José María Arenas: para el beneficio simple de la parroquia de la villa de Santaeíla , en la propia diócesis de Córdoba, vacante por fallecimiento de D. Manuel Mucharan, á D. Juan Antonio Vázquez Rivero , con dimi ion del que obtiene en la parroquia de ia villa de Tinajas, dió…</t>
  </si>
  <si>
    <t>Arévalo, Francisco Xavier</t>
  </si>
  <si>
    <t>Francisco Xavier Arévalo</t>
  </si>
  <si>
    <t>…regorio de la Torre; y esta resulta á D; Manuel Bernal, sargen to mayor del propio cuerpo. En el de Andahüaylaí compañíasf al ayudante D. Vicente Ámat y Men doza, á ios tenieiités D. Francisco Xavier Arévalo y D. Pedro Nolascó .Teilo, y al marques de Mozobamba: y tenencias á los alféreces D. Juan Crisóstomo Altamirano, D. Eusebio Arandia, D. Silverio Antonio del Pdao y D. José Sarmiento. En el esquadron de Pacasmayo tenencia al alférez D. José Leandro Zamora. En ei de Amotape compa…</t>
  </si>
  <si>
    <t>Arfian, Juan Esteban</t>
  </si>
  <si>
    <t>Juan Esteban Arfian</t>
  </si>
  <si>
    <t>…ado secretario.” En el batallón de milicias disciplinadas de infantería de Mérida de Yu catán ha conferido la Regencia del Reyno la compañía de granaderos al ca pitán de fusileros D. Juan Esteban Arfian: compañías de fusileros á los sub tenientes D. Juan Nepomuceno Rivas, D. Tomas de Heredia, D. Rafael de Heredia, D. Alonso Aznar y D. Felipe de la Cámara: la subtenencia de granaderos á D. José Ireneo Guerra; y subtenencias de fusileros á D. Ma nuel Benito Qu…</t>
  </si>
  <si>
    <t>Argaiz</t>
  </si>
  <si>
    <t>210</t>
  </si>
  <si>
    <t>…go por la izquierda: estas habían llegado desde Valcárlos, en donde se hallaban, y el resultado de lo que hicieron lo verá V. £. por el diario de operaciones que me ha dirigido el señor Argaiz, y que yo incluyo á V. E. Aunque los enemigos ocupaban una fuerte posición, y se hallaban bien defendidos por una nu merosa artillería, cuyas descargas hube de sufrir una gran parte de la tar de , no pudieron impedir que me hiciese dueño de una porción de gan…</t>
  </si>
  <si>
    <t>Argaiz, Fermín</t>
  </si>
  <si>
    <t>Fermín Argaiz</t>
  </si>
  <si>
    <t>…hasta debaxo de su primer reducto, y aun le obligaron á abandonar uno de ellos. Mientras esto se ve rificaba quatro compañías del 6.° regimiento, al mando de su teniente coro nel D. Fermín Argaiz, incomodaban no poco al enemigo por la izquierda: estas habían llegado desde Valcárlos, en donde se hallaban, y el resultado de lo que hicieron lo verá V. £. por el diario de operaciones que me ha dirigido el señor Argaiz, y que yo incluyo á V. E. Aunque los…</t>
  </si>
  <si>
    <t>Arguelles, Francisco García</t>
  </si>
  <si>
    <t>Francisco García Arguelles</t>
  </si>
  <si>
    <t>…de trigo, sin incluir dos monasterios, ni el producto de aguas de Besantes. Los pretendientes dirigirán sus solicitudes á la justicia de dicha ▼illa. Se desea saber el paradero de D. Francisco García Arguelles, pariente de Don Toribio Acebal , secretario del vireynato de Lima. La persona que supiere de su paradero se. servirá avisarlo en Madrid á D. Tadeo Gírate, gobernador intendente de la provincia de Puno, en la América, que vive en la carrera de S. Gerónimo, nú…</t>
  </si>
  <si>
    <t>Arguelles, José Canga</t>
  </si>
  <si>
    <t>José Canga Arguelles</t>
  </si>
  <si>
    <t>….á casa de D. Luis de Sojo, del comercio, calle de„ pQStas.-» ,. •, ... ,Nociones ds economía política y de la ciencia de hacienda, apoyadas encías leyes é historia de España, por D. José Canga Arguelles. ;= Memorias- económicas y políticas de D. José Canga Arguelles, siendo.secretario interino dé Estado y del despacho universal de Flacienda. Estas dos obras se publican por quadernos de á 10 pliegos; y el primero y segundo se hallará de venta en la librería d…</t>
  </si>
  <si>
    <t>Arguelles, Nicolás</t>
  </si>
  <si>
    <t>Nicolás Arguelles</t>
  </si>
  <si>
    <t>1025</t>
  </si>
  <si>
    <t>…* En este mismo día tuvieron igualmente el honor de,ser admitidos á cum plimentar y besar la mano á S. M. por la Real sociedad económica de Ami gos del país de Asturias los socios D. Nicolás Arguelles, ayuda de cámara de S. M.; D. Lu is de Meras, ayuda de cámara de S. M. y caballero de la Real y distinguida orden española de Carlos m, y D. Antonio de Oviedo y Portal, el que dixo: „Señor: al presentar al mas deseado de los Monarcas la Real sociedad económic…</t>
  </si>
  <si>
    <t>Arispe</t>
  </si>
  <si>
    <t>…hasta que yo pudiese tomar mis dispo siciones para establecer las tropas entre el canal y el Garona. El enemigo sin embargo se retiró la noche última, dexando en nuestro poder al general Arispe, al general Beaumt, y al general St. Hy taire con 1600 prisioneros. Una pieza de artillería se tomó en el campo de batalla ; y otras mas, con gran cantidad de almacenes de toda especie se han cogido en la ciudad. Des de mi último oficio he recibido del almira…</t>
  </si>
  <si>
    <t>Arispe, Pablo de</t>
  </si>
  <si>
    <t>Pablo de Arispe</t>
  </si>
  <si>
    <t>…primero de asistente de la ciudad de Sevilla, á D. Mariano Lafuente y Oquendo: para e! corregimiento de Arévalo á D, Manuel Martin Bayon: pa ra e! de Sto. Domingo de la Calzada á D. Pablo de Arispe: para el de las merindades de Castilla la vieja á D. Luis Amonio del Campo: para que sirva interinamente el de Avila á D. Manuel de Toro: para el de Logroño á Don José Perez de Rozas: para tenientes de corregidor de Madrid á D. Manuel de Gamboa, D. Francisco…</t>
  </si>
  <si>
    <t>Arizon, Salvador de</t>
  </si>
  <si>
    <t>Salvador de Arizon</t>
  </si>
  <si>
    <t>…vacante: su dotación es de 600 ducados, y vecindario 350 vecinos, población reunida. Las solicitudes se harán por medio de memorial á su ayuntamiento. En el concurso á bienes del Sr. D. Salvador de Arizon, marques que fue de.Ca sa Arizon , que penclen en el consulado de la ciudad de Cádiz, y escribanía de Don: Elias Izquierdo y Payan, se ha mandado, por providencia de 11 del pasado, ci tar y emplazar á quantos se estimen con derecho á dichos bienes, para que e…</t>
  </si>
  <si>
    <t>Arjona, Francisco</t>
  </si>
  <si>
    <t>Francisco Arjona</t>
  </si>
  <si>
    <t>…g, D. Sebastian de Torres, D. Domin go Fernandez Campománes, D. Andrés Lasauca,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t>
  </si>
  <si>
    <t>Arjona, Gonzalo Sánchez</t>
  </si>
  <si>
    <t>Gonzalo Sánchez Arjona</t>
  </si>
  <si>
    <t>…D. Antonio Chaparro y Adame, vicario juez eclesiástico del partido de la villa de Fregeoal, y cu ra párroco de la iglesia de Sta. María la mayor y mas antigua de aquella villa, y D. Gonzalo Sánchez Arjona, caballero maestrante de la de Sevilla, y regidor del ayuntamiento de dicha villa, en nombre de ambos cabildos; el primero de los quales arengó á S. M. en los términos siguientes; „ Señor: el clero y ayuntamiento de vuestra villa de Fregenal, reyno de Sevilla…</t>
  </si>
  <si>
    <t>Arjona, José Manuel</t>
  </si>
  <si>
    <t>José Manuel Arjona</t>
  </si>
  <si>
    <t>…aría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cirujano mayor de exército, se servirá avisarlo en esta corte en la calle de Santiago, casa núm. 10, quarto s…</t>
  </si>
  <si>
    <t>Arjona, Rafael</t>
  </si>
  <si>
    <t>Rafael Arjona</t>
  </si>
  <si>
    <t>…rtillería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t>
  </si>
  <si>
    <t>Armijo</t>
  </si>
  <si>
    <t>23</t>
  </si>
  <si>
    <t>…Acapulco. D ios guarde ¡-á V. E. muchos años. Chilpancingo 2.5 de Mayo de 1814. srExcmo. St.zzjfosé Gabriel de Armijo. zz Excmo. Sr. virey D. Félix Ma■ ría Calleja. •' ¿ . ■ ■ El coronel Armijo incluyó con este parte las tres relaciones siguientes de los efectos tomados á los enemigos: 1. a Relación de los pertrechos de guerra tomados d los enemigos en las . acciones del Bejuco y pie de la Cuesta. , 1 Tres caxones cartuchos de fusil; 3 dichos de íde…</t>
  </si>
  <si>
    <t>Armijo, José Gabriel de</t>
  </si>
  <si>
    <t>José Gabriel de Armijo</t>
  </si>
  <si>
    <t>…stende. S. A. I. la gran duquesa dio orden para partir á.las tres de ¿a tarde por el camino de Saint Omer. ESPAÑA. México je de Marzo. Ei Excmo. Sr. virey ha recibido del teniente coronel D. José Gabriel de Armijo el siguiente parte: : „ Exento. Sr.: como anuncié á V, E. , después de la toma de este punto, y sin pérdida de momento, partí cop la fuerza de 300 infantes y 150 dra gones para el pueblo de Tlacotepec, con la esperanza de apresar al rebelde Morelos, que con l…</t>
  </si>
  <si>
    <t>…de restablecer la monarquía prusiana tal como estaba en aquella ¿poca. ESPAÑA. México 12 de Setiembre. En la gaceta de esta capital del 4 de Junio se publicó un parte del co ronel D. José Gabriel de Armijo, cuyo extracto es el siguiente: ,,Excmo. Sr.: consecuente á lo que dixe á V. E. sobre mi salida de Chilpancingo para Acapulco, la verifiqué él día 2 del anterior por el cami no real que conduce á esta plaza; y al llegar á Palo-gordo supe que un des» tacamenro…</t>
  </si>
  <si>
    <t>…tro Rey legítimo, es el fomento que recibe en el. dia este ramo de industria , juntamente con la agricultura y el comercio. « ESPAÑA. México 12 de Setiembre. Concluye el parte del coronel D. José Gabriel de Armijo. En el mismo dia 5 á la una del dia mandé marchar al capitán del batasllon de Fernando vil de linea D. Ignacio Ocampo, con lafuerza de 190 hombres de su cuerpo y batallón Mixto, con orden que subiese la* montaña</t>
  </si>
  <si>
    <t>Armijo, Josef Qrabriel</t>
  </si>
  <si>
    <t>Josef Qrabriel Armijo</t>
  </si>
  <si>
    <t>…h. ESPAÑA. México %j de Octubre de 1813» El Exento. Sr. conde de Castro- Terreno ha dirigido d esta superioridad el parte que el capitán D. Juan Bautista Mp&gt;ta remitió al teniente coronel D. Josef Qrabriel Armijo , y es como sigue. Piaxtla y Agosto 20 de 1813. „Son las quatro y media de la tarde, hora en que acabo de derrotar completamente al cabecilla Ojeda, que ha tenido la osadía de venir á atacarme en número de 400 hombres de infante ría , y cosa de 200 de caballe…</t>
  </si>
  <si>
    <t>Armseldt</t>
  </si>
  <si>
    <t>…íj navio de 110 cañones. Acaba de llegar á esta capital Gore Oseseley con toda su comitiva, que viene de la Persia. Se dice que el 19 del corriente murió en Zarsko Zelo el célebre conde Armseldt, y que según algunas declaraciones que hizo poco antes de morir, es regular que Speranski vuelva de la Sibería. AUSTRIA. Viena 4 de Settt mbre.. Casi toda la familia imperial se halia ya reunida en el palacio de Schoem.brunn, y se prepara para recibir á los ¡…</t>
  </si>
  <si>
    <t>Arnalte, Manuel de Jesús Torralba y</t>
  </si>
  <si>
    <t>Manuel de Jesús Torralba y Arnalte</t>
  </si>
  <si>
    <t>…la villa de la Puebla de D. Fsdrique» en laprovincia de Ciudad-Real, compuesta del Lie. D. Casimiro Hernán dez, alca’de mayor; D. José Victoriano Díaz Moreno, alcalde ordinario, y D. Manuel de Jesús Torralba y Arnalte, procurador síndico; de los quales el primero are ngó á 5. M. en los términos siguientes:</t>
  </si>
  <si>
    <t>Aroca, Antonio de</t>
  </si>
  <si>
    <t>Antonio de Aroca</t>
  </si>
  <si>
    <t>…época de 1808. Lo comunico átV, de Real orden &amp;c. Palacio 13 de Setiembre de 1814. 1 El Rey nuestro Señor se ha servido conferir la tenencia comandancia del resguardo de Córdoba á D. Antonio de Aroca, comandante con el grado de capitán del extinguido esquadron de húsares francos de Vallecas. D. Estéban y D. Juan José Rodríguez , hermanos , canónigos de la san ta iglesia colegial de Añtequera, han ofrecido á S. M. la mitad del producto de sus respectivas p…</t>
  </si>
  <si>
    <t>Aróstegui, Medarda</t>
  </si>
  <si>
    <t>Medarda Aróstegui</t>
  </si>
  <si>
    <t>…nador qué Fué de la provincia de León de Nicaragua,, en el reyno de Góatemala, natural' de Ja ciudad de Huesca, en Aragón, hijo legítimo del teniente coronel D. José de Ayssa y de Doña Medarda Aróstegui, vecinos que fueron de dicha ciu dad de Huesca. Los interesados podrán acudir por sí ó por medio de persona con®* cida, y con probanza suficiente, á Cádiz, plazuela de las Niéve®, niím. 122. Se halla vacante él partido de cirujano de la villa de.Mazuecos, en…</t>
  </si>
  <si>
    <t>Arredondo</t>
  </si>
  <si>
    <t>91</t>
  </si>
  <si>
    <t>…reo .Cantabria , que salió de Cá diz á principios de Agosto. El i6y 18 los bergantines Guadalupe y Catalina. El 18 de Agosto último fueron derrotados- los rebeldes en Bejar por ei brigadier Arredondo ; y otra gavilla (en la misma provincia) por parte del batallón de Extremadura___ Acapulco se entregó á Morelos por hambre. Eos facciosos han convocado cortes en Chilpancingo, cerca de dicho puer to: parece que empezaron sus sesiones nombrando á Morelos gener…</t>
  </si>
  <si>
    <t>Arredondo, Manuel de</t>
  </si>
  <si>
    <t>Manuel de Arredondo</t>
  </si>
  <si>
    <t>…de V. M. ” • • f \ ' El dia 7 del mes próximo pasado tuvo la honra de cumplimentar á S. M. por su restitución al trono y de besar su Real mano á nombre de la villa de Villarobledo D. Manuel de Arredondo, procurador síndico de su ayun tamiento; el qual cófi éste‘'mótiVo dixo: ^ ^ V, Señor: Vuestra villa1 de Villarobledo, no níehós- célebre por su ácenarada lealtad y amor á:wís: Réye^^qué' por los singnJarés" privilegids con que la ennoblecieron, en ia fatal c…</t>
  </si>
  <si>
    <t>Arregui</t>
  </si>
  <si>
    <t>Gaceta de Madrid n.º 84</t>
  </si>
  <si>
    <t>…ieron ocho muertos y ió heridos, entre estos dos oficiales. El coronel D. Sebastian Fernandez hace mención del capitán Cortazar, infatigable en las baterías; merece su atención el teniente Arregui por su bizarría en la to ma del reducto, y advierte el acierto y conducta de los tres cabos de ar tillería. El coronel D. Sebastian Fernandez ha dado en esta ocasión nuevas pruebas de su actividad y zelo por el bien de! servicio, habiendo contribuido muy efi…</t>
  </si>
  <si>
    <t>Arregui, Manuel</t>
  </si>
  <si>
    <t>Manuel Arregui</t>
  </si>
  <si>
    <t>640</t>
  </si>
  <si>
    <t>…Gradillans, y se rompió el fuego, á que contestaron con dos de á 16 y 4. Como los enemigos ocupaban un reducto, y retardaba nues tros progresos, dispuso se asaltase, y lo verificó D. Manuel Arregui con su compañía i.a del 9.0 regimiento. Sin este inconveniente continuó el fuego de nuestra batería, que consiguió desmontar una pieza en las del enemigo, ba</t>
  </si>
  <si>
    <t>Arriaga, María Francisca de</t>
  </si>
  <si>
    <t>María Francisca de Arriaga</t>
  </si>
  <si>
    <t>…ntados desde el 21 del corriente. Se solícita saber t3 parentela hasta el tercer grado de la Sra. Dona Agustina Larraz, natural de la ciudad de Zamora, hija de D. José Lárraz y de Doña María Francisca de Arriaga, y también la del coronel de exército D. Juan de Ayssa, go bernador qué Fué de la provincia de León de Nicaragua,, en el reyno de Góatemala, natural' de Ja ciudad de Huesca, en Aragón, hijo legítimo del teniente coronel D. José de Ayssa y de Doña Medarda Arós…</t>
  </si>
  <si>
    <t>Arriaz, Juan Bautista</t>
  </si>
  <si>
    <t>Juan Bautista Arriaz</t>
  </si>
  <si>
    <t>Gaceta de Madrid n.º 73 (extraordinaria)</t>
  </si>
  <si>
    <t>…ornados ios bal cones ofreciendo una vista sumamente pintoresca, se descubría un sencillo i (r) Esta inscripción y las anteriores son del oficial de k primera Secretaría de Estado D. Juan Bautista Arriaz*.</t>
  </si>
  <si>
    <t>Arriaza, Juan Bantista</t>
  </si>
  <si>
    <t>Juan Bantista Arriaza</t>
  </si>
  <si>
    <t>…o de S. M., el Excmo. Sr. duque de S. Carlos brindó por la salud del Rey nuestro Señor y felicidad de su reynado. * Durante la comida el oficial de la primera secretaría de Estado D. Juan Bantista Arriaza escribió é hizo imprimir un soneto, que fué presentado á S. M., quien lo admitió con agrado y benignidad, y distribuyó exemplares</t>
  </si>
  <si>
    <t>Arriaza, Juan Bautista</t>
  </si>
  <si>
    <t>Juan Bautista Arriaza</t>
  </si>
  <si>
    <t>Gazeta de la Regencia de las Españas n.º 66</t>
  </si>
  <si>
    <t>436</t>
  </si>
  <si>
    <t>…e hallará á 3 rs. en les librerías de Rodríguez, calle de las Carretas, y en la de Montero, calle de la Concepción Gerónima. Puede ir en carta. El Dos de Mayo. Himno patriótico de D. Juan Bautista Arriaza, dispuesto para escena, con la adición de un monólogo por el mismo antor por encargo del cuerpo de artillería, con el objeto de que se execute en el coliseo de la Cruz en el aniversario de este dia memorable. Se hallará en el despacho de la imprenta nacional.…</t>
  </si>
  <si>
    <t>…asa de la viuda del autor, calle de las Carretas, esquina á la de Majadericos, núm. 10, quarto segundo. Se halla de venta en el despacho de la imprenta real la música del himno de D. Juan Bautista Arriaza al regreso det Rey nuestro Señor, como se cantó á pre tenda de S. M. en ia casa de ayuntamiento de esta, villa. EN LA IMPRENTA REAL.</t>
  </si>
  <si>
    <t>Arriaza, Juan Bautista de</t>
  </si>
  <si>
    <t>Juan Bautista de Arriaza</t>
  </si>
  <si>
    <t>…irá el título cor respondiente. En Palacio á 24 de Junio de 1814. = Al Secretario de la Cá mara. ss Está rubricado. En atención á los distinguidos méritos y conducta patriótica de D. Juan Bautista de Arriaza, oficial de la primera secretaría de Estado, y Secretario del Rey con exercicio de decretos, ha venido S. M. en concederle la gra cia de Cruz supernumeraria de la Real y distinguida orden de Carlos fn. En atención á los servicios y constante lealtad de D. Gab…</t>
  </si>
  <si>
    <t>Arribas, Ramón de</t>
  </si>
  <si>
    <t>Ramón de Arribas</t>
  </si>
  <si>
    <t>…dro Mateo Olorn, sargento mayor del i.° Cántabro. Don Juan Suarez, capitán de id. D. Vicente Carvajal, id. de id. D. Juan Piñal, teniente de id. D. Francisco Mediavilla, id de id. D. Ramón de Arribas, subteniente de id. D. Silvestre Hidalgo, teniente coronel del de Laredo. D. Bernardino García, capitán de id. D. Antonio González Villamil, ayu dante de id. D. José Alfonso, teniente de id. D. Félix del Arenal, subte niente de id. D. José Gómez, subteniente…</t>
  </si>
  <si>
    <t>Arrieta, Agustín García de</t>
  </si>
  <si>
    <t>Agustín García de Arrieta</t>
  </si>
  <si>
    <t>…mica, intitulada la Tia fingida, obra postuma del mismo Cervantes, has ta ahora inédita, y la mas amena, festiva y correcta de todas las de este inmortal é incomparable autor: por D. Agustín García de Arrieta, bibliotecario de los estu dios Reales*, un tomo en dozavo mayor, del mismo tamaño que la última edición del Quixote por Sancha, y con la qual puede hacer juego. Véndese á 10 rs. en pas ta en la librería de Castillo, frente á las gradas de S. Felipe, y en la…</t>
  </si>
  <si>
    <t>Arrieta, Agustin García de</t>
  </si>
  <si>
    <t>Agustin García de Arrieta</t>
  </si>
  <si>
    <t>Gaceta de Madrid n.º 152</t>
  </si>
  <si>
    <t>…en francés por Mr. Batteux, de la academia francesa; traducida, completada j adicionada con varios suplementos, y los correspondientes apéndices sobre la li teratura española, por D. Agustin García de Arrieta, bibliotecario de los estudios Reales: esta obra, que forma el curso mas completo de literatura que tenemos eti nuestro idioma, consta de nueve tomos en 8.° mayor. Se vende en la librería de Baylo, calle de las Carretas. El Anacoreta del Moncayo: examen críti…</t>
  </si>
  <si>
    <t>Arrieta, Francisco</t>
  </si>
  <si>
    <t>Francisco Arrieta</t>
  </si>
  <si>
    <t>….................... D. Francisco María de Herrera» En Granada...................... D. Francisco Escovar. En Guadalaxara............. D. Joaquín Beladies. En Guipúzcoa y Vitoria. D. Francisco Arrieta. En Jaén............................... D. José Arroyo y Serrano y D. Francisco Ló pez Zavala. En León.............................. D. Tomas Díaz Serrano. En Málaga. '...................... D. Juan Pomar. En Murcia......................... D. José Ubach. En…</t>
  </si>
  <si>
    <t>Arrieta, Pedro Escolano de</t>
  </si>
  <si>
    <t>Pedro Escolano de Arrieta</t>
  </si>
  <si>
    <t>…los que pertenecen al Consejo pleno, ó á cada sala en particular; y las fórmulas de las cédulas, provisiones y certificaciones respectivas: dividida en dos tomos. Obra postuma de D. Pedro Escolano de Arrieta, caballero pensionado de la distinguida orden de Carlos m, del Consejo de S. M., su secretario escribano de cámara mas antiguo y de gobierno del Consejo. Se halla rá en la librería de Baylo, calle de las Carretas. Sermones varios del P. Fr. Sebastian Sánchez…</t>
  </si>
  <si>
    <t>Arrióla, Ramón de</t>
  </si>
  <si>
    <t>Ramón de Arrióla</t>
  </si>
  <si>
    <t>2°2? pado de Sevilla, vacante por fallecimiento de D. José Agustín Castaño, á D. Ramón de Arrióla. Animismo se ha servido S. M. nombrar para la canongía que debe va car en la iglesia de Calahorra por promoción de D. Fermín Francisco San Juan á la dignidad de arcediano de Bsrberiego, en la misma catedral, á D. Matías Antonio Gómez, examinador sinodal, y pr…</t>
  </si>
  <si>
    <t>Arroquia, Francisco María</t>
  </si>
  <si>
    <t>Francisco María Arroquia</t>
  </si>
  <si>
    <t>…de Doy le D. Nicolás Minussir, agregado al estado mayor de la división y herido en la, misma acción; al capitán de pagadores de* DoyM D. Antonio Martin; al de igual clase de Jaén D. Francisco María Arroquia ; y al teniente de caza dores dé Jaén D. Joséf Marcelo ^qtíé7 fáéch¿fidóígravemeHte.i Asffismo - hace tttk&amp;agO1** ejogipde 4 4#*|Ue: spnd*ic Wfcl fe desudo* mayor üon</t>
  </si>
  <si>
    <t>Arroyo, Pedro</t>
  </si>
  <si>
    <t>Pedro Arroyo</t>
  </si>
  <si>
    <t>…76, y los dos de Enero, números 374114 y 375476; lo que se avisa al público á fin de que el que los obtenga se sirva entregarlos ál mismo D. Anto nio en Astorga, ó en esta corte á D. Pedro Arroyo, calle de la Magdalena baxa, 'núm. 4. Falsificación de vales reales hecha por el gobierno intruso, que pública la jun ta nacional del Crédito público. Se vende en la librería de Ranz, calle de la Cruz: su precio 8 rs. , f ■ ’! MADRID EN LA IMPRENTA NACIONAL.</t>
  </si>
  <si>
    <t>Artacho, Melchora Romero de Tejada y</t>
  </si>
  <si>
    <t>Melchora Romero de Tejada y Artacho</t>
  </si>
  <si>
    <t>Gaceta de Madrid n.º 123</t>
  </si>
  <si>
    <t>íoi? él orden de sucesión legítima de Doña Melchora Romero de Tejada y Artacho, ó de Doña Ana María Romero de Tejada García de León , sus her manas, justificase su pertenencia actual: advirtiendo puede hallarse el legíti mo interesado á dicho documento en los pueblos de Madrid, Cogolludo, Ita, Torrejoncillo del Rey ú otros inmediatos. S…</t>
  </si>
  <si>
    <t>Artazo, Manuel de</t>
  </si>
  <si>
    <t>Manuel de Artazo</t>
  </si>
  <si>
    <t>…a María, D. Vicente Osorio, D. Joaquín Ibarra, D. Guillermo Parker Carrol , D. Juan de Pontous y Moxica , t D. José de, Aymerich , D. José María de Ezpeleta., D. José de O-Lawlor, D. Manuel de Artazo, D» Francisco D’IIautregard, D. José</t>
  </si>
  <si>
    <t>Arteaga, José</t>
  </si>
  <si>
    <t>José Arteaga</t>
  </si>
  <si>
    <t>…M. para la de Castilla la Nueva, vacante por haber pasado á Inspector general de milicias el Teniente general marques de Villanueva de Duero conde de Villariezo, al de igual clase D. José Arteaga. Asimismo ha conferido el Rey el Gobierno políuco y militar de Orihuela al Coronel D. Pedro Fermín de Iriberri, Capitán de la brigada de Cara bineros Reales; y el de Melilla al Teniente Coronel D. Jacinto Díaz Capi lla, Sargento mayor de la misma plaza; habié…</t>
  </si>
  <si>
    <t>…é Palafox: .para la de Granada al conde de Montijo: para la de Extremadura al mar ques del Palacio: para la de Galicia á D. Feiipe d¡e Saint Marcq: para la ide Castilla la Nueva á D. José Arteaga: para el gobierno .militar y político -de la plaza de Vich á D. Cesario Escobar;, para el de la plaza de'Cartage-na á D. Juan de Dios Topete: para el de Tortosa 4 D. Francisco Marcó del Pont: para el de Barcelona á D. Andrés Perez Herrasti: para el de Tarraig…</t>
  </si>
  <si>
    <t>Artola, Miguel de</t>
  </si>
  <si>
    <t>Miguel de Artola</t>
  </si>
  <si>
    <t>…que la pérdida por nuestra parte en muertos» heridos y contusos ha consistido , de los primeros en tres oiiciales y 23 soldados, siendo aque llos ci'cotnandance del 2.0 de Vizcaya D. Miguel de Artola, el teniente del mismO'ctíerpo D. Joan Sancho , y* el ayudante del &gt;2.° de tiradores de Can tabria \D. Alfonso'Pozo. Los heridos «omtres oficiales y 5ó soldados, siendo ios-priméros el cípitan dd.:2.° de tiradores de Cantabria D. Anselmo Ondicota,?el tenrénte…</t>
  </si>
  <si>
    <t>Arturo</t>
  </si>
  <si>
    <t>…. R. el Príncipe Regente, en nombre y representación del Rey, ht tenido á bien conferir las dignidades de duque y marques del Rey no Unido de la Gran-Bretaña y de Irlanda al. feld-mariscal Arturo, marques de Wéllington, caballero de la muy noble orden de la Jarretiera y á sus legíti mos herederos varones, bazo de los nombres, apellidos y títulos de marques del Duero y duque de Wellington , en ei condado de Somerset. Asimismo ha tenido á bien S. A. R.…</t>
  </si>
  <si>
    <t>Arvilla, Manuel</t>
  </si>
  <si>
    <t>Manuel Arvilla</t>
  </si>
  <si>
    <t>…ena, que á la sazón se hallaba con la quarta, que sostuvo el mas vivo fuego que le hicieron los enemigos desde el t arrio de S. Esteban. El tenien te coroneldeí propió 'regimiento D. Manuel Arvilla con la quinta y sexta hubo de vencer no pequeñas dificultades, hasta abrirse camino por medio de la c' lumna enemiga de'la izquierda. La compañía de "cazadores y primera no las tuvieron menos py últimamente, la suerte de la tercera fue la mas in feliz, pues h…</t>
  </si>
  <si>
    <t>Arzobispo</t>
  </si>
  <si>
    <t>…anta iglesia catedral á rendir gracias al Todopoderoso por su dec!#ada pro tección á nuestro Monarca y al pueblo español: alli se cantó un solemne Te JDeum, á que asistió el limo. Sr. Arzobispo, y no es explicable et gozo de todas las gentes que apenas dexaban andar á S. E., manifestando en accio nes y palabras su júbilo y su amor al Sr. D. Fernando vil nuestro augusto Rey. Es imposible explicar el gozo que enagenaba todos los corazones, y seria pre…</t>
  </si>
  <si>
    <t>As, Francisco de</t>
  </si>
  <si>
    <t>Francisco de As</t>
  </si>
  <si>
    <t>Gaceta de Madrid n.º 102</t>
  </si>
  <si>
    <t>…viuda de D. Felipe Fernandez, se cita y llama á los acreedores á sus bienes, para que en el término de nueve dias, siguientes á la publicación de este aviso, comparezcan an te el Sr. D. Francisco de As«ín, y escribanía del número de D. Casimiro Antonio Gómez, para averiguar las cantidades á que puedan ser responsables dichos bienes, y proceder en su vista en las diligencias del juicio segur» corresponda. Doña Manuela Zubillaga y Cácerts, soltera, hija de D.…</t>
  </si>
  <si>
    <t>As, Lorenzo</t>
  </si>
  <si>
    <t>Lorenzo As</t>
  </si>
  <si>
    <t>…. D. Ramón Solís, teniente de la Corona. D. Antonio María de Castro, id. de id. D. Manuel Ramón Castell, id. de id. D. An drés Gayoso,, subteniente de id. D. Pedro Cid, id. de id. D. Lorenzo As ease) ¿ teniente coronel del de Ribero. D. Bartolomé Sotelo, capitán de id. D. Joaquín Zarráélná ¿-subteniente de id. D. Ramón de Muniz, sargento mayor ac Oviedo. D. Alberto Rodríguez, capitán de id. D. Fermín Rol dan^ teniente de id. D. José Morrillo, subten…</t>
  </si>
  <si>
    <t>Ascona, Cárlos</t>
  </si>
  <si>
    <t>Cárlos Ascona</t>
  </si>
  <si>
    <t>…icolás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comandante del esquadron de dragones de Amotape. En las compañías sueltas de Truxillo empleo de capitán al teniente de granaderos D. Miguel de Cortabarría; y subtenencias de band…</t>
  </si>
  <si>
    <t>Asemio, Manuel Castaño</t>
  </si>
  <si>
    <t>Manuel Castaño Asemio</t>
  </si>
  <si>
    <t>…omé-de Cañas, á D. Domingo Cantero: para otra, capellanía de la misma Real capilla de Sres. Reyes nuevos-de ^Toledo, vacante por fallecimiento de D. Miguel Marrinez Lugarnuevo , á D. Manuel Castaño Asemio, capellán del regimiento dé'1 infantería i.° de^líñéa1 de* León ;~y para el beneficio sim ple de Pozaldez, en el óbfcpado dé V^ñadolid, yapante por. muerte de Don Mánuei iguez^RÍbé^ó V ’á Di LMrgñér(5i?fr&lt;Jo'Martínez. .^^Ateadieíxdo S. M—al-i»émo-y dilatados…</t>
  </si>
  <si>
    <t>Asen, Santiago</t>
  </si>
  <si>
    <t>Santiago Asen</t>
  </si>
  <si>
    <t>…Adriarola y D. Esteban de Albarracin; te nientes á D. Antonio Adriasola, D. Juan de Dios González, D. Francisco Buenrostro, D. Rafael Barril y D. Manuel de Lorca ; subtenientes á Don Santiago Asen jo, D. Domingo Ulloa y D. José Justo Flores y D.-Anselmo Carabantes, y subtenientes de bandera á D. Juan Francisco Echeneguí y D. Miguel, Lara. En el de Voluntarios de Madrid , existente en Montevi deo, teniente á D. Manuel Romero, y subteniente á D. Pedro An…</t>
  </si>
  <si>
    <t>Asenjo, Bernardo</t>
  </si>
  <si>
    <t>Bernardo Asenjo</t>
  </si>
  <si>
    <t>…arajas, con moti vo de haber pasado S M. y AA. por via de recreo ai jardín que tiene en la primera de estas villas la Excma Sra. ecrndesa de Benavente ; y á nombre de ambas villas D. Bernardo Asenjo, regidor decano de la de Barajas, aren gó á S. M. en los términos siguientes: ,,Señor: los individuos de justicia de las villas de la Alameda y Barajas por sí y á nombre de sus vec nos felicitan á V. M. por su feliz arribo y exaltación al trono de sos predece…</t>
  </si>
  <si>
    <t>Asenjo, Francisco Vales</t>
  </si>
  <si>
    <t>Francisco Vales Asenjo</t>
  </si>
  <si>
    <t>…zar la hostia hicieron otra descarga. Acabada la misa del célebre Mozart, que fué cantada con el acompañamiento de una numerosa orquesta, pronunció una oración fúnebre el canónigo D. Francisco Vales Asenjo, re cordando los gloriosos hechos del Dos de Mayo. Concluida esta y el res ponso, se depositaron las urnas en el sitio que íes estaba destinado, en cuyo momento se hizo otra descarga de fusilería y artillería. A la misa asistieron io doncellas , dotadas por l…</t>
  </si>
  <si>
    <t>Asensio, José</t>
  </si>
  <si>
    <t>José Asensio</t>
  </si>
  <si>
    <t>…/ ' En la librería de Hurtado, calle de las Carretas, y en la de Qui'rós, fr,enteiiá los gremios, se venden barajitas nuevas de 30 preguntas y 30 respuestas, grabada la letra por D. José Asensio, y puestas en cartulina, á 8 rs. en negro y á 14 ilu minadas, y con el canto dorado á 18. En dichas librerías se vende también por quadcrnillos con sus sobres correspondientes papel grabado pata billetes, i 4 rs. de varios colores y á 8 iluminados. \ EN LA IM…</t>
  </si>
  <si>
    <t>Ashworth</t>
  </si>
  <si>
    <t>…ayona á S. Juan de Pie de Puerto; lo que hizo que la brigada de infantería inglesa del mando del mariscal de campo Barnes, y la quinta brigada portuguesa, del miando del brigadier general Ashworth, tuviesen la mayor parte del choque con el-enemigo en este punto, y la conducta de estas tropas fué admirable. Lá?división de tropas portuguesas, del mando del mariscal de campo D. F. Le-Cor, marchó para sostenerles sobre su izquierda del modo mas bizarro, y…</t>
  </si>
  <si>
    <t>Asi-ain, Tiburcio</t>
  </si>
  <si>
    <t>Tiburcio Asi-ain</t>
  </si>
  <si>
    <t>D. Tiburcio Asi-ain; y para la de Pozuelo de Cdatrava a 'D. Juan José Hervás, todas en el territorio de las órdenes militares___Admismo por Real decreto de 23 de Noviembre ultimó se ha servido S. M. nombrar para la de la villa de Tomelloso, en el propio territorio, á D. Agustín…</t>
  </si>
  <si>
    <t>Asín, Francisco de</t>
  </si>
  <si>
    <t>Francisco de Asín</t>
  </si>
  <si>
    <t>…á real ídem hasta el 58 , en el despa cho de Ja imprenta nacional, en donde también se admiten subscripciones á 22 rs. cada mes para Madrid, y á go para fuera. Por providencia del Sr. D. Francisco de Asín , juez de primera instancia en es ta corte, sella mandado sacar por segunda vez á pública subasta dos oficios de re ceptor de los reales consejos, tasados en 18750 rs., por término de 15 dias, conta dos desde el 9 del corriente mes de enero. Quien quisiere ha…</t>
  </si>
  <si>
    <t>Aso, Ignacio Jordán de</t>
  </si>
  <si>
    <t>Ignacio Jordán de Aso</t>
  </si>
  <si>
    <t>…to en 4.0 de buen pa pel é impresión. Se vende en la librería de Brun, frente á las gradas de S. Felipe el Reai. - ■ . - ; ' r • ' ' ^ Instituciones' ‘dé Castilla, que escribieron D. Ignacio Jordán de Aso y D. Mi guel de Manuel., corregidas, ilustradas y muy'adicionadas con notas por D. Joa quín Alaría de i Palacios, catedrático de Prima de leyes patrias que fue de la universidid de Huesca: mandadas explicar en todas las universidades del reyno por Real cédula de § de…</t>
  </si>
  <si>
    <t>Assin, Doñ Francisco</t>
  </si>
  <si>
    <t>Doñ Francisco Assin</t>
  </si>
  <si>
    <t>…marques de Qitintanar, conde de Santibafiez , corregidor intcrijip de la ciudad de Scgo^via^ aut&lt;&gt;ri?acjo Je D. Ventura Antonio Álvarez, 'escribano de su- número, cúmpiidó por el Sr. Doñ Francisco Assin , teniente de corregidor de esta vil.a, en auto’dé 21 del corriente* refrendado de D. Claud.ip.Saoz, escribano del número d¿ éílá, se cita, llama y em plaza por segundo y último;térmic a los acreedores á los bienes que quedaron por fallecimiento deiSD. Jüán ^…</t>
  </si>
  <si>
    <t>Assin, Francisco</t>
  </si>
  <si>
    <t>Francisco Assin</t>
  </si>
  <si>
    <t>…e el que se crea con derecho á los expresados vales acuda á hacerlo presente. A virtud de despacho requisitorio del juzgado de letras de la ciudad de Segovia, cumplimentado por el Sr. D. Francisco Assin, alcalde mayor de Madrid, se cita, llama y emplaza á los acreedores de D. Manuel de Aramburo, vecino que fue de dicha ciudad, para que por sí ó por sus legítimos apoderados comparezcan á usar de su derecho en dicho juzgado de Segovia, en el término ordinario,…</t>
  </si>
  <si>
    <t>…do número^que hay de ellas. A instancia de uno de los acreedores á la testamentaría de D. Juan de Ace dos Bravo, vecino y agente de negocios que fué en esta corte, y pende ante el Sr. D. Francisco Assin, teniente de corregidor de ella, y escribanía del número de D. Juan Antonio de Urraza, se ha señalado para celebrar junta de todos los interesados el domingo 7 del próximo mes de Agosto á las nueve de su mañana en la posada de dicho señor juez. Lo que se anun…</t>
  </si>
  <si>
    <t>. ?9&lt;5 juicio que haya lugar, y se substanciarán los autos por su rebeldía en los estrados de la audiencia. En virtud de providencia de*l Sr. D. Francisco Assin, teniente corregidor de esta villa, se cita, Fama y emplaza á los acreedores á los bienes dimitidos por D. Pedro María de Zubiaga, residente que fué en esta corte, para que en el tér mino de 30 dias , contados desdeño de Julio último, acudan ante dicho señor…</t>
  </si>
  <si>
    <t>Gaceta de Madrid n.º 111</t>
  </si>
  <si>
    <t>…2 deí día. La persona que quisiere mejorar dicha pos tura acuda ante el mismo señor juez y escribanía, donde se admitirán las pujas y mejoras que se hicieren. Por la audiencia del Sr. D. Francisco Assin , teniente de corregidor de esta villa de Madrid, y por la escribanía del número de D. Ja cobo Manuel Manrique, se están siguiendo autos de abintestato á los bienes dé D. Mariano Fernandez, catedrático segundo que fué de la real academia de S. Fernando; lo qn…</t>
  </si>
  <si>
    <t>…celebró en el año de 1808 y anteriores. A instancia de los herederos de D. Antonio Perez de Soto se ha señalado '1 día io de Setiembre, á las quatro de su tarde, en la posada del’Sr. D. Francisco Assin, teniente corregidor de esta villa, para celebrar junta general de acreedores á las casas que fueron de dicho Soto, á efecto de que se enteren de las proposicio nes que se hagan útiles á los intereses de unos y otros. Habiéndose perdido el 28 de Julio próximo…</t>
  </si>
  <si>
    <t>2007</t>
  </si>
  <si>
    <t>…eyno de Aragón D. Tadeo Segundo Gómez, ministro del supremo Consejo de Hacienda; D. Tadeo Francisco Caiomarde, oficiil mayor de la secreta ría del Despacho universal de indias;, y D. Francisco Assin, teniente de corregidor de esta villa; el primero de ios quales dixo: „ Señor: restablecido ~él antiguo ayuntamiento de la ciudad de Teruel, á Consecuencia de lo resuelto por V. M. en su Real cédula de 30 de Julio próximo, y compuesto de regidores, no ya Mama…</t>
  </si>
  <si>
    <t>2012</t>
  </si>
  <si>
    <t>…s donativos, y se ha dignado mandar se den gracias en su Real nombre á dichos individuos, y que se publiquen en la gaceta estos rasgos de patriotismo. En virtud de providencia del Sr. D. Francisco Assin, teniente corregidor de esta villa, refrendada de D. Claudio Sanz, escribano de su número, se hace saber á todos los acreedores á la testamentaría del Excmo. Sr. marques de Alcañices, di funto, que deben acudir dentro del término de 15 dias, contados desde el…</t>
  </si>
  <si>
    <t>…el Campo: para que sirva interinamente el de Avila á D. Manuel de Toro: para el de Logroño á Don José Perez de Rozas: para tenientes de corregidor de Madrid á D. Manuel de Gamboa, D. Francisco Assin, D. Luis Gabaldon y López, D. León de la Cámara y D. Joaquín Almazan: para la vara de Burgos á D. Prudencio Fernandez de la Pelilla : para el corregimiento de Molina de Aragón á Don Francisco Estéban y Ranz: para la vara de Osuna á D. Juan Antonio Del gado: p…</t>
  </si>
  <si>
    <t>…esta corte y su calle de Buenayi$ta, señada con el. número 6 de la manzana 33, que comprende 1812 pies, y está tasada en 29234'. rs. vn. Quien.quisiere hacer postura acuda ante el Sr. D. Francisco Assin, teniente corregidor de esta villa, por la escribanía de íu número que exerce D. Juan Raya.; EN LA IMPRENTA REAL.</t>
  </si>
  <si>
    <t>…ezará la feria de la villa de Valdemoro , sus-1 pendida en los años anteriores por la ocupación del enemigo, y durará habi ta el 15 de Noviembre. En virtud de providencia del Sr.: D. Francisco Assin , teniente corregidor dé esta villa, se cita, llama y emplaza al heredero 11 herederos que hayan quedado por fallecimiento de María Vázquez, vecina que fue del Real sitio de Aranfuez,. para que dentro del término de 20 dias , que por tres, y el último perento…</t>
  </si>
  <si>
    <t>…administración de otros reme dios que se den á los enfermos, como ha acreditado mas de una vez la expe riencia á profesores acreditados de esta corte. En virtud de providencia del Sr. D. Francisco Assin, del consejo^ de S. M., y teniente de corregidor, fecha 31 de Octubre último, refrendada de D. Joaquin González de Castro, escribano del número, se ha señalado el domingo 27 del cor riente á las ocho y media de la mañana en casa de dicho señor juez para junta…</t>
  </si>
  <si>
    <t>…que hicieren siendo arregladas. Continuación de las sentencias dadas por la comisión nombrada por S. M. Vén dese. á 4 quartos en el despacho de la imprenta Real. En el juzgado del Sr. D. Francisco Assin , del consejo de S. M., teniente cor regidor de esta villa , y por la escribanía de s‘u número que exerce D, Juan Raya¿ pende instancia de resultas de la retención de un vale Real hecha en la oficina dé renovación á solicitud de Dona Marta de Mieres, por lo q…</t>
  </si>
  <si>
    <t>Assin, Francisco de</t>
  </si>
  <si>
    <t>Francisco de Assin</t>
  </si>
  <si>
    <t>…r anunciar al público la rendición de Tortosa, que se dice está actualmente capitulando. Este suceso abreviará la en trega de Sagunto y Peñíscola, contra la que sigue el fuego. El Sr. D. Francisco de Assin, juez letrado de primera instancia en Madrid, se ha servido señalar la hora de las tres de la tarde del dia 28 del corriente mes de Fe brero en su posada para celebrar junta general de acredores á la casa comercio titu lada Romero, hermanos y sobrino, de esta…</t>
  </si>
  <si>
    <t>…a y cumplimiento.” Lo traslado á V. de orden de S. M. para su inteligencia'y efectos cor respondientes. Dios guarde á V, muchos años. Madrid n de Junio de 1814. Por el juzgado del Sr. D. Francisco de Assin, juez letrado en esta villa y es cribanía del númeio de D. Tomas de Sancha y Prado, se ha mandado se saque á pública subasta el arrendamiento de los estados de Orgaz y Sta. Olalla por término de 20 dias, y señalado pa-r-j su remate el día lunes 27 de este mes…</t>
  </si>
  <si>
    <t>2004</t>
  </si>
  <si>
    <t>…Pontificia y Real universidad, han resuelto dar principio á su enseñanza el 18 del mes próxi mo venidero: lo que se avisa al público para su noticia. En virtud de providencia del Sr. D. Francisco de Assin , teniente corregidor de esta villa, su fecha 17 del corriente mes y año, dada en ei concurso formado por D. Pablo Antonia de Tarsis, á instancia de este, por la escribanía de provincia va cante que sirvió últimamente D. Juan Antonio Zamácola, se cita, llama…</t>
  </si>
  <si>
    <t>Atexardro</t>
  </si>
  <si>
    <t>…r de la santa iglesia metropolitana de hurgo, vacante por muerte de D. José Marrón, y por haber fallecido D. Ignacio ■ Aíóñ'sóBügedo J nombrado para él, artes de tomar posesión, a:D. Atexardro • Izquierdo í abad de Compludo,: dignidad de la iglesia catedral de Astorga; ' para el a'rcediahatb de Valpúestá , dignidad de la santa iglesia metropolitana dé Bureos, vacante por fallecimiento de D. Juan Manuel dei Ajo y Su. Ma ría, á D. Francisco García Sa…</t>
  </si>
  <si>
    <t>Atiebza, Paula</t>
  </si>
  <si>
    <t>Paula Atiebza</t>
  </si>
  <si>
    <t>Gaceta de Madrid n.º 147</t>
  </si>
  <si>
    <t>2124</t>
  </si>
  <si>
    <t>…ta de L sábado último. 29 de-Oqtabre -próximo- pasado, fue-hecha-no el 28de Julio como allí se dice, sino el 20 del mes anterior; 1 ■ - I En la noticia de los servicios hechos p®r Doña Paula Atiebza^lque se ha lla en la pág. 2109 de la misma gaceta , donde aice prisioneros 'españoles y gxrtitgueses añádase é ingleses. ;c &gt; v— - ’ ■ ■ ' • 1 _.'j * ■' •• —: * . ' ó.': ■ / ' . . ■ , EN LA IMPRENTA REAL. \</t>
  </si>
  <si>
    <t>Atienza, Paula</t>
  </si>
  <si>
    <t>Paula Atienza</t>
  </si>
  <si>
    <t>…an á loe R. P. de V. M. llenos del mayor júbilo á tributarle las mas expresivas gracias por el ^nuevo favor que les ha concedido, premiando á la benemérita y distinguida espa ñola Doña Paula Atienza, natural de Huraánes, en la provincia de Guadalaxara. La resolución de V. M., publicada en la gaceta de Madrid del 29 de Octubre último, es otra prueba, Señor, de los desvelos de V. M.en re munerar á los que por la religión, el trono y la patria han vertido s…</t>
  </si>
  <si>
    <t>Atienza, Paula de</t>
  </si>
  <si>
    <t>Paula de Atienza</t>
  </si>
  <si>
    <t>…el Rey nuestro Señor dar una prueba del aprecio con que se ha dignado admitir Las gracias que le han tributado varios gefes y oficiales dei exército, por la que había concedido á Doña Paula de Atienza, natural de Humanes, conocida por la Madre de los prisioneros, ha tenido á bien mandar S. M. que la exposición de dichos sugeros se publique en la gaceta para su inteligencia y satisfacción; siendo dicha exposición del tenor si guiente: „ Los gefes y oficiale…</t>
  </si>
  <si>
    <t>Atienza, Pauta</t>
  </si>
  <si>
    <t>Pauta Atienza</t>
  </si>
  <si>
    <t>…ada de Tole«lo , vacante por.muerte de D. Fermín Quadros, á D. Pablo de la Torre. , Atendiendo el Rey á la infatigable y ardiente caridad cristiana y amor 'decidido á la patria de Doña Pauta Atienza , vecina de esta corte, y natu ral de la villa de Humanes, provincia de Goadaíaxar.- , y considerando qoaa dignas de premio son las virtudes esclarecidas de esta heroina,que ha sabido J a4 través de obstáculos y riesgos imínentes exercitarse en el alivio, lib…</t>
  </si>
  <si>
    <t>Atienzay, José Pedro</t>
  </si>
  <si>
    <t>José Pedro Atienzay</t>
  </si>
  <si>
    <t>…esiástico de la santa iglesia magistral de la ciudad de Alcalá de Henares, compuesta de los dignidades y canónigos Don Nicolás Escudero y Martínez, D. GerónAno López de Bartolomé, D. José Pedro Atienzay D. Alfonso Sánchez, se presentó el 12 del corriente á cum plimentar á la Regencia del Reyno por su feliz arribo á esta capital, y me reció de S. A. el mas obsequioso recibimiento, que demostró con tiernas y cordiales expresiones de verdadera gratitud. La diputación de la univer…</t>
  </si>
  <si>
    <t>Atsúfief</t>
  </si>
  <si>
    <t>…su actual posición hasta que se reúnan todos los cuerpos. ,, Tengo la honra &amp;c. Vertus 9 de Febrero. = iY. Lonve 4.0 „ Siento el haber de participar á V. que la división rusa del general Atsúfief padeció mucho ayer tarde de resultas de un ataque del enemigo. En mi parte de ayer indiqué haberse recibido aviso de que Bonaparte esta ba en Sezane. El general Álsufief con su división, compuesta de unos 3500 'infantes, se hallaba-situado en Champaabert. Fué…</t>
  </si>
  <si>
    <t>Au, Federico</t>
  </si>
  <si>
    <t>Federico Au</t>
  </si>
  <si>
    <t>914</t>
  </si>
  <si>
    <t>914 só mas de una hora con la princesa Isabel, hermana del rey Federico Au gusto, que habia venido expresamente de Dresde. Antes de ayer á las cinco de la tarde fue trasladado de aquí con gran pompa el cadáver del príncipe Poniatowsky, que habia estado depositado en la bóveda de la casa municipal. Después de embalsamado le metieron:…</t>
  </si>
  <si>
    <t>Auf-der-Maner</t>
  </si>
  <si>
    <t>…mas allá de la costa del Adriático. _ Se dice que para la guarnición de esta ciudad se formará, como antiguamente, un regimiento de esclavones. SUIZA. Bastlea 20 de Noviembre. El general Auf-der-Maner fue á Zurich á solicitar que los avoyeres y antiguos landammanes Ruttiman y Glutz aceptasen las funciones de media dores entre los cantones de Schwitz y de S. Gaíl relativamente al cantón Uznach._ El general estaba al mismo tiempo encargado de negociar con él…</t>
  </si>
  <si>
    <t>Aügereau</t>
  </si>
  <si>
    <t>…a sola vez tomar en consideración ligeramente la protección de que necesitaba su mas fiel alia do. Ademas, el segundo exércitó de observación, que debía reunirse á las órdenes del mariscal Aügereau, no se formó; y el pie de él, que aun estaba en Wurtzburgo, desapareció enteramente. Abandonado de este modo S. M., .habría faltado ai mas sagrado deber si no hubiese cedido á los deseos de sus fieles vasallos, que se manifestaban cada vez'mas claramente.</t>
  </si>
  <si>
    <t>Augereau</t>
  </si>
  <si>
    <t>…as- : ei príncipe de Hesse-Hom— burgo dio orden de atacar, y se -tomaron algunas piezas de artillería en la ciudad. El general Le-Grand se fe tiró por el camino de León , donde eL mariscal Augereau ha reunido unos 4.® hombres poco, mas ó menos. El general Bubna ocupa gran porción de terreno desde Grenoble por su izquierda, teniendo en Bourg «1 centro, y 'extendiendo su derecha ¡des-* de aquí á las cercanías de Macón. La vanguardia del general Wrede sigu…</t>
  </si>
  <si>
    <t>AügTereau</t>
  </si>
  <si>
    <t>…eblo á Nogent. Hoy se ha recibido aviso de que el exército francés, reunido cerca de León , ha empezado operaciones ofensivas. Las tropas de que se compone están á las órdenes del mariscal AügTereau,y ascienden á unos 25® hombres: parte de ellos han avanzado hasta Macón y Bourg. El príncipe Schwartzenberg ha resuelto enviar el cuerpo del general Bianchi contra aquel exército. Los diferentes cuerpos de austríacos que se hallan ya enlas inmediaciones de Di…</t>
  </si>
  <si>
    <t>Augu</t>
  </si>
  <si>
    <t>…os de mas peligro.» y el de los generales Kleist, Kapsiewitz y del general Gniesenau, que dirigió: el'movimiento de la calzada ; y fin. Imente el exemplo del general Zieten-ry del príncipe Augu to de Píusia, que estuvo siempre al frente de su brigada, estimulándola á los mas h’eroycos esfuerzos, no han podido menos de inspirar á los solda dos una resolución tan firme, que debe llenar al enemigo de admiración y de sorpresa. . ■ „ Ofreciendo la posici…</t>
  </si>
  <si>
    <t>Augusrin, Basilio</t>
  </si>
  <si>
    <t>Basilio Augusrin</t>
  </si>
  <si>
    <t>…a, que voluntariamente me acompañó en las operaciones de aquella noche sin tener aqui su destino...__Ig almente me acompañó ea ¡dicha noche el comandante de ingenieros del bloqueo D. Basilio Augusrin. Incluyo iet estado de pérdida.-__Lo traslado a V- S., á fin de que se sirva ponerlo en noticia del Excmo. Sr. duc(ue de Ciudad-Rodrigo para sü supe rior conocimiento y fines convenientes. Dios guarde á V. S. muchos años. Quartel general de Irun 22 de Febrero…</t>
  </si>
  <si>
    <t>Augusto, Federico</t>
  </si>
  <si>
    <t>Federico Augusto</t>
  </si>
  <si>
    <t>…regar el gobierno á lasautoridades prusianas el príncipe de Repnin escribió una circular á las iglesias de los diversos cultos para que no se nombrase en las oraciones públicas al rey Federico Augusto ni á su fami lia , mandando que se orase solo por el gobierno en general. Las tropas prusianas se reúnen para ocupar la Saxonia ; y ya las forta lezas de Torgau y de Wirtemberg tienen guarnición prusiana. -j La gaceta ministerial ha publicado la carta siguien…</t>
  </si>
  <si>
    <t>Auli, Jacobo</t>
  </si>
  <si>
    <t>Jacobo Auli</t>
  </si>
  <si>
    <t>Gazeta de la Regencia de las Españas n.º 11</t>
  </si>
  <si>
    <t>…ñonazos á metralla y bala, que no dexaron de causar algunas averías. La sorpresa alejó momentáneamente de la cubierta á Jos individuos de la fragata, excepto e! oficial de guardia D. Jacobo Auli, y al impávido teniente de navio D. Felipe Bauza. El segundo contramaestre Francisco Naya ,1 deteniendoela gente que baxaba de Ja cofa , se preparaba á izar los foques, según la voz. de .Prieto:* y, el primer contramaestre por sí mismo pi có el cable ,! al ti…</t>
  </si>
  <si>
    <t>Ausa, José de</t>
  </si>
  <si>
    <t>José de Ausa</t>
  </si>
  <si>
    <t>…n* deneia del exército de Castilla la Vieja y de la provincia de Valladolid á D. Cesáreo Gardoqui, y la del exercico y reyno de Galicia, que este servia» al intendente de exército D. José de Ausa. Asimismo por decreto de 6 del mismo mes se ha servido S.M. conferir 1a intendencia de la provincia de Córdoba al intendente de León D. Juan de •Modenes, y la de la provincia de León al de Córdoba D. Joaquín Peralta. Y por decreto de ti del propio mes, atendi…</t>
  </si>
  <si>
    <t>Ausina, Tomas</t>
  </si>
  <si>
    <t>Tomas Ausina</t>
  </si>
  <si>
    <t>…de los caballeros maestrantes. Este ayuntamiento constitucional tuvo la complacencia de felicitar á S. A. al llegar á la puerta de S. Vicente, pronunciando el alcalde primero Dr. D. Tomas Ausina un breve y enérgico discurso. Por medio de un numeroso concurso que le dirigía tiernos plácemes y</t>
  </si>
  <si>
    <t>Ausofi</t>
  </si>
  <si>
    <t>…enido por su derecha por las brigadas del general Birbraune , y del coronel Keane de la tercera división , y también por los ata ques simultáneos que daba por nuestra izquierda ei general Ausofi con su brigada de la quarta división , y por la derecha el general Picton con la sexta división , al mando del general Clinton , y coa los restos de la tercera división, desalojaron al fin al enemigo, y nos dieron la victoria. ,,Entre tanto el general Hill ha…</t>
  </si>
  <si>
    <t>Austria, Metternlch del</t>
  </si>
  <si>
    <t>Metternlch del Austria</t>
  </si>
  <si>
    <t>…potencias del Norte. El contra-almirante Tulleke es el que está destina do á mandar estas fuerzas. AUSTRIA. Viena i.° de Agosto, Los ministros de las qtiatro grandes potencias el príncipe Metternlch del Austria, el conde de Nesselrode de Rusia, lord Castlereagh de Inglaterra, .y el príncipe de Hardenberg: de Prusia , deben , según se asegura, reunirse en esta capital el dia io de Setiembre próximo para establecer las bases de la paz, que según se .asegura ?también s…</t>
  </si>
  <si>
    <t>Auxiliar</t>
  </si>
  <si>
    <t>…del pasado tuvo la honra el cabildo de la real iglesia de S. Isi dro de esta corte de felicitar y besar la. mano á S. M. y AÁ. por medio de una diputación compuesta del limo. Sr. obispo Auxiliar, teniente de cape llán mayor, y quatro canónigos de la misma. T&gt;. Alexandró Izquierdo, canónigo dignidad abad de Compludo, y Í). José Vivas dé Aragón ,, canónigo-de la santa apostólica iglesia de As tor ga, felicitaron al Rey nuestro Señor á nombre de $u cabi…</t>
  </si>
  <si>
    <t>Avert</t>
  </si>
  <si>
    <t>…fan^sy y 1870 caballos de los regimientos 4:0 y 9.0, y 12 de húsares del 24.01, de dragones el 21.0, 114.0 y otro de caballería de línea. Ea gúarnicton de Barcelona , al mando del general Avert, se compone de 1 f batallones ,1 á* sabé'f: Eres del 117.0 de Mrrea dé á 800 hombres cada uno, dos del 54.0 de á 2op, uno.del 115.0 de 600 plazas, otro del 121.° de 700 hombres, uno de! 5J°f .dos del 18:0 y uno dé! ligeros, ignorándose la fiierza de* estos qu…</t>
  </si>
  <si>
    <t>Avilés, Ffatícisco Fernandez de</t>
  </si>
  <si>
    <t>Ffatícisco Fernandez de Avilés</t>
  </si>
  <si>
    <t>…trincherado én la cumbre del Peregrino; y como estaba informado de que aquella cuesta es asperísima y de difícil ác¿éso, mandé al sargento mayor y .comandante del batallón aél Sur D. Ffatícisco Fernandez de Avilés que con una fuerte partida la flanquease por mi derecha, é izquierda de Vbs enemigos^ y que al amanecer sorprendiese á es tos por su espalda, siguiendo yo con el resto de la división por el camino común. A las 8 de la mañana dél 7 había ya vadeado el rio, y e…</t>
  </si>
  <si>
    <t>Avis</t>
  </si>
  <si>
    <t>…l Tuben , favorecido por una maniobra de los ingleses en su flanco derecho, tomó los atrincheramientos y la aldea, en donde esta ban 1© franceses, y alli se encontró el cuerpo del general Avis, que murió en la acción. El general Oppen también tuvo una acción, y en el discurso de ella se dispararon quatro obuses contra la ciudad, é incendiaron un edificio. Las obras están en buen estado, y la guarnición , según dicen los desertores y habitantes, asc…</t>
  </si>
  <si>
    <t>Ay, Juan Antonio</t>
  </si>
  <si>
    <t>Juan Antonio Ay</t>
  </si>
  <si>
    <t>Gaceta de Madrid n.º 163</t>
  </si>
  <si>
    <t>…o Xavier Vigusra, contador de rentas dé la provincia de Cuenca, en atención á sus méritos y servicios. " • El Rey nuestro Señor en atención á los singulares méritos y servicios de D. Juan Antonio Ay uso y Recacha, cura párroco de la villa de Viliaseca díí llenares , ha venido en concederle la gracia de cruz supernumeraria de ja Real y distinguida orden de Cários 111. Habiendo socorrido el Rey nuestro Señor al hospital General de esta corlé ^on .708) rs.,…</t>
  </si>
  <si>
    <t>Ay, Juan Ignacio de</t>
  </si>
  <si>
    <t>Juan Ignacio de Ay</t>
  </si>
  <si>
    <t>…ario, escribano de^cá mara mas antiguo, y de gobierno del mi' Consejo, se te dé ía misma fe y crédito que á su ,original. Dada en Madrid á 25 de Junio de 1814. = YO JE L REY. = Yo D. Juan Ignacio de Ay estarán, secretario del Rey nuestro Señor, lo hice escribir por su mandado. = El duque del Infantado. = D. Mi guel Alfonso Viilagomez. D. Gerónimo Antonio Diez. r= D. Nicolás Ma ría de Sierra. = D&lt;. Luis Melendez y Bruna. = Registrada, Fernando de Icurmendi.…</t>
  </si>
  <si>
    <t>Ayaide, Tomas de</t>
  </si>
  <si>
    <t>Tomas de Ayaide</t>
  </si>
  <si>
    <t>…ra les brigadieres D. Salvador Mairía Chacón, D. Agustín de Figueroa, D. Juan Darrac, D. Bernardo Muñoz, D. José de Gardoqui, D. Ignacio María de Olaera, D. José de Quevedo Cheza, D. Tomas de Ayaide, D. Miguel Gasten,</t>
  </si>
  <si>
    <t>Ayala, Ignacio López de</t>
  </si>
  <si>
    <t>Ignacio López de Ayala</t>
  </si>
  <si>
    <t>…á sus memoriales al alcalde constitucional D. Francis co Blas Garoz con los informes correspondientes. Vida de Gonzalo Fernandez de Aguilar y Córdoba, llamado el Gran Capitán: por D. Ignacio López de Ayala: un tomo en octavo. Se hallará en la librería de Ortega-, calle de las Carretas. MADRID EN LA IMPRENTA NACIONAL.</t>
  </si>
  <si>
    <t>Ayala, José García</t>
  </si>
  <si>
    <t>José García Ayala</t>
  </si>
  <si>
    <t>…to que estuvo de pie, á pesar de resentirse aun del humor que le molestó en Valencia. S. M. ha concedido de su bolsillo dos dias de prest á la tropa. Se desea saber el paradero de D. José García Ayala para comunicarle una no ticia que le interesa para el percibo de algunos reales, y en caso de haber falleci do á sus herederos. Se acudirá á D. Pedro José de Echenique, que vive en la casa de Correos. En la villa de Pezuela de las Torres, partido de Alcalá de…</t>
  </si>
  <si>
    <t>Ayala, Ramón</t>
  </si>
  <si>
    <t>Ramón Ayala</t>
  </si>
  <si>
    <t>43$ Juan de Asas, capitán de Marina. D. Ramón Ayala, teniente de id. D. Juan Moreno, id de id. D. José Osorio, subteniente de id. D. Ramón Rerigel, te niente coronel, comandante de voluntarios de Asturias. D. Pablo Herce, capi tán de id. D. Andrés Pardo, a&gt; udante de id. D. Bernardo Pita , teniente de ¡d. IX R…</t>
  </si>
  <si>
    <t>Ayala, Román</t>
  </si>
  <si>
    <t>Román Ayala</t>
  </si>
  <si>
    <t>…es de navio D. Juan de A zas, D. Loren zo Villegas, D. Josef Pumarejo y I). Carlos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-igual nombre D. Toaqu…</t>
  </si>
  <si>
    <t>Aycinena, Josef</t>
  </si>
  <si>
    <t>Josef Aycinena</t>
  </si>
  <si>
    <t>…, Secre tario-= Sala segunda de Gobierno. = D. Pedro Aparíci. = Conde de TorreMuzquiz. = D. Ignacio OmulrriannD. Cayetano Urbina. = D. Juan Ro bledo. = D. Francisco Xavier Caro. = D. Josef Aycinena. = D. Antonio Cal derón , Fiscal. = D. Silvestre Collar, Secretario. = Sala tercera de Justician D. Ramón de Posada.s= Di Francisco Josef Viaña. =D. Joaquín Mosque ra, =D. Antonio Salcédon Conde de Vista-Florida. Contador general* que no ha de ser Ministro de…</t>
  </si>
  <si>
    <t>Ayesa, Gabriel de</t>
  </si>
  <si>
    <t>Gabriel de Ayesa</t>
  </si>
  <si>
    <t>4</t>
  </si>
  <si>
    <t>…ndo su especialagra do asi respecto á tan leal provincia, como á su comisionado. : :Ai ' ■ ■■'• ú 1 r.: El dia 4 del corriente tuvo la honra de presentarse á besar la mano á S. M. Don Gabriel de Ayesa, comisionado por la isla de Puerto-Rico, y de cumplimentar á S. M. en su nombre: ,, Señor: la isla de Puerto Rico, que desde su descubrimiento rindió obe diencia á la corona de Castilla, tiene la gloria de haberla conservado siem pre ii a’ter.be, y hoy la de…</t>
  </si>
  <si>
    <t>Ayestarán, Juan Ignacio</t>
  </si>
  <si>
    <t>Juan Ignacio Ayestarán</t>
  </si>
  <si>
    <t>…a en so antiguo pie, compuesta de! Excmo. Sr. duque del Infantado, presidente del consejo, presidente director; de los Sres. D. Tomas Moyano, del propio consejo, vice- presidente; D. Juan Ignacio Ayestarán, secretario de la cámara de Gracia y Justicia, del estado de Castilla y corona de Ara gón; D................ secretario del Real consejo de las Ordenes; D. Manuel Gamboa, teniente mas antiguo de corregidor de Madrid; D. Sebastian Sal cedo, secretario y contad…</t>
  </si>
  <si>
    <t>Ayestarán, Juan Ignacio de</t>
  </si>
  <si>
    <t>Juan Ignacio de Ayestarán</t>
  </si>
  <si>
    <t>…rtenecían á la de la Corona de Aragón, y la otra del Real Patronato, debiendo despacharse por ella todos los negocios eclesiásticos de él, se ha servido nombrar para la pri mera á D. Juan Ignacio de Ayestarán, Secretario del Real Patronato de la Corona de Castilla, y para la segunda á D. Cristóbal Antonio de Ilarraza, Oricial mayor primero de la Secretaría de Estado y del Despacho de Gracia y Justicia de mí cargo, con calidad de permanecer en el exerciciode tal Of…</t>
  </si>
  <si>
    <t>…Secretario, Escribano de Cámara mas antiguo, y de Gobierno del mi Consejo, se le dé la misma fe y crédito que á su origiaal. Dada en Madrid á 8 de Julio de 1814. = YO EL REYá = Yo Don Juan Ignacio de Ayestarán, Secretario del Rey nuestro Señor, lo hice es cribir por su mandado. = El Duque dei Infantado. = D. Nicolás María de Sierra. = D Antonio Alvarez de Cóntreras. = D. Sebastian de Torres. = Don Luis Meiendez y Bruna. =Registrada, Fernando de Iturmendi. =rlenient…</t>
  </si>
  <si>
    <t>…retario, Escri bano de Cámara mas antiguo, y de Gobierno del mi Consejo, se le dé la misma fe y crédito que á su original. Dada en Palacio á 22 de Julio de 181*. = YO EL REY. = Yo D. Juan Ignacio de Ayestarán, Secretario del Rey nuestro Señor, lo hice escribir por su mandado. = El Duque del In fantado. =D.• S-bistian de Torres. = D. IgnacioCv Martínez___de Villela.__ = Don Antonio Ignacio de Cortabarría. = D. Luis Melendez y Bruna. = Registra da , Fernando de Itur…</t>
  </si>
  <si>
    <t>Madrid á 30 de Julio de iS^.sYO EL REY.srYo D. Juan Ignacio de Ayestarán, Secretario del Rey nuestro Señor, lo hice escribir por su man dado. =El Duque del Infantado. =s D. Luis Melendez y Bruna. = D. Anto nio Ignacio de Cortabarría.sD. Miguel Alfonso Villagomez. D. José Antonio de Larrumbide. = Registrada, Fernando de Iturmendi.…</t>
  </si>
  <si>
    <t>910</t>
  </si>
  <si>
    <t>…cretario, Escribano de Cámara mas antiguo, y de Gobierno del mi Consejo, se le dé la misma fe y crédito que á su original. Dada en Palacio á 7 de Agosto de 1814. = YO EL REY. = Yo D. Juan Ignacio de Ayestarán, Secretario del Rey nuestro Señor, lo hice escribir por su man dador El Duque del Infantado. = D. Andrés Lasauca. = D. Antonio Igna cio de Cortabarría. zs D. Miguel Alfonso Villagomez. = D. Luis Meiendez y Bruna. = Registrada, Fernando de Iturmendi. = Tenient…</t>
  </si>
  <si>
    <t>1009</t>
  </si>
  <si>
    <t>…Secretario, Escribano de Cámara mas antiguo, y de Gobierno del mi Consejo, seje dé la misma fe y crédito que á su original. D¿da en Palacio á 22 de Agosto de 1814. =YO EL REY.=Yo D. Juan Ignacio de Ayestarán, Secretario del Rey nuestro Señor, lo hice escribir por su man dado. 2 El Duque del Infantado. 2 D. Josef Antonio de Larrumbide. 2 D. Gonzalo Josef de Viiches. = D. Antonio Alvarez de Contreras. 2 El Conde del Pinar 2 Registrada, Fernando de Iturmendi. =: Ten…</t>
  </si>
  <si>
    <t>Gaceta de Madrid n.º 132</t>
  </si>
  <si>
    <t>1095</t>
  </si>
  <si>
    <t>…retario, Escribano de Cámara mas antiguo, y de Gobierno del mi Consejo, se le dé la misme fe y crédito que á su original. Dada en Palacio á 31 de Agosto de 1814. = YO EL REY. = Yo D. Juan Ignacio de Ayestarán , Secretario del Rey nues tro Señor , lo hice escribir por su mandado. =:Ei Duque del Infantado.= EfConde del Pin^t. = D. Antonio Alvarez de Contreras.= D. Tomas Moyaño. == D José Antonio de Lárrumbide. = Registrada, Fernando de Iturmendi.= Teniente de Cancil…</t>
  </si>
  <si>
    <t>2026</t>
  </si>
  <si>
    <t>…etario, Escribano de Cámara mas antiguo, y de Gobierno del mi Consejo, se le dé la misma fe y crédito que á su original. Dada en Palacio á 15 de Setiembre de 1814. = YO EL REY.=Yo D. Juan Ignacio de Ayestarán, Secretario del Rey nuestro Señor, lo hice escribir por su man dado. =El Duque del Infantado. = D. Sebastian de Torres. = D. Luis Melendez y Bruna. = D. Antonio Alvarez de Contreras. = D. Josef Antonio de Larrumbide.= Registrada, Fernando de Iturmendi. = Teni…</t>
  </si>
  <si>
    <t>…etario, Escrib 110 de Cámara mas antiguo, y de Gobierno del mi Consejo, se le dé la misma fe y crédito qué á su original. Dada en Palacio á 2 de Octubre de 1814.= YO EL RliY.ss Yo D. Juan Ignacio de Ayestarán, Secretario del Rey nuestro Señor, lo hice escribir por su mandado. = El Duque del Inf ntado. =D. Gerónimo An tonio Diez.= D. TomasMoyano.reD. Antonio Alvarez de Contreras. = Don Josef Antonio de Larruníbide.= Registrada , Fernando de Iturmendi. = Ter niente…</t>
  </si>
  <si>
    <t>…etario, Escribano de Cámara mas antiguo, y de Gobierno del mi Consejo, se le dé la misma fe y crédito que á su original. Dada en Palacio á 19 de Octubre dé 1814. = YO EL REY. =sYo D. Juan Ignacio de Ayestarán, Secretario del Rey nuestro Señor , la hice escribir por su mandado. = El Duque del Infantado. = D. Antonio Alvarez de Conrreras. =3 D. Joief Antonio de Larrumbide. = D. Temas Moyano. 3= D. Domingo Fernandez de Campománes. = Registrada, Aquilino Escudero. = T…</t>
  </si>
  <si>
    <t>Ayllon, Ana de</t>
  </si>
  <si>
    <t>Ana de Ayllon</t>
  </si>
  <si>
    <t>9°4 Doña Ana de Ayllon, vecina de la villa de Osuna, por su testamento dexó en usufruto dos lincas á sus hermanos de padre D. Raymundo y D. Pedro de Al cántara de Ayllon, el primero vecino de la ciudad de Cádiz, y el segundo en la de la Ha vana : lo que se manifiesta al público, pa…</t>
  </si>
  <si>
    <t>Aymeri, José Ferrer</t>
  </si>
  <si>
    <t>José Ferrer Aymeri</t>
  </si>
  <si>
    <t>…de la catedral de Gerona, vacante por muerte de D. Juan Vilomara : á Don Narciso Gobern para otra también diaconil de la misma catedral, vacante por muerte de D. Ignacio Sastre: á D. José Ferrer Aymeri para otra tam bién diaconil de la misma catedral, vacante por muerte de D. Antonio Se gura: á D. Mariano Bataller para otra presbiterial de la misma catedral, va cante por muerte de D. Félix Rabal: á D. Francisco Sepulcro para una ración de !a catedral de Ori…</t>
  </si>
  <si>
    <t>Ayssa, José de</t>
  </si>
  <si>
    <t>José de Ayssa</t>
  </si>
  <si>
    <t>…rcito D. Juan de Ayssa, go bernador qué Fué de la provincia de León de Nicaragua,, en el reyno de Góatemala, natural' de Ja ciudad de Huesca, en Aragón, hijo legítimo del teniente coronel D. José de Ayssa y de Doña Medarda Aróstegui, vecinos que fueron de dicha ciu dad de Huesca. Los interesados podrán acudir por sí ó por medio de persona con®* cida, y con probanza suficiente, á Cádiz, plazuela de las Niéve®, niím. 122. Se halla vacante él partido de cirujano…</t>
  </si>
  <si>
    <t>Ayssa, Juan de</t>
  </si>
  <si>
    <t>Juan de Ayssa</t>
  </si>
  <si>
    <t>…el tercer grado de la Sra. Dona Agustina Larraz, natural de la ciudad de Zamora, hija de D. José Lárraz y de Doña María Francisca de Arriaga, y también la del coronel de exército D. Juan de Ayssa, go bernador qué Fué de la provincia de León de Nicaragua,, en el reyno de Góatemala, natural' de Ja ciudad de Huesca, en Aragón, hijo legítimo del teniente coronel D. José de Ayssa y de Doña Medarda Aróstegui, vecinos que fueron de dicha ciu dad de Huesca. L…</t>
  </si>
  <si>
    <t>Ayuso, Antonio</t>
  </si>
  <si>
    <t>Antonio Ayuso</t>
  </si>
  <si>
    <t>…an nobles sentimientos.” Asimismo en éfcte día fué admitido á cumplimentar á S. M. por su feliz: restitución al trono, y tuvo con este motivo la honra de besar su rea! mano el Dr. D. Antonio Ayuso, alcalde ordinario de la villa del Burgo de Osma;el qual á nombre de la misma dirigió á S. M. el discurso siguiente: ,,Señor: ia villa del Burgo deOsma tiene el honor de presentará V. M. los mas gratos homenages de fidelidad y reverente amor hacia vuestra rea…</t>
  </si>
  <si>
    <t>Azabal, Pascual Norella del</t>
  </si>
  <si>
    <t>Pascual Norella del Azabal</t>
  </si>
  <si>
    <t>…Castilla ó por la hermandad de S. Casiano, dirigirán sus memoriales hasta i.° de Noviembre venidero á D. Miguel Antonio de Inunciaga, escribano, residente en la villa de Dnrango. D. Pascual Norella del Azabal, natural de Madrid, capitán de granaderos gra duado de teniente coronel del regimiento de Extremadura infantería de línea, es tuvo con su regimiento en los dos sitios de Zaragoza hasta su rendición en Febrero de 1809, en cuya época se hallaba con la epidemia…</t>
  </si>
  <si>
    <t>Azana, Miguel</t>
  </si>
  <si>
    <t>Miguel Azana</t>
  </si>
  <si>
    <t>Gaceta de Madrid n.º 114</t>
  </si>
  <si>
    <t>…ue produzca la asistencia á los eclesiásticos, y casa libre, asi como el médico, de alojamiento, contribución y otra qualquiera carga. Los pretendientes dirigirán sus memoriales á D. Miguel Azana dentro del término de 20 dias, contados desde hoy dia de la fecha de esta gaceta de Madrid. D. Antonio Dávalos y Mendoza, vecino del lugar de Aljucen, del partido de Mérida, en la provincia de Extremadura, hace saber al público que hallándose de alcalde de es…</t>
  </si>
  <si>
    <t>Ázanza, Miguel Josef de</t>
  </si>
  <si>
    <t>Miguel Josef de Ázanza</t>
  </si>
  <si>
    <t>…U íí -.1? .&lt; .¡4— —-■ Por providencia del FraíicLiCG Assin, Juez letrado :de primera instancia de esta villa, se cita, llama y, emplaza á D. Ramón Josef de Arce, conde de Galvez, D. Miguel Josef de Ázanza , D, Gonzalo O-Farril, marquesa de Montchermoso, marques de Valle de la Paloma, D. Josef Ignacio Joven de Salas, D. Josef R omero, D. Magín Ferrer, D. Domingo Agüero, D. Manuel Sil vela, D. Rafael Tenorio, D. Francisco González, D. Josef Barreda , D- Pascual…</t>
  </si>
  <si>
    <t>Azcoitia, Julián Martínez de</t>
  </si>
  <si>
    <t>Julián Martínez de Azcoitia</t>
  </si>
  <si>
    <t>838</t>
  </si>
  <si>
    <t>…&gt;;s militares y á qualquiera otra persona que tenga noticia del suceso, como del paradero de alguno de sus criados ó de sus equipages é intereses, se sirva comunicarlo en Madrid á D. Julián Martínez de Azcoitia, que vive en la Corredera de S. Pablo, ca&amp;a real del Refugio, ó en 'Palencia á D. Lorenzo Caivo de la Cantera su hermano, canónigo de la santa iglesia catedral. En la imprenta de D.ívüa, calle de Barrionuevo, se hallan de venta libros de coro, impresos con to…</t>
  </si>
  <si>
    <t>Aznar, Alonso</t>
  </si>
  <si>
    <t>Alonso Aznar</t>
  </si>
  <si>
    <t>…añía de granaderos al ca pitán de fusileros D. Juan Esteban Arfian: compañías de fusileros á los sub tenientes D. Juan Nepomuceno Rivas, D. Tomas de Heredia, D. Rafael de Heredia, D. Alonso Aznar y D. Felipe de la Cámara: la subtenencia de granaderos á D. José Ireneo Guerra; y subtenencias de fusileros á D. Ma nuel Benito Quixano, D. Nicolás Ortiz, D. Agustín Sánchez, D. Arcadio Quixano, D. Joaquín Sánchez y D. Arcadio Cicero. Por los oficios que con fecha del 23…</t>
  </si>
  <si>
    <t>Aznar, Antonio</t>
  </si>
  <si>
    <t>Antonio Aznar</t>
  </si>
  <si>
    <t>…e Jesús á medio tiro de la pla za: se situaron los obuses, y cubrieran los parapetos sobre la derecha del río con infantería de Rioja y Cariñena, al mando del capitán Arazuri y el teniente D. Antonio Aznar, y se rompió el fuego muy vivo por nuestros obuses y fusilería, causando mucho daño ai enemigo, que no contestó sino con la última arma. Por e«ta observación, y por las noticias que se había* extendido de que el ecemigo trataba de abandonar la plaza, creyó Sa…</t>
  </si>
  <si>
    <t>Aznar, Josefa</t>
  </si>
  <si>
    <t>Josefa Aznar</t>
  </si>
  <si>
    <t>Gaceta de Madrid n.º 170</t>
  </si>
  <si>
    <t>…ciones de Laredo, quien dará de todo las noticias convenientes, y en esta corte á D. Manuel Martínez, que vive en la calle de S. Isidro á S. Francisco, liúm. 25, quarto principa!. Doña Josefa Aznar, muger del administrador de correos de la ciudad de Segorve, se ausentó de ella por la entrada de los enemigos; ignorándose adonde fue, y necesitándose saber su existencia y paradero para comunicarle asuntos que le in teresan , se suplica á la persona que sep…</t>
  </si>
  <si>
    <t>Aznar, Juan</t>
  </si>
  <si>
    <t>Juan Aznar</t>
  </si>
  <si>
    <t>…nal á mariscal de campo subinspector del departamento de Mé xico al brigadier subinspector dé la Habana D. Agustín Ibarra ; á coroneles á los tenientes coroneles del propio cuerpo D. Juan Aznar, D. Antonio M¡railes y D. Mariano Montóya, y á tenientes coroneles ah capitán déla mis ma arma D. Amadeo Mora, y al sargento mayor D. Cayetano Blengua. A subtenientes en el batallón de milicias disciplinadas de infantería de Chiquimula, en Goatemala, á D. Dio…</t>
  </si>
  <si>
    <t>Aznar, Rafael</t>
  </si>
  <si>
    <t>Rafael Aznar</t>
  </si>
  <si>
    <t>…,. vacante por muerte de D. Manuel Moli na , á Dv Antonio Temprano; y para el beneficio servidero de la parroquia de $&gt; Martin de la. ciudad: dé Plasencia,, vacante ppr muerte, de D. Rafael Aznar , á D.. Miguel Blanco. Por Real cédula dé. S. M. y Sres. del Consejo dé 6 dei corriente se ha mandado ,, que se restablézca la- universidad de Sigiienza,. con la calidad.de que arregle los estudios al- plam general inserto en la Real cédula de 12 de Julio de…</t>
  </si>
  <si>
    <t>Azpey, José</t>
  </si>
  <si>
    <t>José Azpey</t>
  </si>
  <si>
    <t>…&lt;r pellan primero de la Real capilla parroquial del Real palacio de Aranjuez: para el arcedianato titular de la iglesia catedral de Segovia, que resultará vacante por promoción de D. José Azpey tia y Saenz de Santa María al obis pado de Lugo , á D. Manuel Tarieg^, canónigo doctoral de la de Salamanca; y para una ración de la de Tarazona, vacante por muerte de D. Custodio Lejaide , á D. Tiburcio Marco. ■ * » ¡ ' \, • , El Rey se ha dignado promover e…</t>
  </si>
  <si>
    <t>Azpeytia, José</t>
  </si>
  <si>
    <t>José Azpeytia</t>
  </si>
  <si>
    <t>…todo lo demas que pr.oppne,la junta de hospitales en su consulta, se ha servido nombrar para las quatrp consiliaturas eclesiásticas á D. Cayetano de Campos, cura del Real palacio; Don José Azpeytia, auditor de monseñor Nuncio; D. Juan José Barrios, cura de la parroquia de Sta. María; y D. Juan de Lera Cano, cura de S. Salvador: para las siete seculares al duque de Montemar; D. Manuel de la Peña; Don José Manzanilla; D. Cayetano Urbina; D. Pascual Dávila…</t>
  </si>
  <si>
    <t>Azpeytra, José de</t>
  </si>
  <si>
    <t>José de Azpeytra</t>
  </si>
  <si>
    <t>Gaceta de Madrid n.º 121</t>
  </si>
  <si>
    <t>…s , provincia de Toledo, con pasto y lab®r , y la prerogativa de jurisdicción territorial, podrán acudir en Segovia á la comisión captuiar encargada de este negocio, y en Madrid á D. José de Azpeytra, arcediano titular de dicha santa iglesia; los quales están habilitados para dar todas ias noticias con que puedan realizarse prontamente los respectivos contratos de empréstito ó compra con todas las solemnidades del derecho. A virtud de orden del Consejo de…</t>
  </si>
  <si>
    <t>Azubialie, Juan Manuel de</t>
  </si>
  <si>
    <t>Juan Manuel de Azubialie</t>
  </si>
  <si>
    <t>…o de la gaceta de Madrid la ausencia drí D. Cosme su hermano, para que el que tuviere noticias de él se sirviese comunicar’as á D. Juan Miguel Adarraga en dicha ciudad; en Cádiz á D. Juan Manuel de Azubialie, y en Sevilla á Doña Miriaña Vallada res y Gardoqui; prometiendo ademas un premio de 1500 rs. ai que las comunica se, y encargando también í los mismos corresponsales que le diesen cuenta si se presentaba ó no algún sugeto que dixese y asegurase el paradero d…</t>
  </si>
  <si>
    <t>Ba</t>
  </si>
  <si>
    <t>…rán entregados por los respectivos encargados de estos ramos á los gefes de ellos el capitán del cuerpo nacio nal de artillería D. Manuel Pilón , el teniente coronel de ingenieros D. Ba silio Augustin, y el ministro de hacienda del sitió D. Joaquín Pastor____ 7.0 Dé esta ¿capitulación se sacarán dos copias, y apenas sea ratificada, se pondrá en exécucion. Fecha en el fuerte de Laredo á las ocho y media de la noche del 24 de Febrero de 1814.—…</t>
  </si>
  <si>
    <t>Babiüa</t>
  </si>
  <si>
    <t>…Torrijas ¿ Don Manuel Perez Aransolo*; para kpvara.de Saldada i!D. José Benito Gutiér rez Bustamante: para la de Tavara á D. Manuel Ximenez: para el corregi miento dé Afstójfga á D. Babiüa/Gircía:MaQrtqiue : para la vara de Santilla-</t>
  </si>
  <si>
    <t>Badell, José</t>
  </si>
  <si>
    <t>José Badell</t>
  </si>
  <si>
    <t>…dos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costumbre. Reus ij de Enero, Hace algunos dias que recibimos una carta de la frontera, en que nos anunciaban la entrada de los aliados del Nort…</t>
  </si>
  <si>
    <t>Badillos, Diego María</t>
  </si>
  <si>
    <t>Diego María Badillos</t>
  </si>
  <si>
    <t>625</t>
  </si>
  <si>
    <t>625 D. Gerónimo Antonio Diez. D. Francisco Ibañez Leiba. D. Jayme Alvarez Mendieta. D. Andrés Oller.,. D. Diego María Badillos. Se revoca como injusta la sentencia pronunciada por el tribunal especial creado por las Cortes generales y extraordinarias contra el señor D. Miguel de Lardizabal y Uribe; y en conformidad á la calificación de la junta suprema de Censura se le absuelve libre…</t>
  </si>
  <si>
    <t>Bagstecoatt</t>
  </si>
  <si>
    <t>…n jus principales pyntos con la doctrina del lebre ^iclnrt: á 8 rs. zz Reglas pira evitar la tenovác'ion , entrada y propagación de qua Iquiera contagio: a 4 rs. =5 Manifiesto del general Bagstecoatt, presidente de la junta superior provincial de sanidad da Valencia, :J todas las municipales del dis trito de su mando, insertándolas-el píanadopt?4°J&gt;oreFciiadó profesor en Ja exen ción de la fiebre amarilla de Almazarrón de 18 10 , obtenida en 13 dfas justo…</t>
  </si>
  <si>
    <t>Bahamonde, Carlos</t>
  </si>
  <si>
    <t>Carlos Bahamonde</t>
  </si>
  <si>
    <t>…s de ella, y escribanía numeraria ¡del cargo de D. Alfonso de Yébcnes , se manda ci-; tar, llamar y emplazar á Doña Ignacia y Doña Ramona Bahamonde y&gt; demas hi jos y herederos' de D. Carlos Bahamonde, comisario de guerra, y vecino que fué. de la ciudad del Puerto de Santa María, y Doña María del Carmen Tobal, para que comparezcan ante dicho Sr. D. Lorenzo Ruiz de Robles á justificar el derecho que pueda corrcsponderles .en I^testam^ntaría de D? Manuel Car…</t>
  </si>
  <si>
    <t>Bails, Benito</t>
  </si>
  <si>
    <t>Benito Bails</t>
  </si>
  <si>
    <t>…iduos de las clases primera y se gunda de ordenanzas: en el 2,°.los de las primera y segunda de aritmética: en el 3.0 y 4.0 los de geometría especulativa que sigue en su compendio Don Benito Bails: en el 5.0 los de las clases de táctica de infantería y caballería: en el 6.° los déla trigonometría rectilínea y geometría práctica; y en el 7.0 los de las de fortificación, dibuxo militar, esgrima, y manejo del sable in gles á pie y á caballo. Siendo ei pre…</t>
  </si>
  <si>
    <t>Baisey</t>
  </si>
  <si>
    <t>…el rey de Prusia y sus hijos, partieron esta mañana á las nueve, y no volverán mas á Londres. El Príncipe Regenteaba salido también para Portsmouth con el duque de Cambridge y el general Baisey. Estos excelentes monarcas y;.sus valientes generales han hecho en el pueblo ingles una impresión, qu^ nunca se borrará, como tampoco se borrará de los espíritus de los soberanos las que les ha hecho el examen de nuestras infinitas y admirables instituciones.…</t>
  </si>
  <si>
    <t>Baiüvian, Jorge</t>
  </si>
  <si>
    <t>Jorge Baiüvian</t>
  </si>
  <si>
    <t>su cuerpo, el cbmandahte dé artillería coronel D. Casimiro “Valdés, el co mandante del batallón del centro D. Sebastian Benavente', cTcorohel de ca ballería D. Jorge Baiüvian, el comandante dél esqüadroa de dragones par tidarios D. Saturnino Castro, el de los mismos de infantería D. Ramón Aquenza, el de cazadores D. Pedro Antonio de Okñeta, el de las guerri llas D. Manuel-Valle, y todos los oficiales hasta el último soldado han cu…</t>
  </si>
  <si>
    <t>Balda, Pedro Peralta y</t>
  </si>
  <si>
    <t>Pedro Peralta y Balda</t>
  </si>
  <si>
    <t>…las Ostoíaza, con retención de la capellanía de honor que sirve en la Real capilla; y para la canongía que ha vacado en la catedral de Barbastro por muerte de D. Silvestre Pueyo á D. Pedro Peralta y Balda ; para otra ca nongía de la de Cartagena, por fallecimiento de D. José Zamora, á Don Juan López Pelegrin , con retención de la capellanía de honor que sirve en la Real capilla; para otra canongía de la iglesia catedral de Tarazona, por muerte de D. Gregorio L…</t>
  </si>
  <si>
    <t>Balgowin, Lyndoch de</t>
  </si>
  <si>
    <t>Lyndoch de Balgowin</t>
  </si>
  <si>
    <t>…apellido y título de barón Nídary de Niddry, en el condado Linlithgow. _ Al teniente general sir Tomas Graham, caballero de la mis ma órden¿ bazo .del nombre, apellido y título de barón Lyndoch de Balgowin, en el condado de Perth.__ Al teniente general sir Stapíeton Cotton, caballero de la propia orden , baxo del nombre., apellido y título de barón de Condermere, en el condado palatino de Chester._Al teniente general sir Rowland Hill, caballero también de la or…</t>
  </si>
  <si>
    <t>Ballano, Antonio</t>
  </si>
  <si>
    <t>Antonio Ballano</t>
  </si>
  <si>
    <t>Gazeta de la Regencia de las Españas n.º 25</t>
  </si>
  <si>
    <t>…de Burgos. Por el juzgado de primera instancia del Sr. D. Domingo Benito Quintana,^- es cribanía de provincia de D. Manuel López de Ribas, se halla pendiente ¡a testa mentaría de D. Antonio Ballano, médico que fué en esta corte, en la que á instan cia de los síndicos de ella se ha señalado para celebrar junta general de todos los acreedores é interesados á la misma el domingo 6 de Marzo próximo venidero á las 9 de su mañana en la posada del referido señ…</t>
  </si>
  <si>
    <t>Ballesteros</t>
  </si>
  <si>
    <t>…istribuía con mano, generosa toda clase de auxilios? á los beneméritos defensores de la patria, de que serán siempre testigos entre otros los ilustres guerreros que capitaneaba el general Ballesteros. ,,'Hoy, Señor, que ve cumplidos sus ardientes deseos, después de habex dado la mas solemne acción de gracias a! Todopoderoso por tan señalados beneficios, se presenta á renovar á V, M, el juramento de fidelidad y obe diencia que le prestaron sus vecinos en e…</t>
  </si>
  <si>
    <t>Baltasar</t>
  </si>
  <si>
    <t>…808.”^ El 26 de Agosto último tuvieron la honra de felicitar á S. M. por su res titución al trono en nombre de la villa de Consuegra, del partido de Tole do, D. Ramón de Figueroa, D. Baltasar:"Vrilíarejo y D. Francisco Melgar; de los quales el primero dixo: ,, Señor: el ayuntamiento y villa de Consuegra, una de las del gran pricrafb déla orden de S. Juan, tiene la honra en este dia de felicitar á V. M. con él mas sincero respeto y amor por la feli…</t>
  </si>
  <si>
    <t>Balza, Manuel</t>
  </si>
  <si>
    <t>Manuel Balza</t>
  </si>
  <si>
    <t>D. Manuel Balza, y á subteniente de bandera a! sargento primero D. Al fonso Diaz. Con la de i.° de Noviembres del mismo año, á sargento mayor á D. José Ignacio Urquidi; á teniente de granaderos á D. Miguel de la Ve ga ; ídem de fusileros á D. José Tellez y D. Matías de la To…</t>
  </si>
  <si>
    <t>Bañares, Gregorio</t>
  </si>
  <si>
    <t>Gregorio Bañares</t>
  </si>
  <si>
    <t>…de maestro, pues mereciendo la aprobación debida se acudirá á la superioridad para SU logro. Filosofía farmacéutica, ó la farmacia reducida á sus verdaderos principios: por el Dr. D. Gregorio Bañares, boticario de cámara de S.M., socio dé .la sociedad de medicina de emulación de París ¿ académico de número de la Real academia mé dica matritense Sec.: segunda edición , aumentada con nuevas teorías y descubri mientos. Se vendé én la botica del autor, calle…</t>
  </si>
  <si>
    <t>Baños, Justo Martínez de</t>
  </si>
  <si>
    <t>Justo Martínez de Baños</t>
  </si>
  <si>
    <t>…a de la Guar dia, en la Riojá Alavesa, compuesta de ios Sres. D. Francisco de Sales An drés, deí Consejo de S. M., y su ministro en el tribunal de Cruzada y Gra cias subsidiarias; D. Justo Martínez de Baños; Fr. Eustaquio de Aimarza, presidente del real monasterio de S. Gerónimo de Madrid , y D. Pío Santos,</t>
  </si>
  <si>
    <t>Banquer, Francisco</t>
  </si>
  <si>
    <t>Francisco Banquer</t>
  </si>
  <si>
    <t>…Los profesores que la pretendan dirigirán sus 'memoriales hasta el 12 del corriente mes de Noviembre l íos patronos de ella' en dicha villa. Se desea saber el paradero ó suerte de D. Francisco Banquer, músico mayor del regimiento núm. 21.° portugués, el qual por Diciembre de 1812 se hallaba en .Ciudad-Rodrigo; y no habiendo tenido mas noticia desde aquella época, se supli ca á la persona que sepa si existe ó ha fallecido., lo avise en Madrid á Doña Ma ría…</t>
  </si>
  <si>
    <t>Baquerizó, Sebastian</t>
  </si>
  <si>
    <t>Sebastian Baquerizó</t>
  </si>
  <si>
    <t>…eandro Zamora. En ei de Amotape compañía al teiliente D. Joaquín de Helguero y Albo. Y en el esquadron de milicias disciplinadas de dragones de Guayaquil compañías á los tenientes D. Sebastian Baquerizó y D. José Joaquín AviíéS; El cabildo de Toledo, deseoso de contribuir eri quánto ptieda a 1 alivió deias urgencias'd*el estado, que unto afligen al benéflco corázori de S. \f., hace notorio al publico que está pronto á recibir eir óalidad de empréstito,</t>
  </si>
  <si>
    <t>Bar</t>
  </si>
  <si>
    <t>…próxima partida de las tropas aliadas.: esta" mañana ha salido de aquí con dirección á Alemania tín convoy muy grande de coches y carros del exército austríaco. Se asegura qué el mariscal Bar clay de Tolly saldrá el 12 de este mes* y los soberanos el ij. Se dice que están ya decretadas las siguiente?Alteraciones en la cruz de la legión de Honor: á la efigie de Bonaparte se Substituirá la del gefe de lá áugustá‘familia dé' los Borbones * el mejor y…</t>
  </si>
  <si>
    <t>…o en lo que les corresponda, dando para ello las órdenes y providencias que tuvieren por oportunas: que asi es mi voluntad; y que al traslado impreso de esta mi Cédula, firmado de D. Bar tolomé Muñoz de Torres, mi Secretario, Escribano de Cámara mas antiguo, y de Gobierno del mi Consejo, se le dé la misma fe y crédito que á su ori ginal. Dada en Palacio á 2 de*Octubre de 1814. = YO EL REY.=Yo D011 Juan Ignacio de Ayestarán, Secretario del Rey…</t>
  </si>
  <si>
    <t>…sortija de ,bri llantes con su cifra á Mr. Esehez, de Zurích^ á quien 5e debe la desecación de las lagunas de Lalinth. Escriben de Varsovia que según las órdenes del feíd-mariscal conde Bar clay de Tolly se han establecido almacenes considerables en los departamen tos de Cracovia, Radom y Lublin. El príncipe Constantino hace maniobrar diariartiehté las tropas rusas y polacas. Estas tropas, que peleaban el ano último unas contra otras, parece que…</t>
  </si>
  <si>
    <t>Bar, Angel González</t>
  </si>
  <si>
    <t>Angel González Bar</t>
  </si>
  <si>
    <t>; 2244, María de Una y Nafárrondd, individuo de la Real sociedad económica; Dofi Miguel Burriél, promotor fiscal de obras pías, y secretario el Sr. D. Angel González Bar rey ro, que lo es del Excmo. Ayuntamiento de esta villa; y habiéndose establecido ya la secretaría en el piso baxo de las casas consis* toria!es&gt; se avisa al publico para su inteligencia. ^ Por decreto del Real tribunal del ¡consulado de,Cádiz, dictado en 17…</t>
  </si>
  <si>
    <t>Bar, Felipe</t>
  </si>
  <si>
    <t>Felipe Bar</t>
  </si>
  <si>
    <t>…admitida !á cumplimentar á S. M. una diputación de la ciudad de Avila, compuesta de D. Lui‘s Rosao, alcalde de primer vo to, D. Francisco Crespo, D. Eusebío Iglesias, regidores, y D. Felipe Bar ra, procurador síndico, pronunciando el primero la arenga siguiente: Señor: vuestra M. N. y M. ciudad de; Avila tuvo la gloria el terri ble año de 1808 de adelantarse entre las primeras de Castilla .la vieja para oonvertir su robusta juventud en tropas reglad…</t>
  </si>
  <si>
    <t>Baradat, Maurteio</t>
  </si>
  <si>
    <t>Maurteio Baradat</t>
  </si>
  <si>
    <t>…ara siete plazas de al caldes del crimen de la misma chancillería á D. Manuel de Viiches, D. An tonio Lorenzo Martínez del Pozo, D. Matías Herrero Prieto, D. Manuel Martin Berna!, D. Maurteio Baradat, B. Ignaro Martínez de Torres y D* Anacleto Fagoaga. El Rey nuestro Señor, atendiendo á los méritos de D. Bernardo Amaya, oficial de la tesorería del exército de Castilla la Vieja, y á los grandes ser vicios de su padre D. Francisco, se ha servido nombrarle a…</t>
  </si>
  <si>
    <t>Baraybar, Felipe</t>
  </si>
  <si>
    <t>Felipe Baraybar</t>
  </si>
  <si>
    <t>…Vicente Calvo, D. Manuel José Arbizu, D. Lucas Gómez Negro, D. Martin de Gastañaga, D. Jo&gt;é Ro dríguez Biezma, D. Miguel Antonio Rodrigo, D. Pedro Boado Sánchez; y para fiscales á D. Felipe Baraybar y D. Juan Ramón Matute. En Ultra mar para la canongía de ia iglesia catedral de Guadalaxara á O. José Manuel Sanmartín; para ración en la misma iglesia á D. Toribio González, y para media ración á D. José Miguel Ramírez. Igualmente se ha servido nombrar pata una ración en la iglesi…</t>
  </si>
  <si>
    <t>Barazabal, José Duran y</t>
  </si>
  <si>
    <t>José Duran y Barazabal</t>
  </si>
  <si>
    <t>I sor honorario de S. My en ejercicio del Sermo. 5r. Infante D. Carlos, el mariscal de campo de los reales exércitos D. José Duran y Barazabal , y Don Domingo BalmasedaAmaestrante de Ronda, comisionados por el ayunta miento de la M. N. y L. ciudad de Soria para felicitar á S. M. y AA. por su regreso al trono, tuvieron el honor de besar la mano á S. M. y AA.; y el primero de decir el discurso siguien…</t>
  </si>
  <si>
    <t>Barazabal, José Joaquín Duran y</t>
  </si>
  <si>
    <t>José Joaquín Duran y Barazabal</t>
  </si>
  <si>
    <t>…trono de sus proge nitores los muchos años que La fiel Aranda'y sus; representantes apetecen;’’ , ■ u- ' - .. . . .o Al día siguiente él mariscal de campo de los reales1 exércitos D. José Joaquín Duran y Barazabal; y el Dr. D. Leandro Gonzalo, doctoral de la Encarnación de esta corte, tuvieron igualmente el honor de besar la mano y cumplimentar á S. M. y AA., como comisionados pór las villas de Aimazan y Cefvera de la prov-ineia de Soria; el primero de tos quales dixo:…</t>
  </si>
  <si>
    <t>Barberena, Juan Bautista</t>
  </si>
  <si>
    <t>Juan Bautista Barberena</t>
  </si>
  <si>
    <t>…te por muerte de D. Ignacio García del Castillo , á D. Mar cos Ponce de Leen: para el beneficio curado de la villa de Andoain , dióce sis de Pamplona, vacante por fallecimiento de D. Juan Bautista Barberena, á D. José Oyenarte, teniente de cura de la parroquia de S. Vicente de ú ciudad de S. Sebastian. Para el deanato primera silla de la iglesia catedral de Canaria, vacante por muerte de D. Miguel Mariano de Toledo, á D. Santiago José Benco mo ; y para la dignid…</t>
  </si>
  <si>
    <t>Barbosa, Francisco de Zúñiga y</t>
  </si>
  <si>
    <t>Francisco de Zúñiga y Barbosa</t>
  </si>
  <si>
    <t>…de Ramiro y Mesa. En Santiago........................ D. Manuel de la Riba Moreno. En Soria............................. D. Joaquín Tutor Ibalzola. En Salamanca................... D. Francisco de Zúñiga y Barbosa. En Santander................. . Vial é hijo. En Toledo....,..................... D. Francisco Perez.</t>
  </si>
  <si>
    <t>Barclay</t>
  </si>
  <si>
    <t>…tiene su quartel general: también vino el general Phfuí; y se espera por momentos al general Benkendorf.__ Aquellos dos genera les, lord Clancarty, el general Tavlor, ei teniente coronel Barclay, ios ofi ciales que acompañaron ai general Buiow, y varios caballeros dinamarque</t>
  </si>
  <si>
    <t>Barco</t>
  </si>
  <si>
    <t>…ia, se tomó el pueblo con las casas fuertes, y en ellas dos violentos de á ocho; fuefon cogidos ademas 17 hombres, el comandante del castillo y pueblo, y un capitán. La herida del general Barco en un muslo retardó la empresa, ia que con cortos intermedios se renovó 'el 24. Es inexplicable el valor que mostró la tropa. Los tres regimientos de línea se portaron con he roísmo; pero por estar demasiado fuerte el castillo se retiraron para renovar</t>
  </si>
  <si>
    <t>…erecido en el cumplimiento de su deber, según observará V\ E . por la copia del parte del coronel S. Lló rente, que anuncia su sensible muerte. Las circunstancias que adornaban al brigadier Barco son bien notorias/,,no menos que lo es ahora el importante servicio que acaba de ofrecer át la jpatria; y supuesto que por el no puede ya * recibir de esta el condigno premio á que se había hecho tan acreedor, pa rece justo, que pues ya no existe, y sí su lau…</t>
  </si>
  <si>
    <t>…ar las guarniciones que deban sostener el bloqueo mas estrecho j é ínterin* habiendo llenado estas beneméritas tropas en quatro dias quantas operacio nes V. E. se digno confiar al brigadier Barco, mi malogrado antecesor, quedo esperando sus últimas órdenes___ Remitiré á V. E. los estados de las pérdidas que en estos dias han sufrido los cuerpos de la izquierda en el próximo correoyCpo*’ no haber sido posible tenerlos hoy reunidos en mis manos. -—; Mañ…</t>
  </si>
  <si>
    <t>Barco, Diego del</t>
  </si>
  <si>
    <t>Diego del Barco</t>
  </si>
  <si>
    <t>…á las fortificaciones del istmo; y para el efecto mandé se aumentase la fuerza del bloqueo con una brigada de las del quarto exército, y el todo de estas tropas á las órdenes del brigadier D. Diego del Barco, con las instrucciones competentes; quien en cumplimiento de mis órdenes ha des empeñado su comisión tan completamente como verá V. E. por la adjunta relación, que acabo de recibir del general en gefe del quarto exército Don Manuel Freyre, é igualmente por la…</t>
  </si>
  <si>
    <t>…cias mili tares que han tenido lugar en este suceso.----Con indecible alegría partici paría á V. E estos felices resultados, si no tuviese el debido sentimiento á la desgracia del brigadier D. Diego del Barco, cuyo valor y conocimientos le han acarreado el aprecio general de todo este exército. Recomiendo á V. E. eficazmente á este benemérito gefe, no menos que la constancia y bu*en comportamiento de las tropas del bloqueo y sus dignos oficiales, contandó' entre e…</t>
  </si>
  <si>
    <t>Bardaxí, María Antonia</t>
  </si>
  <si>
    <t>María Antonia Bardaxí</t>
  </si>
  <si>
    <t>…por la escribanía de provincia va cante que sirvió últimamente D. Juan Antonio Zamácola, se cita, llama y empla za á los herederos de D. Francisco Xavier Vizoso y su difunta muger Doña María Antonia Bardaxí, que parece fuá heredera de aquel, acreedor que era á dicho con curso de no9 rs. de vn., para que en el preciso término de 20 dias comparezcan por dicha audiencia y citada escribanía á deducir las acciones que les competan , en quanto á la especie de moneda e…</t>
  </si>
  <si>
    <t>Barnard</t>
  </si>
  <si>
    <t>…n dar una extensión excesiva á la línea. Precisado entonces á va riar el plan de la acción, mandé avanzar inmediatamente las divi siones tercera y sexta» y adelanté la brigada del coronel Barnard de la división ligera , con el fin de atacar la izquierda de la altura, en que estaba situada la derecha enemiga. Este ataque, conducido por el regimiento 52.°, al mando del teniente coronel Coiborn, y sostenido por su derecha por las brigadas del general Bir…</t>
  </si>
  <si>
    <t>Barney</t>
  </si>
  <si>
    <t>…ian, apoderado ,de aquel. Antes de verificar su desembarco las tropas- inglesas, algunos buques de ' guerra que las escoltaban tuvieron un combate empeñadísimo con Ja flotilla del comandante Barney, que intentaba impedirles el desembarco; pero des pués de haber sido estes completamente derrotados, quedando casi todos muertos ó heridos, se vió obligado Barney, que igualmente estaba herido, á rendirse á discreción, k&gt;,/que verificó después de, haber-quema…</t>
  </si>
  <si>
    <t>Bárney'</t>
  </si>
  <si>
    <t>…pos , han to mado posiciones. "~-v GRAN BRETAÑA. ' s Londres 13 de Junio. Ayer llegó á esta capital un cardenal que viene encargado de una misión importante del sumo Pontífice. El doctor Bárney' ha comprado en 620 libras esterlinas el!famoso Ho mero de Townley, que es el mas célebre manuscrito del mayor de los poe tas. Este doctor es? digno por sus talentos y su aplicación de que haya caldo en sus manos este tesoro. Antes de ayer fué el día señalado…</t>
  </si>
  <si>
    <t>Barnuevo, José</t>
  </si>
  <si>
    <t>José Barnuevo</t>
  </si>
  <si>
    <t>…erra de los reales exércitos D. José Felipe de Olive; el M. R. P. Fr. Miguel Pedreño, prior del convento de carmelitas calzados de esta ciudad; y el contador honorario de exército D. José Barnuevo, en cargando á su zelo y puntualidad todo lo relativo á la función. Elegido el dia 4 del corriente Junio, y el magnífico templo de Sto. Do mingo de esta capital para la celebración de la fiesta, se adornó la iglesia con la mayor magnificencia, profusión y bue…</t>
  </si>
  <si>
    <t>Barnuevo, Manuel</t>
  </si>
  <si>
    <t>Manuel Barnuevo</t>
  </si>
  <si>
    <t>…26 de Diciembre. El dia 4 de Setiembre último se presentó á cumplimentar á S. M. con motivo de su restitución al trono, en hombre de la villa de Albacete, en él rey no de Murcia, D. Manuel Barnuevo, teniente coronel de Dragones del Rey , el qual habló á S M. en los términos siguientes: \ ^ . í Señor: el regreso de V. M. al trono desús mayores proporciona á vues tro corregidor y ayuntamiento de la villa de Albacete la dulce satisfacción de rendir á V. -M…</t>
  </si>
  <si>
    <t>Barón</t>
  </si>
  <si>
    <t>362</t>
  </si>
  <si>
    <t>…Sus. fuerzas su tiles andaban enseñoreándose por el rio los primeros dias de Octubre (por que no sabían que hubiese quien las observase) ; y conduciendo alguna gente de tierra su comandante Barón, parece intentaba verificar sus excur siones por este lado del rio, con el objeto de saciar su prurito de robar. A la extrema vigilancia de nuestras guerrillas no pudo esto estar oculto, ni era factible que la que estuviese mas inmediata, por débil que fuese,…</t>
  </si>
  <si>
    <t>Barquero, Diego Kidalgo</t>
  </si>
  <si>
    <t>Diego Kidalgo Barquero</t>
  </si>
  <si>
    <t>…dilatados méritos y distinguidos servicios del Maris cal de Campo Marques de Sobremonte, se ha servido concederle plaza supernumeraria en el Real y supremo Consejo de las Indias. Don Diego Kidalgo Barquero, Doña María Godcy Quintana, su espo sa , y sus hijos D. Juan y Doña Ines han hecho á S. M. la oferta de 4© rs. vn. Al mhmo tiempo ha ofrecido igual cantidad D. José Hidalgo Barquero, otro de los hijos de D. Diego, para arender á las urgencias del estado. S. M…</t>
  </si>
  <si>
    <t>Barquero, José Hidalgo</t>
  </si>
  <si>
    <t>José Hidalgo Barquero</t>
  </si>
  <si>
    <t>…Diego Kidalgo Barquero, Doña María Godcy Quintana, su espo sa , y sus hijos D. Juan y Doña Ines han hecho á S. M. la oferta de 4© rs. vn. Al mhmo tiempo ha ofrecido igual cantidad D. José Hidalgo Barquero, otro de los hijos de D. Diego, para arender á las urgencias del estado. S. M. se ha dignado admitir estos donativos, mandando que se den gracias á los in teresados , y se publiquen en la gaceta; estos rasgos de patiiotismo y amor á su Real Persona. Donativos…</t>
  </si>
  <si>
    <t>Barrado, Juan</t>
  </si>
  <si>
    <t>Juan Barrado</t>
  </si>
  <si>
    <t>…e Piasencia de la provincia de Extremadura, compuesta del Lie. D. Juan Zacarías Torres de Castro, abogado de los rea les consejos y regidor de la misma, y del procurador dei común D. Juan Barrado; el primero de los qiiales arengó á S. M. en los términos siguientes: ,,Señor: vuestra M. N. y L. ciudad de Piasencia, representada por una diputación de su ayuntamiento , tiene hoy el honor y satisfacción de felici tar á V. R. M., y de ofrecer los mas sincer…</t>
  </si>
  <si>
    <t>Barrantes, José Iglesias</t>
  </si>
  <si>
    <t>José Iglesias Barrantes</t>
  </si>
  <si>
    <t>…M.scdona!,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 Laserna , D. Felipe de Sesma, Don Antonio Tomas, el barón de Biure, D. Gaspar de Roeabjruna, D. José Ma ría de Torrijos, D. Gaspar Dirweil, D. Gregorio Piquero, D.…</t>
  </si>
  <si>
    <t>Barray-coa, Gregorio</t>
  </si>
  <si>
    <t>Gregorio Barray-coa</t>
  </si>
  <si>
    <t>2203 na á D« JoaquínfPáz Merino : parala de.Almazan á D. Gregorio Barray-coa: paira la de Elche á D. Ignacio Sauca: para el corregimiento'de* Gandís ■i E&gt;. Francisca.Antonio Moya; para Já. vaca deóBejar á D. Domingp Colla zo : para la de Archidona á D. Juan José Mal dona dos paca el corregimien to de Coria 4 D• Félix Erizo y Morales:…</t>
  </si>
  <si>
    <t>Bárraycoa, Gregorio</t>
  </si>
  <si>
    <t>Gregorio Bárraycoa</t>
  </si>
  <si>
    <t>…d de Astorga á D. Basilio García Manrique, y para el de la villa de Torrijos á D. Manuel Perez Aransoro; para la vara de lá villa de Elche á D. Ignacio Sauca; para la de Almazañ á D. Gregorio Bárraycoa; para la de SantULua i d J oaquin Paz Merino; para la de Tabara á D. Manuel Xlmenez , y par ra ia dé Sald ña á D. José Benito Gutiérrez Bustamante. En atención á los distinguidos méritos y servicios del brigadier de los Reales exér itos D. Manuel de Ena, coro…</t>
  </si>
  <si>
    <t>Barrea, Antonio de Ja</t>
  </si>
  <si>
    <t>Antonio de Ja Barrea</t>
  </si>
  <si>
    <t>…D. Andrés Cabrera y D. Manuel Valdivia: compañías de fusi leros á los tenientes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t>
  </si>
  <si>
    <t>Barreaux</t>
  </si>
  <si>
    <t>…Entonces pasó este río el dia 4 cerca de St. Andre de Gupzac con un destacamento de sus tropas con el objeto de atacar el fuerte de Blaye. S. S. encontró al gen. ral Hillier y al general Barreaux apostados cerca de Eranliery; y estaba haciendo sus preparativos para atacarlos quando ¿e retiraron, dexando en sus manos co mo 30Q prisioneros En las operaciones que acabo de referir he tenido gran des motivos de estar satisfecho del auxilio que me han prest…</t>
  </si>
  <si>
    <t>Barreda, Francisco Antonio</t>
  </si>
  <si>
    <t>Francisco Antonio Barreda</t>
  </si>
  <si>
    <t>…Reales exércitos, y su constan te adhesión á su Real Persona, ha venido en nombrarle para h abadía de Ja Real casa de S. I idro de León, que se halla vacante por fallecimiento de D. Francisco Antonio Barreda; y para la prejstamera de Moronta en el obis pado de Salamanca, la de Buendia en el de Cuenca? y la media préstamete de Zarzuela en la misma diócesis, vacantes todas por promoción de.D. Do mingo Cantero á una capellanía de la Real capilla de Sres. Reyes nuevo…</t>
  </si>
  <si>
    <t>Barreda, Josef</t>
  </si>
  <si>
    <t>Josef Barreda</t>
  </si>
  <si>
    <t>…marques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 Alonso, D: Francisco Alonso, D. Antonio Bera2a y D. Josef Baseoni, fugados con el gobierno intrusó, para que en el ténnin…</t>
  </si>
  <si>
    <t>Barreda, Lorenzo</t>
  </si>
  <si>
    <t>Lorenzo Barreda</t>
  </si>
  <si>
    <t>…\ Igualmente el Rey 'nuestro Señor se ha servido conceder sobre el fondo / general de Espolios y Vacantes una pensión de 5 rs. vnl diarios á Doña María Sanz de Mendoza , viuda de' D. Lorenzo Barreda, vecina de esta cor te, en virtud de los méritos "qué .ella y su marido hait contraído durante J*i última guerra, sirviendo de^confidentes del gobierno español todo el tiempo que el enemigo ocupó la capital* , ‘ .. * D. Juan José Ruiz, cura párroco de Remos,…</t>
  </si>
  <si>
    <t>Barreda, Tomas</t>
  </si>
  <si>
    <t>Tomas Barreda</t>
  </si>
  <si>
    <t>…la ar mada Fr. D. Antonio Valdés y D. Félix de Tejada, al teniente general Don Julián de Retamosa, al gefe de esquadra D. Francisco Mondragon, y por secretario al capitán de navio D. Tomas Barreda. Circulares del ministerio de Hacienda. T.n El Rey se ha servido dirigirme éLdecreto qué sigue:</t>
  </si>
  <si>
    <t>Barrena</t>
  </si>
  <si>
    <t>…as np todas las compañías pudieron hacerlo en igual, facilidad, püés&gt;la de granaderos y segunda de fusileros del 2.0 se vieron en el mayor apuro: en no pequeño se tí ó asimismo el coronel Barrena, que á la sazón se hallaba con la quarta, que sostuvo el mas vivo fuego que le hicieron los enemigos desde el t arrio de S. Esteban. El tenien te coroneldeí propió 'regimiento D. Manuel Arvilla con la quinta y sexta hubo de vencer no pequeñas dificultades, ha…</t>
  </si>
  <si>
    <t>Barrera</t>
  </si>
  <si>
    <t>616</t>
  </si>
  <si>
    <t>…a tarde, y decidida la victoria por el capitán Cuervo. Las reuniones de bandidos en aquellas inmediaciones son de alguna con sideración , y por esta causa no solo determiné qué el teniente Barrera per maneciese en IxhuatLn, sino que le mandé un auxilio de 30 hombres entre *•* patriotas, milicianos y de colonia, quatro caxones de municiones y un ca non, con-sus correspondiente? artilleros, ai mando del subteniente graduado</t>
  </si>
  <si>
    <t>de teniente D. Manuel "Vázquez. Pasé también orden á Cuervo pira que con alguna de su tropa se reuniese al referido teniente Barrera, y con toda esta fuerza be mandado á este perseguir á guantas reuniones sepa que exis ten, sin omitir la destrucción de la Mesa de los Coroneles; y que no ha biendo ya atención por esos puntos, retroceda hácia el rumbo de Santa Ca talina Ghoutla, adonde he re…</t>
  </si>
  <si>
    <t>Barril, Rafael</t>
  </si>
  <si>
    <t>Rafael Barril</t>
  </si>
  <si>
    <t>…yor á D. Lucas Ambrosio de Molina; capitanes á D. Diego Adriarola y D. Esteban de Albarracin; te nientes á D. Antonio Adriasola, D. Juan de Dios González, D. Francisco Buenrostro, D. Rafael Barril y D. Manuel de Lorca ; subtenientes á Don Santiago Asen jo, D. Domingo Ulloa y D. José Justo Flores y D.-Anselmo Carabantes, y subtenientes de bandera á D. Juan Francisco Echeneguí y D. Miguel, Lara. En el de Voluntarios de Madrid , existente en Montevi deo, teniente á D. Manuel…</t>
  </si>
  <si>
    <t>Barrio, León</t>
  </si>
  <si>
    <t>León Barrio</t>
  </si>
  <si>
    <t>…presión dé los motivos que á cada uno han asis tido para ello; y resultando que de los comprehendidos en la lista solo dos, que son D. Antonio Saun, capitán del i.° de Cataluña, y D. León Barrio, capitán agregado al de Navarra, no tienen razones que alegar en su favor* espero se servirá S. A. la Regencia del Reyno mandar que se publiquen los nombres de estos dos oficiales en la gaceta del Gobierno en los términos que se previno en la orden general de…</t>
  </si>
  <si>
    <t>Barrios, Juan José</t>
  </si>
  <si>
    <t>Juan José Barrios</t>
  </si>
  <si>
    <t>…es en su consulta, se ha servido nombrar para las quatrp consiliaturas eclesiásticas á D. Cayetano de Campos, cura del Real palacio; Don José Azpeytia, auditor de monseñor Nuncio; D. Juan José Barrios, cura de la parroquia de Sta. María; y D. Juan de Lera Cano, cura de S. Salvador: para las siete seculares al duque de Montemar; D. Manuel de la Peña; Don José Manzanilla; D. Cayetano Urbina; D. Pascual Dávila, conde de Ibargrande; D. Antonio Gamiz, y al marq…</t>
  </si>
  <si>
    <t>Barron, Guillermo</t>
  </si>
  <si>
    <t>Guillermo Barron</t>
  </si>
  <si>
    <t>…timo ante D. Elias Izquierdo y Payan, escribano!honorario de cámara de ,S. M., se manda citar y convocar á quantos se estimen con derecho á la masa y bienes de la testamentaría de D. Guillermo Barron, para que en el término^e 18 meses se presenten á deducirlo ante el mismo tribuna! con. jos documentos'que lo comprueben; apercibidos de que en su.defecto, lo que se proveyere, les parará el perjuicio que haya lugar, y los pagos que se hagan se verificarán si…</t>
  </si>
  <si>
    <t>Barto</t>
  </si>
  <si>
    <t>…s corresponda, sin contravenirla , per mitir ni dar lugar á que se contravenga en manera alguna : que asi es mi vo luntad ; y que al traslado impreso de esta mi Cédula, firmado de D. Barto lomé Muñoz de Torres,, mi Secretario, Escribano de Cámara mas antiguo, y de Gobierno del mi Consejo, se le dé la misma fe y crédito que á su origiaal. Dada en Madrid á 8 de Julio de 1814. = YO EL REYá = Yo Don Juan Ignacio de Ayestarán, Secretario del Rey nue…</t>
  </si>
  <si>
    <t>…, vicario y juez eclesiástico del partido de Bejar, en dicho obispado de Plasencia: para una capellanía, vacante en Ja Real capilla de Sresí Reyes’ nüevcs dé Toledo &lt;por muerte de D. Barto lomé-de Cañas, á D. Domingo Cantero: para otra, capellanía de la misma Real capilla de Sres. Reyes nuevos-de ^Toledo, vacante por fallecimiento de D. Miguel Marrinez Lugarnuevo , á D. Manuel Castaño Asemio, capellán del regimiento dé'1 infantería i.° de^líñéa…</t>
  </si>
  <si>
    <t>Bartolomé, GerónAno López de</t>
  </si>
  <si>
    <t>GerónAno López de Bartolomé</t>
  </si>
  <si>
    <t>…ro. Una comisión del cabildo eclesiástico de la santa iglesia magistral de la ciudad de Alcalá de Henares, compuesta de los dignidades y canónigos Don Nicolás Escudero y Martínez, D. GerónAno López de Bartolomé, D. José Pedro Atienzay D. Alfonso Sánchez, se presentó el 12 del corriente á cum plimentar á la Regencia del Reyno por su feliz arribo á esta capital, y me reció de S. A. el mas obsequioso recibimiento, que demostró con tiernas y cordiales expresiones de ver…</t>
  </si>
  <si>
    <t>Bartolomé, Gerónimo López</t>
  </si>
  <si>
    <t>Gerónimo López Bartolomé</t>
  </si>
  <si>
    <t>…iglesia magistral de la ciudad de Alcalá de Henares, compuesta de su abad mayor el Dr. D. José García Sánchez, el Dr. Don Nicolás Martínez Escudero, dignidad de chantre, y el Dr. D. Gerónimo López Bartolomé, dignidad de tesorero. El 24 del mes próximo pasado cumplimentó á S. M. por su feliz resti tución al trono el ayuntamiento de la M. N. y L. ciudad de Segovia por medio de sus comisionados D. Manuel de la Fuente, alcalde primero, Don Juan Manuel Cubero, regido…</t>
  </si>
  <si>
    <t>BaruteU, Juan Antonio</t>
  </si>
  <si>
    <t>Juan Antonio BaruteU</t>
  </si>
  <si>
    <t>…uevo timbre al lustre y buen nombre de su familia, que podrá gloriarse siempre de contar á uno de los suj os entre los mas ilustres defensores de la patria. ARTICULO DE OFICIO. El brigadier D. Juan Antonio BaruteU, comandante general interino de la primera divi ion del tercer exercito, O. Antonio Sofá , comandante dé ia segunda brigada de la misma división, y demás gefes comandantes de los cuerpos-qué la componen, dieron queja á S. M. en 118 del pasado contra los edito…</t>
  </si>
  <si>
    <t>BasagoitL, Tomas de</t>
  </si>
  <si>
    <t>Tomas de BasagoitL</t>
  </si>
  <si>
    <t>…S , canónigo doctoral de la misma catedral, y ministro del con sejo délas Ordenes: para la^dé tesorero de la mi^ma iglesia, vacante por fiiuérte:dé'D. Jacinto Antonio de Losada, á D. Tomas de BasagoitL, raciéfcére má^atfitigitó deella: pfrra unacanongía dé la propia iglesia catedral,</t>
  </si>
  <si>
    <t>Baseoni, Josef</t>
  </si>
  <si>
    <t>Josef Baseoni</t>
  </si>
  <si>
    <t>…scual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 único y perentorio les señalo, comparezcan por sí ó por procuradores con los correspondientes poderes á mi juzgado, y por la escribanía mayor de…</t>
  </si>
  <si>
    <t>Basilio</t>
  </si>
  <si>
    <t>…ro, D. Manuel Sil vela, D. Rafael Tenorio, D. Francisco González, D. Josef Barreda , D- Pascual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 único y perentorio les señalo, comparezcan por sí ó por procuradores…</t>
  </si>
  <si>
    <t>Basilio, Nicolás</t>
  </si>
  <si>
    <t>Nicolás Basilio</t>
  </si>
  <si>
    <t>*34s . restantes patriotas de Tepecuacuilco y Huizuco, mandados todos por el ca pitán de caballería D. Nicolás Basilio de la Gándara. El día 4 á las 7 de la mañana dieron alcance á ios rebeldes entre el rio de Mescala y pueblo de S. Miguel, y emprendieron un tiroteo que duró mas de una hora infructuosamente, por hallarse los insurgentes parapetados de una barranquilla que los…</t>
  </si>
  <si>
    <t>Bastamente, Manuel Mozo</t>
  </si>
  <si>
    <t>Manuel Mozo Bastamente</t>
  </si>
  <si>
    <t>…eron admitidos á cumplimentar á S. M. por su fe liz restitución al trono en nombre de la ciudad de Palencia D. Felipe d-e Bedoya y Dueñas, alcalde primero de ella, y los regidores D. Manuel Mozo Bastamente y D. Miguel Palacios; el primero de los quales arengó á S. M. en estos términos : ,,Señor: la ciudad de Palencia, siempre fiel y siempre constante en amar á sus Soberanos, aunque no la primera en felicitar á V. M. por su gloriosa reposición al trono de sus augustos predecesores,…</t>
  </si>
  <si>
    <t>Baste</t>
  </si>
  <si>
    <t>201</t>
  </si>
  <si>
    <t>…rechazó, hizo 300 prisioneros, y cargó al enemigo mas allá del riachuelo Voire. El 3 á medio d¡a entró1 el emperador én TroyéS. Hemos perdido, en la batalla-de Bríenné al Valiente general Baste El general Lefebvre-des-Nouetes ha sido herido de un bayonetazo: también ha sido herido gravemente el general Forestier* Nuestra pérdida eh las dos acciones ha sido de unos 2 á 3® hombres entré muertos y heridos : la del enemigo asciende por lo menos á doble núm…</t>
  </si>
  <si>
    <t>Bataller, Mariano</t>
  </si>
  <si>
    <t>Mariano Bataller</t>
  </si>
  <si>
    <t>…e la misma catedral, vacante por muerte de D. Ignacio Sastre: á D. José Ferrer Aymeri para otra tam bién diaconil de la misma catedral, vacante por muerte de D. Antonio Se gura: á D. Mariano Bataller para otra presbiterial de la misma catedral, va cante por muerte de D. Félix Rabal: á D. Francisco Sepulcro para una ración de !a catedral de Orihuela, vacante por muerte de D. Gabriel Andu ez2: á D. Gerónimo Merino para una canongía de la metropolitana de Va…</t>
  </si>
  <si>
    <t>Batanero, Luis</t>
  </si>
  <si>
    <t>Luis Batanero</t>
  </si>
  <si>
    <t>…del Lie. D Manuel Gregorio de Beleña, beneficiado de la parroquia de Santa María U Mayor; dei Dr. D. Antonio Alonso, beneficiado de la de S. Estéban, secretario del cabildo, y de D. Luis Batanero, cura de la expresada parroquia de Santa María la Mayor.</t>
  </si>
  <si>
    <t>Bathurst</t>
  </si>
  <si>
    <t>…as tropas de Badén, Hohenzollern y Lichtenstein. -.4 •. - '*'t (j N.i B R. :E T .A &gt;NbA¿ • * . - * v*.-*-Londres $ de Febrero. SECRETARÍA DE ' GUERRA. Ofi io del general Graham al conde Bathurst. Milord: híábiéndoand hecho saber el general Buíow, comandante en gefé deltercerCcuerpadél exército prusiano, que en la mañana del n de este mes se proponía arrojaratl;enemigo de Hoogstrateu y Wortel en el.Merk, para hacer un reconocimiento hacia Ambéres, des…</t>
  </si>
  <si>
    <t>…y espero que no durará mucho. Quartel generaLde Calmhout 14 dé Enero de 1814. = Tomas Graham. * Idem 14. Ayer se recibieron los siguientes'oficios del mayor Macdonald dirigidos al conde Bathurst, sus: fechas 11 de Diciembre del año pasado, 8 y 18 de Enero del actual. ‘ 1 ... 1.° Oliva Acerca de Dantzick) t x de Diciembre. „ Milord: el capitán Macleod, portador de estos pliegosinformará á V. E. de las operaciones del sitio, del estado de la artillería…</t>
  </si>
  <si>
    <t>…GO. Oficio del vicenalmirante el caballero Eduardo Pefíew , comandante en gefe &amp;c. , su fecha en el navio de S. M.. el Celedonia enfrente de Tloíoh el &lt;T de Noviembre, dirigido al conde Bathurst, ,,Señor: si no supiese que cada tiro de canon disparado contra la esquadra enemiga ha de ser pomposamente ridiculizado en el Monitor por el go-</t>
  </si>
  <si>
    <t>…s momentos con su cuñado el príncipe Borghese, se dirigió á París. GRAN B RE TAÑA." Londres S de AbriL Secretaría de Guerra $ de AbriL »,El general sir Tomas Graham ha remitido al lord Bathurst el extracto de una carta dirigida por el gene ral Adlercreutz al gobernador de los Países-Baxos, fecha en Lieja el 26 últi mo, en la qual expresa que desde el 20 al 25 hubo continuos combates en tre los aliados y los cuerpos franceses, al mando de los marisca…</t>
  </si>
  <si>
    <t>…desas. _ Las tropas suecas marcharon con direcion á Lubeck. El príncipe heredero de Orange llegó el 28 de Abril ultimo á Londres, y el mismo dia le presentó al Príncipe Regente el conde Bathurst. Siguen haciéndose los preparativos para el casamiento de aquel príncipe con la prin cesa Carlota de Gales. El mismo dia tuvo audiencia del Príncipe Regente el conde de S. Mar tin de Agüe, ministro plenipotenciario del Rey de Cerdeña, y presentó sus credencia…</t>
  </si>
  <si>
    <t>…GRAN BRETAÑA, Londres 20 de Mayo. SECRETARIA DE GUERRA. El capitán Milnes, ayudante de campo del teniente general lord Guiller mo Bentinck, ha entregado un pliego de su general al conde Bathurst, cuya copia es Ja siguiente: Génova 20 de Abril de 1814. Milord: por mi oficio de 6 del corriente hablé á V. E. de la ocupación de Spezzia, y de los movimientos de nues tras tropas hasta aquella época. A mi llegada á Liorna supe que en Génova no había mas que…</t>
  </si>
  <si>
    <t>…a gloria de sus exércitos, la prosperidad de sus pueblos, y la dignidad de su corona. Ayer llegó.aqui Mr. Churchill, ayudante de campo del duque de WeHington , con pliegos para el conde Bathurst. Contienen el aviso de que el ejército británico, enteramente separado de las fuerzas aliadas, está pronto á partir para Inglaterra. El general pide instrucciones para su embarque, que se cree sea en el Garona. Mr. Robinson , que ha estado con el lord Castler…</t>
  </si>
  <si>
    <t>BatKu</t>
  </si>
  <si>
    <t>…. , G R AN BRETAÑA. Londres j-.f de Entro de 1814+ , í ' " Secretaría de negócios exirangéros. " - -Sip. Car|^s Ste\vart Jja remitido desde Francfort el oficio siguiente al * '' • conde BatKu rst. .' „Milord,: él paso del Rhin por el feld-mariscal Blucher será tan memora ble por] su,rapidez en la,hjstpria;militar cómo el paso del Elba j y siento que por haber estado ausénte en ¿i Holstein no haya podido ser testigo de una cpntecimiegtp,, cuyas cir…</t>
  </si>
  <si>
    <t>Bau, Juan</t>
  </si>
  <si>
    <t>Juan Bau</t>
  </si>
  <si>
    <t>…e por muerte de D. Ignacio García del Cas tillo, á D. Marcos Ponce de León ; y para el beneficio curado de la villa de Andoain , diócesis de Pamplona, vacante por fallecimiento de D. Juan Bau tista de Barberena, á D. José Oyen.¡rte, teniente de cura de la parroquia de S. Vicente.de la ciudad de S. Sebastian. . f . Por real resolución á consulta de la Cámara ha nombradoS. M. para nna plaza del Consejo Reai, vacante por fallecimiento de D. Juan Anto…</t>
  </si>
  <si>
    <t>…s del de esta corte, satisfaga la de mil duros: que D. Juan Doz, su hijo, lo haga de la de seiscientos.ducados: que D. Láza ro de Rada, D. Francisco Estanga, D. Manuel de Córdoba, D. Juan Bau tista Maygñen , Doña Luisa Robinet y Dominica Grifón, pague cada uno la multa de doscientos ducados, haciéndoles entender lo desagradable que me ha sido su conducta , y que no den lugar á que se sospeche mas de ella; pre viniéndose ¿ D- Salvador Colrmer obser…</t>
  </si>
  <si>
    <t>Baudet, Valentín</t>
  </si>
  <si>
    <t>Valentín Baudet</t>
  </si>
  <si>
    <t>…az y D, Francisco Peraza; á teniente de granaderos á D. Luis Mi randa, y de cazadores á D. Domingo Viejobueno ; á segundo ayudante á D. Tomas de Vargas; á tenientes de fusileros á D. Valentín Baudet, D. Garlos Fernandez y D. Miguel Manrique.; á subteniente de granaderos á D. Bernabé García Ábreu , y de cazadores á D. Salvador Hernández Abad; á subteniente de fusileros á D. Domingo Hernández Leal, y de bandera á D. Lu s Román y Franco y.,D. José González…</t>
  </si>
  <si>
    <t>Bausa, Manuel</t>
  </si>
  <si>
    <t>Manuel Bausa</t>
  </si>
  <si>
    <t>20 : José de Aguado* del ayudante primero D. Luís Cepeda, del segundo Don Manuel Bausa, y del capiran ingles D. Jorge Hiller, del estado mayor del general Hill. Son igualmente recomendados muchos soldados y sargentos, y entre estos el segundo de ia Union Flario Barral, que por si solo hizo 14 prisioneros, y el de igual clase de León Vicente Rui…</t>
  </si>
  <si>
    <t>Bautista, Juan</t>
  </si>
  <si>
    <t>Juan Bautista</t>
  </si>
  <si>
    <t>…; ' ' r-' El Rey por.'decretos de Í4 del corriente , «atendiendo a los buenos-ser»vicios del comisario ordeñador D. Antonio Henriquez, y del intendente de» provincia de la Mancha D. Juan Bautista dé Erro , ha tenido bi.en5 nómbrar á aquel para la intendencia de'exército y provincia deExtremaduray.jrv á- este para la de esta provincia de Madrid; . A virtud de despacho librada por el Sr. D, Lorenzo Ruiz de Robles, del con sejo de S. M. i su oidor honora…</t>
  </si>
  <si>
    <t>Bauza, Felipe</t>
  </si>
  <si>
    <t>Felipe Bauza</t>
  </si>
  <si>
    <t>…sar algunas averías. La sorpresa alejó momentáneamente de la cubierta á Jos individuos de la fragata, excepto e! oficial de guardia D. Jacobo Auli, y al impávido teniente de navio D. Felipe Bauza. El segundo contramaestre Francisco Naya ,1 deteniendoela gente que baxaba de Ja cofa , se preparaba á izar los foques, según la voz. de .Prieto:* y, el primer contramaestre por sí mismo pi có el cable ,! al tiempo, que les oficiales todos, .sobrepujándose en…</t>
  </si>
  <si>
    <t>Bauza, Vicente</t>
  </si>
  <si>
    <t>Vicente Bauza</t>
  </si>
  <si>
    <t>…Bustillos, el piloto D. José Vico, y el contador tercer piloto D. Juan Perez;? la tripulación corrió á sostenerlo, llevando á su cabeza a! bizarro teniente de navio de transporte D. Vicente Bauza, ayudado del alférez de navio D. Joaquín Vial. El choque fue terrible: murieron y quedaron heridos irmchr s de nuestra parte; entre elics fue herido Bauza gravemente, y Gutiér rez Bustiílos (qne murió), el guardia marina Estrada y el piloto Vico, y el condest…</t>
  </si>
  <si>
    <t>Bayllo, Gregorio</t>
  </si>
  <si>
    <t>Gregorio Bayllo</t>
  </si>
  <si>
    <t>go, cora párroco de ella, D. Gregorio Bayllo, alférez de fragata retirado de la real armada, alcalde primero, y D. Cayetano Izquierdo, juez de le tras ; el primero de los quales dixo : „ Señor: la villa dei Campo de Criptana, sus autoridades y clero, que en el Quintanar de la Orden tuvieron la honra de…</t>
  </si>
  <si>
    <t>Bayo, Mariano</t>
  </si>
  <si>
    <t>Mariano Bayo</t>
  </si>
  <si>
    <t>…Belda, subte niente el primero, y cadetes los otros del regimiento Real de ZapadoresMinadores; á D. Antonio Porta, cadete deí regimiento-de infantería de Ansona; á D. Pedro Bayo, D. Mariano Bayo y 1&gt;. Rafael Lara, alumnos de la escuela militar de la Isla de León; y á D. Manuel Varéla, D. Pedro García y D. Francisco Xavier Pardo, alumnos de la de Santiago. El canónigo magistral de la colegial de Alfaro D. Joaquín Fiton, mo lido de su buen zelo y amorr…</t>
  </si>
  <si>
    <t>Bayo, Pedro</t>
  </si>
  <si>
    <t>Pedro Bayo</t>
  </si>
  <si>
    <t>…y D. Francisco Belda, subte niente el primero, y cadetes los otros del regimiento Real de ZapadoresMinadores; á D. Antonio Porta, cadete deí regimiento-de infantería de Ansona; á D. Pedro Bayo, D. Mariano Bayo y 1&gt;. Rafael Lara, alumnos de la escuela militar de la Isla de León; y á D. Manuel Varéla, D. Pedro García y D. Francisco Xavier Pardo, alumnos de la de Santiago. El canónigo magistral de la colegial de Alfaro D. Joaquín Fiton, mo lido de su…</t>
  </si>
  <si>
    <t>Bayon, Manuel Martin</t>
  </si>
  <si>
    <t>Manuel Martin Bayon</t>
  </si>
  <si>
    <t>2052</t>
  </si>
  <si>
    <t>…S. M. á nombre de la villa de Laseca en Castilla la Vieja el Exemo. Sr. D. Pedro de Macanaz, se cretario del despacho de Gracia y Justicia, el Lie. D. Victoriano Castro, y el Dr. D. Manuel Martin Bayon, corregidor de la villa de Arévalo; y to mando la palabra el Exemo. Sr. D. Pedro Macanaz dixo: ,, Señor: la villa ds Laseca, su cabildo secular y eclesiástico y demas ha bitantes de ella nos comisionan para felicitar á V. M. por la feliz restitución al trono…</t>
  </si>
  <si>
    <t>Bazan, José María Vázquez</t>
  </si>
  <si>
    <t>José María Vázquez Bazan</t>
  </si>
  <si>
    <t>…con el Santísimo Sacramento expues to, que lo estuvo todo el día; hacendó celebrado de pontifica! .en el prime ro de dichos .días el reverendo obispo, y predicado en el tercero el doctor D. José María Vázquez Bazan, ¡canónigo magistral; de la mis nía santa igle sia. Asistieron a estas funciones el ayuntamiento, el gobernador de 1? plaza coñ toda Iá oficialidad, y las comunidades religiosas. En ¿as noches de estos tres dias hubo iluminación -general, fuegos artificiales…</t>
  </si>
  <si>
    <t>Ba’anzat, Francisco Xavier</t>
  </si>
  <si>
    <t>Francisco Xavier Ba’anzat</t>
  </si>
  <si>
    <t>…éáron eh sus respectivas*Funciones, como también á los ge fes de bri gada T&gt;; Ramón Romay y D. Francisco Plaséncia. Será siempre sentida en él exército la pérdida de los coroneles D. Francisco Xavier Ba’anzat, dei de yólüntaritíi‘dé:*la Corona, y dé D. Leonardo Sicilia, del dé tiradores de Cantabria^: amfeósgefes eran de ios mas respetables del exército por sus virttídés militares, yautf puede decirse que eran un modelo de ellas. Seria *iñúy »prblixo !$? ihé-'éxfe…</t>
  </si>
  <si>
    <t>Bcnnety</t>
  </si>
  <si>
    <t>…apital que fue de la sexta compañía dal regimiento de infantería de Gijori, el quál fue he cho prisionero en las;inmediaciones dé Comillas por un regimitnto f auces al man* do del general Bcnnety y luego conducido: 4 Santander y Bayona con otros prisio nero*, yno habiendo tenido anas noticia desde aquella época, se suplica á la perso na que sepa si existe ó ha fallecido ,To manifieste á D. Pedro Zulaybar, vecino de Gijon , ó á D. Diego Crespo de Tejad…</t>
  </si>
  <si>
    <t>Be</t>
  </si>
  <si>
    <t>…. El 23 se tomó á Schanza, y esta ventaja se debió principalmente á los esfuerzos del capitán Rowley. Inmediatamente se prin cipiaron tres baterías para cañones de á 18 y 32, y el capitán Be;enstil abrí© una trinchera, con que se formó la primera paralela á 200 toesas de distan cia. Se construyó ademas una batería de morteros en Schanza, y se colocó un. °bus en el frente. El capitán Rains mandaba a la'espalda un : batería de1 dos morteros,, .que…</t>
  </si>
  <si>
    <t>…s soldados arrojaban las armas, y su deserción después de la ba talla ha sido inmensa. Seguimos al dia siguiente al enemigo hasta este pueblo, y este dia hemos pasado el Adoúr. El mariscal Be res-, ford marchó con la división ligera y la brigada de Viviane sobre Mont-Marsan, donde se ha apoderado de un almacén muy grande de provisiones. El teniente general ha marchado sobre Ayre, y</t>
  </si>
  <si>
    <t>417</t>
  </si>
  <si>
    <t>…ermet y sus guardias, y habia adelantado sus co lumnas por Goito mientras habia hecho avanzar toda la guarnición de Man tua, á las órdenes de Grenier. Inmediatamente mandó el feld-mariscal Be llegarde á la brigada de Quosdanovich, que estaba de reserva en Valleggio, á socorrer al general Merville contra el enemigo, que estaba con grandes fuerzas amenazando su retaguardia, y que con la caballería de Mermet ha bia hecho progresos. Las tropas de Merv…</t>
  </si>
  <si>
    <t>…enido- S. M; en consignar á favor d«d presbítero 0. José Antonio Prco la pendón de ^12042 rs-. de vn¿ que Tobre los frutoá y reñías de la misma mitra de Orihuela gozaba el difunto D. Be nito Clemente de Aróstegui. • . d</t>
  </si>
  <si>
    <t>Beacok</t>
  </si>
  <si>
    <t>…ó de sen d para 'que la torre de; Befen y el castillo de Lisboa hiciesen otra igual. Todos lo ¿ cuerpos , excepto la. caballe ría; se retiraron desde Alcántara á sus quarteles. El Sr. Beacok ^comandan te de las fuerzas británicas'fen esta ciudad, ¿fbrmó también- susntropás. para; honrar del modo posible esteüacto ftinebre.-Concnfherortdali acom pañi-mie ti-1 to los generales de mar y tierra ; la’ nobleza y; muchas personas distinguidas. Este prel…</t>
  </si>
  <si>
    <t>Bean</t>
  </si>
  <si>
    <t>…cción, y habiéndose des cubierto un vado mas arriba del puente, el regimiento 92 °, al mando del coronel Cameron, y sostenido por el fuego de la artiflería volante, del man do del capitán Bean, pasó dicho vado, é hizo el mas brillante ataque con tra dos batallones enemigos que tetaban situados en aquel pueblo, y los ar rojaron de él con pérdida considerable. El enemigo' se retiró aquella noche dei otro lado -del Gave de Oleron, y tomó una fuerte po…</t>
  </si>
  <si>
    <t>Beatriz</t>
  </si>
  <si>
    <t>…unida á la antecedente asciende á 384891 rs. y 23 mrs., de que deberá deducirse 89130 rs., capital de Jos dos patronatos 111 indados fundar por Doña Juana Caldera Freyle, hija de Doña Beatriz, en el convento de Sta. Clara de esta corte, á cuyo goce y obten ción está reservado igualmente por Ja expresada sentencia su derecho á los que le pueden tener majo' que Doña Josefa Gabriela Valdearenas. En ia villa dr Urda, provincia de la Mancha, se hallan…</t>
  </si>
  <si>
    <t>Beauharnois, Eugenio</t>
  </si>
  <si>
    <t>Eugenio Beauharnois</t>
  </si>
  <si>
    <t>…gunos destacamentos de Varsovia á las ordenes del general Fink. Se cree que el duque de Richelieu, gobernador de Odessa, será comandante en gete.” El feld-mariscal Bellegarde y el príncipe Eugenio Beauharnois hicieron un tratado, en virtud del qual las tropas francesas del exército debían vol verse á Francia , y las Italianas del mismo debian continuar ocupando la parte del rey no de Italia que las aliadas no habían aun ocupado. Las pla zas dei Oscpx, Palmanova, V…</t>
  </si>
  <si>
    <t>…el reposo á la Francia y á la Europa toda. Un general austríaco ha tomado posesión del reyno de Italia en nombre de los aliados, y á consecuencia de los últimos acontecimientos el príncipe Eugenio Beauharnois se ha visto obligado á abandonar á Mantua. Tos aus tríacos é ingleses han entrado en Venecia. — El Tirol se restituirá al Aus tria , y se cree que la Baviera recibirá en recompensa las ciudades de Wurtzburgo, Maguncia y Aschaflfemburgo. Se ha dado orden para…</t>
  </si>
  <si>
    <t>Beaumont, Henrique Fernandez</t>
  </si>
  <si>
    <t>Henrique Fernandez Beaumont</t>
  </si>
  <si>
    <t>…onor de cumplimentar á S. M., entregaron en sti real mano varios documentos concernientes á su provincia. El dia 22 del mes próximo pasado* fueron admitidos á cumplimentar á S. M. D. Henrique Fernandez Beaumont y D. Romualdo Mendoza y Viguera, comisionados á este efecto por la villa y tierra de Jubera, en la Rioja, y por el clero de ella; con cuyo motivo el segundo de ellos dirigió á S. M. el discurso siguiente: ,,Señor: vuestra villa y tierra de Jubera tiene la ‘honrosa y dulce satis fa…</t>
  </si>
  <si>
    <t>Beaumt</t>
  </si>
  <si>
    <t>…se tomar mis dispo siciones para establecer las tropas entre el canal y el Garona. El enemigo sin embargo se retiró la noche última, dexando en nuestro poder al general Arispe, al general Beaumt, y al general St. Hy taire con 1600 prisioneros. Una pieza de artillería se tomó en el campo de batalla ; y otras mas, con gran cantidad de almacenes de toda especie se han cogido en la ciudad. Des de mi último oficio he recibido del almirante Píinuose una re…</t>
  </si>
  <si>
    <t>Bebo, Blas</t>
  </si>
  <si>
    <t>Blas Bebo</t>
  </si>
  <si>
    <t>…en ademas podrá des empeñar la obligación de ayudar.á bien1 morir, por lo que se le contribuirá con la cantidad que estipule con el mismo cabildo. . Hab iendo fallecido en América D. Blas Bebo, natural de la ciudad de Tudela , reyrío de Navarra , se?avisa *á todos aquellos qué1 consideren tener derecho á los bienes que ha dexado, para que acudan á D. Santiago Virto, del comercio de Cá diz, quien Ies instruirá sobre e1 particular: el expresado Belio…</t>
  </si>
  <si>
    <t>Becerril, Jacinto</t>
  </si>
  <si>
    <t>Jacinto Becerril</t>
  </si>
  <si>
    <t>…l Poncé, y la media prestamera de Sta. María Mag dalena, en la misma ciudad y arzobispado de Sevilla, vacante por falleci miento de D. Fernando Perez. Asimismo ha nombrado S. M. á D. Jacinto Becerril, cura párroco dé S. Salvador de Valladoüd , para el beneficio prés tamo del lugar de Mamblas, en el obispado de Avila, vacante por falleci miento de D, Migupl Díaz; a D. Joíé Lub, cura de S. Pedro de la misma ciudad, para el beneficio préstamo.del lügar de S.…</t>
  </si>
  <si>
    <t>Bedoya, Luis Sanz de</t>
  </si>
  <si>
    <t>Luis Sanz de Bedoya</t>
  </si>
  <si>
    <t>9*0 Ibarra, de D. Juan Antonio de Orovio, actual Director cíe Rentas,, y de D. Luis Sanz de Bedoya, Administrador general de Rentas de la Provincia . de Cartagena, he venido en nombrarles Directores generales de Renta- y en tendiéndose en comisión con respecto á D. Josef de Ibarra, y en quanto á ‘Orovio y Bedoya con los honores del Consejo de Hacienda, en…</t>
  </si>
  <si>
    <t>Beges, Joaquín</t>
  </si>
  <si>
    <t>Joaquín Beges</t>
  </si>
  <si>
    <t>…el 26 del mes próximo pasado fué admitida á besar la real mano de S. M. una diputación de la ciudad de Logroño, representada por el Excmo. Sr. marques de la Lapilla y Monesterio y D. Joaquín Beges, beneficiado de la parroquial de Sta. María de Palacio de dicha ciudad. El primero dirigió á S. M. el siguiente discurso: „Señor; con doble satisfacción se presenta la diputación de Logroño á los reales pies de V. M., restituido ya al legítimo trono de sus ma…</t>
  </si>
  <si>
    <t>Beisteguirompieron, Francisco</t>
  </si>
  <si>
    <t>Francisco Beisteguirompieron</t>
  </si>
  <si>
    <t>…cumbre de un cerro inmediato á e*te pueblo á 40 infantes de Sto. Domingo y Chilapa, que despaché con dos oficiales á descubrir, y 35 drag nes fieles de mi regimiento, al mando del teniente D. Francisco Beisteguirompieron por la derecha, como tienen de costumbre, un fuego graneado de fusilería, y á poco de canon, al que la intrepidez de los oficiales y tropas de ambos piquetes contestaron con la ma yor serenidad, y me pidieron los reforzase con el resto de la tropa que té rra…</t>
  </si>
  <si>
    <t>Beladies, Joaquín</t>
  </si>
  <si>
    <t>Joaquín Beladies</t>
  </si>
  <si>
    <t>…... D. José Escolar y Noriega. En Canarias....................... D. Francisco María de Herrera» En Granada...................... D. Francisco Escovar. En Guadalaxara............. D. Joaquín Beladies. En Guipúzcoa y Vitoria. D. Francisco Arrieta. En Jaén............................... D. José Arroyo y Serrano y D. Francisco Ló pez Zavala. En León.............................. D. Tomas Díaz Serrano. En Málaga. '...................... D. Juan Pomar. En Murc…</t>
  </si>
  <si>
    <t>Beleña, Manuel Gregorio</t>
  </si>
  <si>
    <t>Manuel Gregorio Beleña</t>
  </si>
  <si>
    <t>…Alonso, cura de la parroquial de S. Esteban, y abad del clero; á D. Gregorio Antonio Carrasco, de la de S. Nicolás el Real; á D'. Lu is Batanero, de la de Sta. María la Mayor, y á D. Manuel Gregorio Beleña, beneficiado de la expresada Sta. María,’ para el desempe ño de tan honrosa comisión; lo que verificaron el día 19 del pasado, ha biendo dicho señor abad pronunciado un elocuente discurso , al que contes tó uno de los señores regentes en los términos mas expr…</t>
  </si>
  <si>
    <t>Bellegarde</t>
  </si>
  <si>
    <t>Gazeta de la Regencia de las Españas n.º 2</t>
  </si>
  <si>
    <t>…va. Las tropas francesas se atrincheraron cerca de Rívoli; y en las inmediaciones de V erona tienen varios campa mentos , de los quales el mas fuerte es el de S. Juan Lupataro. El general Bellegarde aun no había salido el dia 30 para Italia. Dusseldorff 12 de noviembre. Ayer de mañana llegó aquí de Bayreuth un esquadron de caballería pru siana: á pocas horas entró también la guardia avanzada de caballería ligera rusa, á que siguió un regimiento de tropas…</t>
  </si>
  <si>
    <t>…iódico^de Suiza se lee la siguiente noticia: ya,tiene cortada la comunicación el vire'y Eugenio. Un ayudante del rey de Nápoles había lle gado al quartel general del feid-mariscal conde Bellegarde. Idem 4 de Febrero. Se asegura que los suizos cooperarán á la causa general, uniendo isa cuerpo al exército aliado, y llamando los regimientos suizos que están al sueldo de Francia. Lo . cierto es que el exército suizo está ya á las órdenes del príncipe de Sc…</t>
  </si>
  <si>
    <t>…e Eneto se Sabe que el se había ve rificado en Vicenza la declaración definitiva-de Murat, esperada tanto tiem po há. En aquel misiño dia habían llegado alquartel general del feld mariscal Bellegarde el príncipe Pignaíelli, Mr. Graham, secretario del lord Bentinck, y Mr. Mentz, encargado de negocios de Viena en Ñapóles. Mr. Mentz había salido para el quaTtel general del emperador de Austria con el tratado de alianza entre Austria y Náppies. Los ingleses h…</t>
  </si>
  <si>
    <t>…oportunas salidas de las guarniciones de Peschiera y Mantua, todo había sido en vano. Evacuado enteramente el Adige por el enemigo, puso su quartel gene ral en Villafranca el feld-mariscal Bellegarde; é informado que el virey se retiraba sobre Cremona, y que habia dexado apenas dos divisiones en el Mincio, mando pasar el 8 aquel rio por Valleggio. Hechos todos los prepa rativos, la división Radivojevich avanzó hacia valleggio, y el general Vescay á Pozzol…</t>
  </si>
  <si>
    <t>…aís y en la Georgia, y algunos destacamentos de Varsovia á las ordenes del general Fink. Se cree que el duque de Richelieu, gobernador de Odessa, será comandante en gete.” El feld-mariscal Bellegarde y el príncipe Eugenio Beauharnois hicieron un tratado, en virtud del qual las tropas francesas del exército debían vol verse á Francia , y las Italianas del mismo debian continuar ocupando la parte del rey no de Italia que las aliadas no habían aun ocupado. L…</t>
  </si>
  <si>
    <t>Beltran, Alexandro Bernardo</t>
  </si>
  <si>
    <t>Alexandro Bernardo Beltran</t>
  </si>
  <si>
    <t>…ona, por muerte de D. Gregorio López de Castro, á D. Policarpo Romea ; para uní ración de la catedral de Sigíienza, vacante por fallecimiento de D. Santiago Fernandez de Buínez, á D. Alexandro Bernardo Beltran , medio racionero de la misma iglesia; para el beneficio simple de S. Pedro de Huete, vacante por haber contraido matrimonio D. Miguel Truxillo , y una prestamera de la iglesia parroquial de Montaívo, ambos en la diócesis de Cuenca, y la segunda por fallecimi…</t>
  </si>
  <si>
    <t>Beltran, Bernardo</t>
  </si>
  <si>
    <t>Bernardo Beltran</t>
  </si>
  <si>
    <t>…umano; el corregidor de Pinhel Antonio Julio de Frias Pimentel y Abreo, persuadido del bien que de esto resulta á la humanidad, y auxiliado del reverendo obispo dé la misma ciudad Don Bernardo Beltran, y del zelo é incansables tareas del Dr. D. Francisco Ma nuel de Alburquerque, primer médico del partido de Pinhel, se han vacu nado baxo su inspección, desde 18 de Noviembre de 1813 hasta 27 de Abril de 1814 , muchos individuos, de los quales tuvieron verdad…</t>
  </si>
  <si>
    <t>Béltran, Lorenzo</t>
  </si>
  <si>
    <t>Lorenzo Béltran</t>
  </si>
  <si>
    <t>591</t>
  </si>
  <si>
    <t>…25 de 1813.. A la. una del dia. = José Marui .Morelos-^zz. Sr. comandante de; las armas de. la. plaza de Valladolid. Me mbr ilia r provincia'Je Burgos: y í s¡ de Mayo.. Luego que D. Lorenzo Béltran, alcalde de esta villa , recibió la gaceta’ extraordinaria de Madrid d,el jueves \% del corriente,, en que se inserta ef real decreto de nuestro amado Rey y Señor Fernando vil, dado en Va lencia, el 4 de este mes, declarando nula y de ningún efecto la Constit…</t>
  </si>
  <si>
    <t>Benavente', Sebastian</t>
  </si>
  <si>
    <t>Sebastian Benavente'</t>
  </si>
  <si>
    <t>su cuerpo, el cbmandahte dé artillería coronel D. Casimiro “Valdés, el co mandante del batallón del centro D. Sebastian Benavente', cTcorohel de ca ballería D. Jorge Baiüvian, el comandante dél esqüadroa de dragones par tidarios D. Saturnino Castro, el de los mismos de infantería D. Ramón Aquenza, el de cazadores D. Pedro Antonio de Okñeta, el de las guerri llas D. Manuel-Valle, y todos…</t>
  </si>
  <si>
    <t>Benavides</t>
  </si>
  <si>
    <t>…Barcelona á la de Brusi ; en Reus á la de Compte; en Biírgos á la de Aivarez; en Sevilla á la de Berard; en Granada i la de Cea; en Logroño á la de Bricon; en la Coruña-4 casa del Sr. Benavides, ad ministrador de la Real lotería, y en Cádiz á la de Lernia, pagando 20 rs. cada mes. Los números sueltos se venderán á 6 quartos en Madrid en la librería del mis mo Perez, y en las de Barco, carrera de S. Gerónimo, de Villa, plazuela de Stüí Domingo, y de…</t>
  </si>
  <si>
    <t>Benavides, Ramón</t>
  </si>
  <si>
    <t>Ramón Benavides</t>
  </si>
  <si>
    <t>…Valencia en la de Domingo; en Zaragoza en la de Sánchez; en Barcelona en la de Brusi; en Vitoria en la de Barrio, y en la Coruña en la de la administra ción de la Real lotería de D. Ramón Benavides. Los subscriptores entregarán ade* lantado al tomar cada quaderno el valor del siguiente; y á los de fuera de la cor te se les cargará por el porte. Unico remedio para la conversión de los nuevos judíos españoles: carta del M. F. M. M. M. C. á un amigo suyo.…</t>
  </si>
  <si>
    <t>Benco, Santiago José</t>
  </si>
  <si>
    <t>Santiago José Benco</t>
  </si>
  <si>
    <t>…ra de la parroquia de S. Vicente de ú ciudad de S. Sebastian. Para el deanato primera silla de la iglesia catedral de Canaria, vacante por muerte de D. Miguel Mariano de Toledo, á D. Santiago José Benco mo ; y para la dignidad de chantre de la misma iglesia, vacante por fallecimiento de D. Luis Manrique, á D. Pedro José Bencomo: para el benefi cio simple servidero de la iglesia parroquial de Montoro, diócesis de Cór doba j vacante por muerte de D. Manuel Joa…</t>
  </si>
  <si>
    <t>Bencomo, Cristóbal</t>
  </si>
  <si>
    <t>Cristóbal Bencomo</t>
  </si>
  <si>
    <t>…atada vida que desea á vuestra real persona.” Igualmente se presentó á S. M. en este mismo dia con el objeto de fe licitarle por su feliz regreso al trono de la monarquía española D. Cristóbal Bencomo, comisionado al intento por la ciudad de S. Cristóbal de la Lagu na ^capital de la isla de Tenerife, una de las Ganarías.</t>
  </si>
  <si>
    <t>Bencomo, Pedro José</t>
  </si>
  <si>
    <t>Pedro José Bencomo</t>
  </si>
  <si>
    <t>…acante por muerte de D. Miguel Mariano de Toledo, á D. Santiago José Benco mo ; y para la dignidad de chantre de la misma iglesia, vacante por fallecimiento de D. Luis Manrique, á D. Pedro José Bencomo: para el benefi cio simple servidero de la iglesia parroquial de Montoro, diócesis de Cór doba j vacante por muerte de D. Manuel Joaquín Condado, á D. Miguel José Escobedo: para la prestamera de Santaeíla, en la misma diócesis dé Cór doba, vacante por falleci…</t>
  </si>
  <si>
    <t>Bengnot</t>
  </si>
  <si>
    <t>…el Rey, en. la que pre sentó sus credenciales. El Rey ac*ba de nombrar ministro y secretario de Guerra al mariscal du que de Dalmacu; para igual destino en la marina y colonias al conde Bengnot, y para director general de poli:la á Mr. d’André.. Idem /o. Hace ya algunos dhs.que ha principiado á hacer servicio la guardia de los ico suizos deí Rey. Ei dia antes de empezar el servicio tuvieron la hon ra'de presentarse al Rey en la galería de la capilla…</t>
  </si>
  <si>
    <t>Benigsen</t>
  </si>
  <si>
    <t>Gazeta de la Regencia de las Españas n.º 5</t>
  </si>
  <si>
    <t>…ríncipe Schewartzemberg reforzar al teniente general ruso conde de Tolstoy, que estaba situado en las inmedia ciones de Dresde, con arreglo á las órdenes del general de caballería barón Benigsen. Para esta empresa destinó al cuerpo del general de caballería con de Klénau, quien marchó el 20 de octubre con sus tropas para aquel desti no. En este-intermedio el mariscal St. Cyr había dexaao á Dresde, y pasa do á la orilla izquierda del Elba con gran par…</t>
  </si>
  <si>
    <t>Benigsíen</t>
  </si>
  <si>
    <t>…fué ocupada interinamente por las tropas inglesas en virtud del tratado de Pa rís de 23 de Abril-----Ha entrado en Ilolstein la mayor parte del exército sueco y todo el cuerpo del general Benigsíen, y parece que en Holanda se embarcarán 7® suecos y un cuerpo ruso. El príncipe real de Suecia estaba en camino para Stockolmo___Davoust ha sido llamado á París, y quedó el general Gerard con el mando de las tropas francesas d^ Hamburgo. _ Han arrestado en Cop…</t>
  </si>
  <si>
    <t>Beningsen</t>
  </si>
  <si>
    <t>…Suecia se embarcó el 26 de Mayo en Travemunda para Stockolmo. El 6 del mismo mes se pubíicó en Luheck que habian con ducido á aquel puerto 20 barcos noruegos cargados de trigo. El general Beningsen entrcá en Hamburgo el 31 de Mayo con grande regocijo de sus habitantes. Algunos dias antes había el senado principiado de nuevo á exereer sus funciones: entraron también en la ciudad los vecinos expuisos. Han llegado á esta capital algunas embarcaciones proce…</t>
  </si>
  <si>
    <t>…de la experien cia que habéis adquirido en éstas circunstancias extraordinarias y difíciles*. \£iet»a 3 de Qctubre de 2814.5= Alexandm'' , ALEMANIA. U¿imburgo t 1 de Noviembre. El general Beningsen ha comunicado orden para que todos ios rusos que se. hallan aqui- y en el HoLsteín se dispongan á marchar á su patria ; y emvirtpd de estar orden muchos, destacamentos van caminando ya, y los.magis-, irados de está ciudad se ocupan en organizar nuestra milici…</t>
  </si>
  <si>
    <t>Benitez, Arcadio</t>
  </si>
  <si>
    <t>Arcadio Benitez</t>
  </si>
  <si>
    <t>…senten por sí, ó por medio de apoderado, en dicha villa de Osu na á los albaceas de la Doña Ana de Ayllon, que lo son el Lie. D. Manuel de Casas, abogado de los reales consejos, y D. Arcadio Benitez; pu;’s no haciéndolo ú Ja mayor brevedad, procederán según lo dispuesto por la testadora. En la parroquial de la villa de Haro, provincia de Rioja, se halla vacante la plaza de tenor, cuya dotación son ocho reales diarios. EL que quisiere pretenderla concurri…</t>
  </si>
  <si>
    <t>Benitez, Pedro</t>
  </si>
  <si>
    <t>Pedro Benitez</t>
  </si>
  <si>
    <t>…. Eduardo Ló pez ; idem de fusileros D. Laureano Muñoz, D. Luis de Castro y D. José Orruyrinez; subteniente de granaderos i D. Juan Nepomuceno Lavalle, y subtenientes de bandera á D. Pedro Benitez y D. Francisco Calderón. En el de infantería de Valdivia sargento mayor á D. Lucas Ambrosio de Molina; capitanes á D. Diego Adriarola y D. Esteban de Albarracin; te nientes á D. Antonio Adriasola, D. Juan de Dios González, D. Francisco Buenrostro, D. Rafael Barril y D. Manuel de Lor…</t>
  </si>
  <si>
    <t>Benito</t>
  </si>
  <si>
    <t>…gos á D. Prudencio Fernandez de la Pelilla : para el corregimiento de Molina de Aragón á Don Francisco Estéban y Ranz: para la vara de Osuna á D. Juan Antonio Del gado: para la de Don Benito á D* Eusebio Lampie: para la de Medellin á •D. Feliciano Centeno: .para Ja de Guadalaxara á D. Estéban Rodríguez Ga llego: para la de Laseca á D. Pablo Blanco Caballero: para el corregi miento de Calahorra á D. Francisco Fabian: para el corregimiento de Es^ ¿…</t>
  </si>
  <si>
    <t>…. Ramón Llordella. En Burgos.......................... D. Ramón Martínez Montaos. En Bilbao........................... D. Francisco de la Mata. En Cádiz........................... D. Benito de la Piedra. En Cartagena................... D. Francisco Clivilles. En Ciudad- Real.............. D. Mateo Casao y Romero. En Córdoba........................ D. Rafael de Montis. En la Coruña,.................. D. Felipe Elorz. En Cuenca..........¡.........…</t>
  </si>
  <si>
    <t>…..... - D. Ramón Llordella. En Burgos...,...;.............. D. Ramón Martínez Montaos* En Bilbao.-........................ D. Francisco de la Mata. En Cádiz.................... . D. Benito de la Piedra. * *J$nCartagena:’V.»...B. Francisco Clivilles.1 En; Ciudad-Real.i*.".:..... D. Mateo‘Casaó yRomero. ' ¡En Córdoba...... .......D. Rafael de Mofatis. En la Coruña....... D. Felipe Elorz. En Cuencal..................... D. José Escolar y Nbriega.…</t>
  </si>
  <si>
    <t>Benito, Pablo</t>
  </si>
  <si>
    <t>Pablo Benito</t>
  </si>
  <si>
    <t>‘2104 Martin'y Muro, que pende en el consulado de Cádiz, y escribanía de D. Elias Ti», quierdo y Payan, de los quales están nombrados síndicos D. Pablo Benito a y So•to y D. José del Rivero Landoy, se ha decretado se cite y emplace á qua ia personas que se consideren con derecho á los bienes del concurso, para que en el término de 18 meses ocurran á formalizarlo con los documentos calificativos de sus créditos y pe…</t>
  </si>
  <si>
    <t>Benkendorf</t>
  </si>
  <si>
    <t>…s aliados. ,.E1 general Bulow pasó ayer aqui con parte de su estado mayor des de Utrech, donde tiene su quartel general: también vino el general Phfuí; y se espera por momentos al general Benkendorf.__ Aquellos dos genera les, lord Clancarty, el general Tavlor, ei teniente coronel Barclay, ios ofi ciales que acompañaron ai general Buiow, y varios caballeros dinamarque</t>
  </si>
  <si>
    <t>…árklay, con Tin destacamento perteneciente á la vanguardia del general Winzingerode, entro en Amsterdam el 24 de noviembre entre Jas aclamaciones de los habitantes, y !e siguió el general Benkendorf. El 27 de noviembre el general Gagarin con 300 cosacos desmontados atacó la guarnición1 de Deventer, que había salido de la plaza con el objeto de quemar ú ocupar alguno de los arrabales; y después de un combate muy obstinado, rechazó á los enemigos hasta el…</t>
  </si>
  <si>
    <t>88</t>
  </si>
  <si>
    <t>…—En es ta semana han salido para el exército de lord \Vellington 200© libras es terlinas. BOLETIN DE S. A. EL PRINCIPE REAL DE SUECIA. Quartel general de Kicl 21 de Diciembre. „EI general Benkendorf se ha apoderado de Gertruydenberg: el genetal Loranzaye, que tenia el mando, vuelve á Francia con su guarnición, que no servirá en un año contra ios aliados. Xa fortaleza de Wiliiamstadt fue evacuada con tanta precipitación, que el enemigo abandonó 20 caño ne…</t>
  </si>
  <si>
    <t>…Se nombró un gober nador general para los ducados de Sleswig y Holstein---- Un cuerpo enemigo, de mas de ioS&gt; hombres, con 25 á 30 piezas de artillería, acometió á Breda; pero el general Benkendorf, que defendia la plaza, auxiliado por un movimiento combinado de los generales Bulow y Graham, obligó al ene migo á retirarse. Dicho general se ha portado en esta ocasión como siempre, esto es, con el valor y presencia de ánimo que le caracterizan. El coronel…</t>
  </si>
  <si>
    <t>Benkendorff</t>
  </si>
  <si>
    <t>…ón de Breda, compuesta de 800 hombres, salió de la fortaleza; pero antes de que estuviese totalmente evacuado el pueblo, entraron en él Jos cosacos, é hicieron 6co prisioneros. El general Benkendorff pensaba ir á Breda mañana, y probablemente llevaría consigo una gran parte de sus tropas. Aun no he sabido adonde se ha retirado la guarnición. La evacuación de Wiliiamstadt se verificó anoche á consecuencia de una orden traída por un general francés, que lle…</t>
  </si>
  <si>
    <t>BenkendoríF</t>
  </si>
  <si>
    <t>…que los aliados se han apoderado de las dos importantes fortalezas de Breda y Wiliiamstadt, las quales han sido abandonadas por el enemigo.** Por un sugeto que vió esta mañana al general BenkendoríF, he sabido que á la llegada de 390 cosacos, que decían ser la vanguardia de lo© rusos, la guarnición de Breda, compuesta de 800 hombres, salió de la fortaleza; pero antes de que estuviese totalmente evacuado el pueblo, entraron en él Jos cosacos, é hicieron 6…</t>
  </si>
  <si>
    <t>Bennigsen</t>
  </si>
  <si>
    <t>…s, había salido de B remen con dirección á Holanda. El. cuerpo del general Winzingerode había entrado ya en Holanda. El general Bulow estaba entre Munster y Arnhein. El cuerpo del general Bennigsen, y el general \Valmoden con los hanlioverianos, y el general Adlerkreuth con los suecos marchaban á Hamburgo contra Davoust y los dinamarqueses. Las cartas de Altona del 20 dicen que el Príncipe; de la Corona manifiesta estar prontoá poner en práctica sus,pro…</t>
  </si>
  <si>
    <t>…do al príncipe de Orange. GRAN BRETAÑA, . Londres 4 de Enero de 1814. ■ ■ • * .., ' , c-.: ■ • El total de fuerzas á disposición del príncipe real de Suecia, incluso el cuerpo del general Bennigsen de 25® hombres, asciende á 100®; de éstos 18® están ya en Holanda: el cuerpo del;general Winzingerode de 35® se halla distribuido del modo siguiente: 18® en Holanda, 9®, al mando del conde Strogonof, delante de Harburgo,vy 8® del conde Woronzoff en el Hplstei…</t>
  </si>
  <si>
    <t>…expedición á la orilla izquierda del Rhin, y cogió al coronel del 2° regimiento de cazadores, á un oficial subalterno y á algunos soldados. Parte del exército del general en gefe conde Bennigsen reemplazó al cuerpo del teniente general conde Woronzotv, que se hallaba de lante de Hamburgo. La ocupación de Ochsenwerder por las tropas de aquel inquieta mucho,á Davoust, quien ha procurado varias veces transportar allá tropas en barcos; pero estas han sid…</t>
  </si>
  <si>
    <t>…n su estado mayor: que las bombas arrojadas;:á Ambéres habian pegado fuego en varios barrios de; la ciudad; y!que espe raban en el mismo Breda á 15® dinamarqueses y 8® saxcnes. El general Bennigsen, que manda el exército que sitia 2 Hamburgo, publicó dos proclamas, una á las tropas holandesas que forman parte de aquella guarnición, y la segunda á los hamburgueses capaces de llevar ar mas para unirse á sus tropas, prometiéndoles que dexana á su arbitrio…</t>
  </si>
  <si>
    <t>Gazeta de la Regencia de las Españas n.º 36</t>
  </si>
  <si>
    <t>…amburgo. Esta ciudad, en-otro tiempo tan opulenta y poblada, está reducida á un desierto , y si dura mucho tiempo su situación actual parece imposible que se restablezca jamas. El general Bennigsen ha establecido esta semana su quartel general en Pinneberg Los aliados nos han comprehendido en la línea del bloqueo de Hamburgo: por esta causa ha cesado nuestra comunicación con el .interior de nuestro país, y aun con las aldeas mas inmediatas. Nuestras pue…</t>
  </si>
  <si>
    <t>…ciudad le esperaban el presidente Blucher, la guardia cívica á caballo, los burgomaestres, el senado, el clero, todas las autoridades, el general en gefe del exércíto polaco, y el conde Bennigsen con su estado mayor. El pueblo,</t>
  </si>
  <si>
    <t>Benningsen</t>
  </si>
  <si>
    <t>…circunvecino con una salva de artillería de too tiips* y en el' dia tremola bandera .blanca en la torre de S. Miguel.en señal de esta mudanza. -««Por un convenio conclui do con el general Benningsen entraron los rusos en Altona, y las obras ex teriores de Hamburgo les fueron inmediatamente entregadas.</t>
  </si>
  <si>
    <t>…j de julio. El archiduque Constantino, comandante en gefe de las tropas polacas, se detendrá muy poco en Petersburgo, y se sabe que en breve se restitui rá S. A. R. á Varsovia. El general Benningsen, comandante de las tropas en-Hamburgo, ha re cibido de S. Mv el emperador de Rusia la ótden de S. Jorge de primera cla se: distinción tanto mas honrosa y lisonjera, quanto en todo el imperio ru so no hay mas que otro que sea caballero de esta clase* ITALIA. T…</t>
  </si>
  <si>
    <t>…adano el teniente coronel Mettlereamp, gefe de la guardia cívica anseática que acaba de licenciarse. Las tropas rusas signen marchando para el Holstein , y el quartei gene ral del general Benningsen se trasladará á Neumunster, sobre el Stachr, ea donde se espera también por momentos un cuerpo de 15© prusianos. Los vecinos de Rostock tratan de erigir un magnífico monumento á la gloria del general Blucher, hijo de esta ciudad. Ya los comerciantes has subsc…</t>
  </si>
  <si>
    <t>…810, que declaraba responsables los pueblos en cuyo territorio hubiesen cometido desórdenes los bandidos. DINAMARCA. Copenhague 4 de Agosto. El exército ruso, baxo las órdenes del general Benningsen, está siempre en el ducado de Holstein; pero el ernpera ior Alexandro paga los gastos ocasionados por la estancia de las tropas. Estos dias ha mandado entregar 150® ducados á ios proveedores. 1 ■ ' • ALEMANIA. Dusseldorf 1 $ de Agosto. ; Ayer."llegó aquí un g…</t>
  </si>
  <si>
    <t>Benoa, Joaquín Zeñgotita y</t>
  </si>
  <si>
    <t>Joaquín Zeñgotita y Benoa</t>
  </si>
  <si>
    <t>…ara la de Algeciras á D. Juan Batte y Ortega: para la de'Máfchena á D. Cristóbal Izquierdo de los Santqsi para lá de'Priego á D., Vi** cente Pereda: para la de Alcalá de Henares á D. Joaquín Zeñgotita y Benoa: para el corregimiento de Lerma á D. Pedro Tagle Velarde: para el de -orea á D. José Guillen de Toledo: para el de Alcaudete á D. Zacaríasf Romero: para la vara segunda de Córdoba á D. Manuel Berríardino Perez y López: para la de León á D. Juan.de la Peña Med…</t>
  </si>
  <si>
    <t>Bentheim</t>
  </si>
  <si>
    <t>12</t>
  </si>
  <si>
    <t>…periódicos de Berlín se anuncia que el Príncipe de Schwartzemberg había hecho saber que se formaba una legión alemana, la qual reci biría sueldo del Austria, y que la mandaría el conde Bentheim. Idem 8. Se ha reunido en St. Helens una esquadra de observación, baxo el man do de lord Keith^con el objeto, de interceptar qualquier buque de la esqua dra enemiga en el Ef calda, que trate de dar la vela, y pueda escapar (lela</t>
  </si>
  <si>
    <t>Bentick, W.</t>
  </si>
  <si>
    <t>W. Bentick</t>
  </si>
  <si>
    <t>…taba en dias de parir, y la convida ba á que permaneciese en Milán, donde reyna la mayor tranquilidad, y en donde per momentos se esperaba á ios aliados. Bolonia 16 de Febrero. El lord W. Bentick vino á Nápoles el i.° del corriente, y fúé recibido con las mayores distinciones. AUSTRIA. Viena 16 de Febrero. Por un oficio del feld-maríscal Bellegarde, desde su quartel general de Valleggio el 8 del corriente, sabemos que ha habido fuertes combates en el</t>
  </si>
  <si>
    <t>Bentinck</t>
  </si>
  <si>
    <t>…efinitiva-de Murat, esperada tanto tiem po há. En aquel misiño dia habían llegado alquartel general del feld mariscal Bellegarde el príncipe Pignaíelli, Mr. Graham, secretario del lord Bentinck, y Mr. Mentz, encargado de negocios de Viena en Ñapóles. Mr. Mentz había salido para el quaTtel general del emperador de Austria con el tratado de alianza entre Austria y Náppies. Los ingleses han tratado sobre lo res-</t>
  </si>
  <si>
    <t>…príncipe virey, y el exército austríaco mandado por S. E. el féld-mariscal conde de Bellegarde, las tropas mandadas por S. M. el Rey de Ñapóles, y las que están á las órdenes del lord Bentinck. 'ii. Este armisticio entre las tropas francesas y las de las potencias alia das durará ocho dias después que dichas tropas francesas hayan pasado el territorio ocupado por los exércitos aliados en Francia, en la dirección de la ruta que se les señale. ni. La…</t>
  </si>
  <si>
    <t>…secretario de embaxada, encargado de los ne gocios de Portugal durante la ausencia del embaxador. Idem /o. Se había anunciado en los periódicos franceses la toma de Génova por el lord Bentinck, yantes de ayer recibió el gobierno los oficios de este suceso, que se puede contar el último triunfo de las tropas británicas en la guerra' que tan felizmente acaba de terminarse. En ocasión de la entrada de S. M. Luis xvm en su capital dió allí sir Carlos S…</t>
  </si>
  <si>
    <t>…cupada por el vencedor. Los franceses intentaron al día siguiente recuperar dicha posiciorr; pero tuvieron que retirarse por ha ber sido rechazados. El dia 17 llegó al exército el lord Bentinck, y luego que tomó el mando atacó todas las posiciones del enemigo, y después de tres horas de combate , en que se apoderó de todas ellas, le persiguió hasta las murallas de Genova. Los fuertes Richelieu y Tecla fueron tomados eí mismo dia. En la noche del 18…</t>
  </si>
  <si>
    <t>…luyó haciendo honorífica mención de las tropas sicilianas, qce con tanta constancia y bizarría habían peleado en Ita lia y en España, juntamente con las inglesas á las órdenes del lord Bentinck, para oponerse á las miras ambiciosas dcJ mas poderoso usurpador, y coad yuvar a! ^establecimiento déla paz, que oor fortuna disfruta ya la Europa* Concluí lo este discurso la cámara de i s pares decretó, por unanimidad de votos, que se diesen las gracias á S…</t>
  </si>
  <si>
    <t>Bentinck, Guillermo</t>
  </si>
  <si>
    <t>Guillermo Bentinck</t>
  </si>
  <si>
    <t>Núm, 87. [ f qrc^rtos. ] 669 1 GACETA DE MADRID DEL SABADO 18 DE JUNIO DE 1814. ITALIA. Bolonia 28 de Marzo. El ilustre general lord Guillermo Bentinck se presentó á S. S.j y le cumplimento en los términos siguientes» después de haberle hecho el mas profundo acatamiento. ,, Gran Monarca de Roma y de las dos legaciones: mí rey os felicita» y en señal de su afecto os envia esta letra de cambio» dexando á vuest…</t>
  </si>
  <si>
    <t>Bentink, C.</t>
  </si>
  <si>
    <t>C. Bentink</t>
  </si>
  <si>
    <t>…ipes de Metternich y ae Wolchousíy, el conde Platpsv, el general Barclay de Tolly, y el lord Cathcart. El feld-mariscal Blucher acompañó desde Boloña á su soberano. Lord Yarmouth, lord C. Bentink y el conde de Rosslyns recibieron á los soberanos y los conduxeron á casa de Mr. Factor. La guardia de honor de SS. MM. se componía de dos regimientos de infantería. El emperador Alexandro, fatigado de la navegación,se retiró temprano á descansar, dicien do q…</t>
  </si>
  <si>
    <t>…ía 'la buena acogida que recibía en este país. Fueron después presentados á la reyna los príncipes de Radzivill y de Metternich, y á las seis llegó el rey de Prúsia acompañado del lord C. Bentink, y S. M. le recibió con el mayor agasajo* A las siete fué la reyna á Carlton-House para comer allí con el empe rador y la gran duquesa Su hermana, el rey de Prusia y sus hijos, sobrino y hermano, el príncipe de Radzivill, el príncipe real ae Wurtemberg, el pr…</t>
  </si>
  <si>
    <t>Ber</t>
  </si>
  <si>
    <t>…lazas para que fueron nombrados por su augusto Padre; y se ha servido de nombrar para otras tres del mismo Tribunal á D. Josef Joaquín Colon, á D. Manuel de Lardizabal y Uribe y á D. Ber nardo de Riega ; y teniendo por conveniente S. M. reducir á dos las tres Secretarías que hubo en el referido Tribunal, denominando la una de Gra cia y Justicia y Estado de Cantiña, por la qual han de despacharse, ademas de los negocios privativos de ella, los…</t>
  </si>
  <si>
    <t>Bera, Antonio</t>
  </si>
  <si>
    <t>Antonio Bera</t>
  </si>
  <si>
    <t>…osef Barreda , D- Pascual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 único y perentorio les señalo, comparezcan por sí ó por procuradores con los correspondientes poderes á mi juzgado, y por la…</t>
  </si>
  <si>
    <t>Beramendi, Pantalecn de</t>
  </si>
  <si>
    <t>Pantalecn de Beramendi</t>
  </si>
  <si>
    <t>…D. Pedro Nicolás del Aballe; O. Tadeo Segundo Gómez; D. Antonio Al calá Galiano; D. Jayme Aivarez de Mendieta,y D. Juan Antonia Fernan dez de Quesada. Ministros de Capa y Espada■. D. Pantalecn de Beramendi; Conde de Lereua; D. Víctor Rascón .Cor nejo, Contador general de Valores; D. Luis Gacel, Contador general de la D ¡stribucion; D. Josef Martínez de Bustos; D. Felipe de Córdoba; D. Ma nuel Pérez de Lema; D. Ignacio Rodríguez de Ribas; D. Víctor. Soret, Tesor…</t>
  </si>
  <si>
    <t>Berástegui, Saturio</t>
  </si>
  <si>
    <t>Saturio Berástegui</t>
  </si>
  <si>
    <t>…oliden por último la bue na administración de justicia, y con ella la felicidad de la España de un mx&gt; do estable y permanente.” El mismo dia se presentaron á cumplimentar á S. M. D. Saturio Berástegui y D. Domingo de Garramiola, comisionados por la insigne iglesia co legial de Vitoria; el primero de los quales dixo: „Señor: el cabildo de vuestra iglesia colegiata de Vitoria mira como uno de sus mas sagrados deberes reiterar á V. M. los testimonios de amor y fi delidad, qué' ya tuvo…</t>
  </si>
  <si>
    <t>Bercolme, Rufino</t>
  </si>
  <si>
    <t>Rufino Bercolme</t>
  </si>
  <si>
    <t>…de Aragón de Jauja el empleo de coronel 3 D. Marcelo Grana dos , teniente coronel del mismo. En el batallón de Puno el empleo de coronel al teniente coronel del ¡pro-6 pió cuerpo D. Rufino Bercolme.</t>
  </si>
  <si>
    <t>Berdonces, José</t>
  </si>
  <si>
    <t>José Berdonces</t>
  </si>
  <si>
    <t>…yor, Fernando de Iturmendi. El Rey se ha servido nombrar para el priorato, dignidad de la iglesia ca tedral de Valladolid, vacante por fallecimiento de D. Martin Sancho Miñano , á D. José Berdonces, con retención de la canongía que obtiene en la misma iglesia, y dimisión del empleo de primer bibliotecario de aquella uni versidad: para una canongía de la iglesia catedral de Cartagena, vacante por muerte de D. Pascual de Churruca, á D. José Lledó, con cal…</t>
  </si>
  <si>
    <t>Beres</t>
  </si>
  <si>
    <t>…s alturas en que se había colocado el enemigo necesariamente retiraba su centro, al paso que lo fuerte de la posición daba extra ordinarias ventajas á sus flancos. Mandé, pues, al mariscal Beres ford que doblase y atacase la derecha del ejército con las divisio nes quarta y séptima y la brigada de Viviane, mientras que el general Picton, marchando por el camino real de Peyrorhade á Ortés , atacaba las alturas que ocupaban el centro y la izquierda del…</t>
  </si>
  <si>
    <t>Beresford</t>
  </si>
  <si>
    <t>…par la -posición que se le había destinado, teniendo su derecha hacia el Adour, y su izquierda en Villafranca, conservando su comunicación con el centro del exército, que manda el mariscal Beresford, por un puente que se había echado sobre el Nivé, pues las tropas del mariscal habían.vuelto ya á la izquierda del citado rio; . ' ; ... ... La división de infantería española del mando del general Morillo ,' que quedó con sir Rolando Hill quando las demas tr…</t>
  </si>
  <si>
    <t>2i , Previendo ú esperando este ataque, previne al mariscal Beresford que reforzase al teniente general Hill con la sexta división, que pasó el Nivé al amanecer de la misma, mañana, y sucesivamente le reforcé con la quarta división y dos brigadas de la tercera. La esperanza de la llegada de la sexta división dio al teniente gen…</t>
  </si>
  <si>
    <t>1291</t>
  </si>
  <si>
    <t>…ales que atraviesan aquel rio, habiendo batido aL enemigo, y tomádole sus almacenes. „ V. E. hahrá observado con satisfacción el auxilio .que he re cibido en estas operaciones del mariscal Beresford, de los tenientes generales sir Rowland Hill, sir Colen Hoppe y sir Stapleton Coton,</t>
  </si>
  <si>
    <t>…SauVeterre * y al fin obligó á este á volar el puente. Ei mariscal de campo D. Pablo Morillo arrojó los puestos enemigos delante de Navarreus, y formó el blo queo de la ,pláza. El mariscal Beresford, que desde los movimien tos del 14 y del había permanecido con las divisiones quarta y séptima y la brigada de caballería del coronel Viviane, observando el baxo Bidousse, atacó el mismo día al enemigo en sus puestos for tificados de Hastiengues y Oyerhave so…</t>
  </si>
  <si>
    <t>…tapleton Coton con la brigada de ca ballería de lord Eduardo Somerset, y la tercera división, al man do del general Picton, se colocaron cerca del puente destruido de Berens; y el mariscal Beresford con las divisiones quarta y sépti ma, mandadas por el general Colé y el mayor general Walker, y la brigada del coronel Viviane hácia el confluente del Gave de Oleron con la de Pau. Habiéndose marchado el 2 5 las tropas ene migas que se hallaban situadas delan…</t>
  </si>
  <si>
    <t>…seguridad ; los ví veres los reciben de los comisarios ingleses , como las tropas briranicas. Se* observa la mayor disciplina, y los habitantes son muy bien tratados. Idem 14. El mariscal Beresford se dirige á Burdeos, donde se cree que entraría ayer: el Excmo. Sr. duque de Ciudad-Rodrigo con el resto del exército se encamina á Tolosa; el general Fveyre marchó-dé Pau hasta Orthez , y de allí se ha dirigido á St. Sever. Sigue el sitio de Bayona por los i…</t>
  </si>
  <si>
    <t>…e Cataluña en la última semana de Febrero.__ Durante esta detención envié el dia 7 un destacamento i las órdenes del general Fane á tomar posesión de Pau, y otro baxo el mando del mariscal Beresford para que se posesionase dé Burdeos___.Tengo el gusto de informar á V. E. íque el mariscal llegó allí el dia de ayer después de haberse retirado del otro lado del Garona la pequeña tuerza que el enemigo tenia, y que esta importante ciudad está ya en nuestro po…</t>
  </si>
  <si>
    <t>…irtffbHa,1 al wátfdd 'áét'co ronel Sicilia ^maUtii^ó su posición debaxo denlos :retrin¿heramierítós^'eñemigos-dusta qqe • le envié'la; é't‘áéh ' páfira',‘r#eferársél Entretanto él mariscal Beresford; con |a quartíá diNdsióriy'al manido ¿él teniente general sir LoW’ricole-, y lá Sexta yá líts 'órdenes del ‘teniente générál^ir Hamry Clinton, ata có y tomó lás alturas dé'la derecha del enemigó-,' y "el reducto'que cubría y protegía aquel flanco, y alojo sus…</t>
  </si>
  <si>
    <t>…nocimiento de la munificencia de la nación.” Se han comunicado á la misma Cámara otros tres mensages para que se les señale igualmente pensiones anuales al lord Lynedock (Graham), lord Beresford y á lord Hiil. CAMARA DE LOS COMUNES. El canciller del Echiquier en la sesión del 12 pronunció un discurso so bre la parte gloriosa que los exércitos británicos y su ilustre comandante han tenido en los acontecimientos qne han dado la paz al mundo, y propuso…</t>
  </si>
  <si>
    <t>…Católica, y en los lados de ia muina sala los de los augustos Príncipe Regente y Princesa de Po-tugal, en donde también sé veian los de los invictos guerreros duque de Wellingron, mariscal Beresford y del marques de la Romana. A las 10 de la noche, después de haber servido un esquhito refresco, principió una can tata portuguesa, intitulada Anuncio de la faz, ofrecida por amor y fideli dad á S. M. el Sr. D Fernando vn, composición de uno de los mas fecun…</t>
  </si>
  <si>
    <t>Bere’sford</t>
  </si>
  <si>
    <t>…3Ó!*,' 42.79.0 y 61.0 perdieron un numero considerable, y se distinguiei'Óti so^biymanéta durante todo el dia- * No puedo- elogiar suficientemente la liabili-* dad y conducta-del mariscal Bere’sford durante todas las operaciones de éste día , la dél general Colfe, la déí general Clinton y-la de los mayores genera les Pack'y Lambert. El mariscal refiere particularmente la buena conducta del brigadier general d'Urban, quarteímaestre general , y la del mari…</t>
  </si>
  <si>
    <t>Bergaminy, Geininiano</t>
  </si>
  <si>
    <t>Geininiano Bergaminy</t>
  </si>
  <si>
    <t>…primero al teniente coronel de los exércitos nacionales D. Juan Doz , gefe del estado mayor del sitio, y el segundo al teniente del 6.° regimiento de infantería de línea italiana D. Geininiano Bergaminy ; les que después de cangeados sus respectivos poderes, convinieron en los artículos siguien tes___ . Artículo x.° El fuerte de Laredo será ocupado por las tropas espa ñolas que lo sitian mañana á las seis de ella. — 2.? La guarnición quedará ÍMisionera de gu…</t>
  </si>
  <si>
    <t>Bergier</t>
  </si>
  <si>
    <t>…strado con curiosas notas por el P..MqF-r., Nicolás de Aquino. En esta obra impugna el autor la perversa doctrina de Juan Jacobo Rouseau , sembra da en su Emilio y otras obras. El Sr. Bergier es conocido hoy por uno de Jos gran des talentos de la Francia, y gran controversista contra los libertinos y hereges: dos romos en 4.0, á 26 rs. en pergamino y 32 en pasta. Se hallará en la librería do Baylo, calle de las Carretas.. — - - — - ■■ ■ ■■■ - ■ •…</t>
  </si>
  <si>
    <t>Bergutzas, Francisco</t>
  </si>
  <si>
    <t>Francisco Bergutzas</t>
  </si>
  <si>
    <t>…opolitana d¡ Toledo, vacante por fallecimiento de D. José Ibmez, á X&gt;9o Pedro Morejon; para otra canongía de la santa ig.esia metropolitana déS?villa, vacante por fallecimiento de D. Francisco Bergutzas, a D. 1 e^ro Gar cía Coronel; para el priorato y canongía de la.iglesia cateara! de SMamancg, . vacante por muerte de D. Agustin de los Arcos y Enema, a i&gt;. Alexo.üui- Hen;'para él arcédianato titular de la santa iglesia metropolitana de hurgo, vacante por mu…</t>
  </si>
  <si>
    <t>Bermejo, Antonio García</t>
  </si>
  <si>
    <t>Antonio García Bermejo</t>
  </si>
  <si>
    <t>948</t>
  </si>
  <si>
    <t>948 Ei día 7 del mes próximo pasado tuvieron el honor de ser admitidos á cumplimentar á S. M. en nombre de la villa de Pinto y su cabildo eclesiás tico el licenciado D. Antonio García Bermejo, cura párroco; D. Francisco Cabello, regidor, y D. Benito Fernandez de Soto, procurador síndico ge nerábale la misma villa; el primero de los quales arengó á S. M. en los tér•ininos siguientes:; ; :............. „ Señor: quando lá villa de Pinto tuvo el honor…</t>
  </si>
  <si>
    <t>Bermudez, Angel</t>
  </si>
  <si>
    <t>Angel Bermudez</t>
  </si>
  <si>
    <t>…no, comandante de la cofuna de cazadores, al teniente coronel comandante accidental del bata llón de la Legión D. Rodrigo Bermudez, los capitanes de cazadores D. An tonio Ximenez, D. Angel Bermudez, y D. José María Freyre, y los te nientes D. Manuel Toledo y D. José Buzarron.__ El brigadier D. Juan Downie, que casualmente se hallaba con licencia en esta división , se me pre sentó para que le emplease, y acompañó á la Legión en el fuego sobre el cerro Ar…</t>
  </si>
  <si>
    <t>Bermudez, José</t>
  </si>
  <si>
    <t>José Bermudez</t>
  </si>
  <si>
    <t>…operación de Laredo, y copia de la ca pitulación, que espero sea de la aprobación de V. E.__ El teniente coro nel D. Juan Doz, gefe del estado mayor, el segundo ayudanre dei mismo D. José Bermudez, y el capitán de Voluntarios de León D. José Toyos, agregado á dicho estado mayor, hicieron por. su valor, actividad y conoci mientos servicios muy importantes : por último todas las diferentes armas han llenado completamente sus deberes; pues la de artillerí…</t>
  </si>
  <si>
    <t>Bermudez, Juan Agustín Cean</t>
  </si>
  <si>
    <t>Juan Agustín Cean Bermudez</t>
  </si>
  <si>
    <t>148</t>
  </si>
  <si>
    <t>…hasta su infausta muerte, determinaron imprimir por subscripción las Memoria* para la vida del Excmo. Sr. D. Gaspar Melchor de Jovcllanos, y noticias analíti cas de sus obras, por D. Juan Agustín Cean Bermudez: un tomo en 8.° marquilla, compuesto de mas de 400 páginas de buen papel, y con la misma forma y carácter que el prospecto, que: se entregará gratis en Madrid en la librería de Quiroga, ca lle de las Carretas, debaxo de la fonda del Angel, á los que subscriba…</t>
  </si>
  <si>
    <t>…tillo, Pajares, Hortal y Cursi. Diccionario histórico de los mus ¡lustres profesores de las bellas artes en Espa ña, publicado por la real academia de S. Fernando, y compuesto por D. Juan Agustín Cean Bermudez: seis tomos en 8.° de marquida. La academia, que coa crecidos desembolsos dió á luz esta obra, única en su clase, con el solo ínte res de dar á conocer el sobresaliente mérito de muchos ingenios españoles, y el camino que llevaron para el acierto en las artes…</t>
  </si>
  <si>
    <t>Bermudez, Juan Agustín Gean</t>
  </si>
  <si>
    <t>Juan Agustín Gean Bermudez</t>
  </si>
  <si>
    <t>…dos repentinamente á Grenoble. Diccionario histórico de los mas ilustres profesores de las bellas artes en Espa ña , publicado por la real academia de S. Fernando, y compuesto por D. Juan Agustín Gean Bermudez*. seis tomos en octavo de marquida. La academia, que con crecidos desembolsos dio á luz esta obVa, única eh sudase, con el solo Interes de dar á conocer el sobresaliente mérito de nuestros ingenios españoles, y el camino que llevaron para el acierto en las ar…</t>
  </si>
  <si>
    <t>Bermudez, Rodrigo</t>
  </si>
  <si>
    <t>Rodrigo Bermudez</t>
  </si>
  <si>
    <t>?6 menos de recomendará V. E. al coronel D. Antonio Cano, comandante de la cofuna de cazadores, al teniente coronel comandante accidental del bata llón de la Legión D. Rodrigo Bermudez, los capitanes de cazadores D. An tonio Ximenez, D. Angel Bermudez, y D. José María Freyre, y los te nientes D. Manuel Toledo y D. José Buzarron.__ El brigadier D. Juan Downie, que casualmente se hallaba con licencia en esta división , se me pre sentó para qu…</t>
  </si>
  <si>
    <t>Bermuy, Juan</t>
  </si>
  <si>
    <t>Juan Bermuy</t>
  </si>
  <si>
    <t>…a bizarría de los oficiales que corrieron á aquel punto á la cabeza de la nu'estra para rechazarlo, como io consiguieron; en cuyo encuentro se distinguieron el teniente de fragata D. Juan Bermuy y el guar dia marina D. José Estrada. El enemigo perdió en este reencuentro mucha gente entre muertos, heridos y caídos al agua; y se dexó correr para la popa , en donde impunemente batió al bergantín , que no obedeciendo al ti món ni aparejo, no pudo present…</t>
  </si>
  <si>
    <t>Berna, Alfonso</t>
  </si>
  <si>
    <t>Alfonso Berna</t>
  </si>
  <si>
    <t>720</t>
  </si>
  <si>
    <t>…ón,, para felicidad de la patria, y para gloria de V. M.”'1'1’-. El mismo dia tuvo también el honor el cabildo de la colegial de Pástrana.de cumplimentar á S. M. por medio del Dr. D. Alfonso Berna! Sanz, deán r y el Dr. D-. Manuel Ramón Hernández ,, dignidad de maestrescuela' .derla, .misma , y el primero dixor ,, Señor : ei cabildo de la colegia! de Pastrana felicita á V. M. por su aé*seado restablecimiento en el trono de las España*: sin él serian es…</t>
  </si>
  <si>
    <t>Berna, Manuel Martin</t>
  </si>
  <si>
    <t>Manuel Martin Berna</t>
  </si>
  <si>
    <t>…ancisco del Castillo. Y para siete plazas de al caldes del crimen de la misma chancillería á D. Manuel de Viiches, D. An tonio Lorenzo Martínez del Pozo, D. Matías Herrero Prieto, D. Manuel Martin Berna!, D. Maurteio Baradat, B. Ignaro Martínez de Torres y D* Anacleto Fagoaga. El Rey nuestro Señor, atendiendo á los méritos de D. Bernardo Amaya, oficial de la tesorería del exército de Castilla la Vieja, y á los grandes ser vicios de su padre D. Francisco, se…</t>
  </si>
  <si>
    <t>Bernabé</t>
  </si>
  <si>
    <t>…del de Santiago. D. Juan de Castro, teniente de Id. D. Benito Martínez, id. de Id. D. Juan Guillen, subteniente de id. D. Francisco Quiroga, id. de id. D. Juan Cancela, id- de id. D. Bernabé de las Pallas, id. de id. D. Martafio Castell, teniente coronel, sargento mayor de la Corona. D. Tomas Noriega, teniente de id D. Mariano Canalls, subteniente de id. D. Ventura Noguérra, id. de id. D. José María Falcon, sargento mayor del de Ri bero. D. Ramón…</t>
  </si>
  <si>
    <t>Bernarda, Manuel Iglesias de</t>
  </si>
  <si>
    <t>Manuel Iglesias de Bernarda</t>
  </si>
  <si>
    <t>…grande, aparato; y desún das para!el certa men , desconocido en la ciudad hasta entonces. Piincipio' este por un dis curso , que sobre lo interesante de la primera educación leyó D. Manuel Iglesias de Bernarda, dignísimo qnaestro de aquella escuela* Concluido, fue ron presentados, y respondieron; a- satisfacci.cn 23 discípulos sobre &lt; los principios de nuestra, religión sagrada. Clasificados después segutr sus adelan tamientos, y con arreglo al método prescrito por…</t>
  </si>
  <si>
    <t>Bernardo, Vicente Hernández Gilí y D</t>
  </si>
  <si>
    <t>Vicente Hernández Gilí y D Bernardo</t>
  </si>
  <si>
    <t>…Ramiros» los Alonsos y Fernandos." Asimismo en este dia tuvieron la honra de felicitar á S. M. y besar su Real mano,á nombre de la ciudad de Astorga, sus comí i nados los stñores D. Vicente Hernández Gilí y D Bernardo £scovar;el primero de los quales pronunció el discurso siguiente: ,, Señor: la ciudad de Astorga en medio de sus ruinas se presenta á £. R. P. de V. M. llena de gloria por haber casi perdido su existencia ba tallando por el rescate de la augusta persona de V.…</t>
  </si>
  <si>
    <t>Berozdin</t>
  </si>
  <si>
    <t>…de alguna utilidad, y solo ha cedido á la superioridad delnumero. = Alexandro Macdonaid , mayor generai de ia artillería A caballo.” Capitulación firmada entre SS. EE. el teniente general Berozdin , el mayor general Welzaminojj y los coroneUs ingenieros Monfredi y Pitllet, autorizados con los correspondientes poderes por S. A. R. el du que de Wurtemberg, comandante en gefe de lasf tropas empleadas en el sitio de Dantzick por una parte, y por la otra el…</t>
  </si>
  <si>
    <t>Berroudez, José Lorenzo</t>
  </si>
  <si>
    <t>José Lorenzo Berroudez</t>
  </si>
  <si>
    <t>…tilla, prebendado de la mis ma iglesia: para una canongía de la iglesia colegial de Xerez de la Frontera, diócesis de Sevilla, vacante por muerte de D. Antonio José de Menchaca, á D. José Lorenzo Berroudez: paTa una ración de la iglesia catedral de Cádiz, vacante pot muerte de D. José María Roo , á D. Juan José Díaz Franco: para el beneficio simple de la parroquia de la villa de Arcos de la Frontera, diócesis de Sevilla, vacante por fallecimiento de D. José Ort…</t>
  </si>
  <si>
    <t>Berrrand</t>
  </si>
  <si>
    <t>pudo con su tropa desembarazar la silla; abrióse paso,y mandó al postillón que partiese á escape. Bonaparte está enteramente desconocido en su semblante y vestido. El general Berrrand iba en la silla á la izquierda de Bonaparte; no hizo ningún movimiento, ni habló una palabra durante esta detención. Los generales extrangeros que acompañaban á Bonaparte quisieron baxar de sus carru rges, y reunirse á los soldados para defender en caso de ne…</t>
  </si>
  <si>
    <t>Berrueco, Miguel</t>
  </si>
  <si>
    <t>Miguel Berrueco</t>
  </si>
  <si>
    <t>…caseTÍOidél pueblo', enterneciéndose su Real ánimo á vista de estas pe didas, que es imposible reparaf en el dia. Después de ésto se trasladaron S. M. y AA. á lá casa del alcalde :D. Miguel Berrueco, en dónde se-dignaron admi tir’é4 frugal almuerzo qde te léaftad y amor al Soberano ¿fe aquellos vecinos «énian preparado: y cóncíUkló; efcíé ^volvieoófi S. M.» y 'A A. á^tomar el co* •ché i y éntré ias“ rñcéSantes aclamaciones y lás déníbstrácioñes mas puras…</t>
  </si>
  <si>
    <t>Bérthier</t>
  </si>
  <si>
    <t>…s es el único objeto de ¿ni conducta, y ningún otro motivo me ha traído á Francia. „ Aprovecharé gustoso, señores, la ocasión de tratar con vosotros mas particularmente.” _ ■ • El mariscal Bérthier, mayor general* ha enviado desde Fontainebleau con fecha del 11 de este mes su acta de adhesión, concebida en estos tér minos. ' Señores y senadores: „El exército obediente por deber no ha tenido-que deliberar, y asi ha manifestado su adhesión luego que el mi…</t>
  </si>
  <si>
    <t>Berthier</t>
  </si>
  <si>
    <t>5 o$ FRANCIA. París i&lt;) de AbriL El tribunal de presas lia sido admitido hoy á la audiencia de Monsieur, el conde dé Artois. El conde Berthier, presidente , ha dirigido el discurso siguiente: ,, La paz de la Europa va á poner bien pronto término á nuestros tra bajos , y esta paz de las naciones hallará á los franceses restituidos al seno de ella. ,, No hay ya partidos , dixo S. A. R. , y en efecto,…</t>
  </si>
  <si>
    <t>Bertrán, Jcsé Hilario</t>
  </si>
  <si>
    <t>Jcsé Hilario Bertrán</t>
  </si>
  <si>
    <t>…m plimentar y besar la mano de S. M., en nombre del ayuntamiento del lugar de -Vicálbaro, el alcalde de primer voto de él D. Juan Sevillano, y el escri bano del mismo ayuntamiento D. Jcsé Hilario Bertrán;el qual dirigid á S. M. la palabra en los términos siguientes: ^ ,, Señor: el ayuntamiento del lugar de Vicálbaro se presenta hoy á V. M. para tributarle el homenage mas sincero, procedente del amor mas puro y constante que solo para V. M. ha reservado. „ Lue…</t>
  </si>
  <si>
    <t>Bertrán, José Hilario</t>
  </si>
  <si>
    <t>José Hilario Bertrán</t>
  </si>
  <si>
    <t>944</t>
  </si>
  <si>
    <t>…te una legua de Ma drid : su dotación anual son 89 rs. vn. Los pretendientes dirigirán sus memorialci á la justicia y ayuntamiento por mano del escribano del número y ayuntamiento D. José Hilario Bertrán hasta el dia 17 de Setiembre próximo inclusive; baxo del supuesto de que se ha de proveer el 30 del mismo. Tratado de las hernias por Augusto Amadeo Richter, médico y consejero áu lico de S M. Británica, catedrático de clínica médica y quirúrgica en la; unive…</t>
  </si>
  <si>
    <t>Bertrán, Luis</t>
  </si>
  <si>
    <t>Luis Bertrán</t>
  </si>
  <si>
    <t>…........ D. Esteban Antonio de Orellana. Por Político........... Ai Coronel D. Francisco Antonio Diz. Fiscal militar........ Al Mariscal de Campo D. Martin González deMenchaca# JA D. Luis Bertrán, Oficial mayor primero de mi Se¿tere ano...............^ cretaría de Estado y del Despacho de la Guerra. Sala de Justicia. rk D. Guillermo de Vargas. 1A D. José Pagóla. , J A D. Ramón Navarro Pingarron. Togados................... &lt;j ^ j)# jUa0 pagZ de la Cade…</t>
  </si>
  <si>
    <t>Besga, Santos</t>
  </si>
  <si>
    <t>Santos Besga</t>
  </si>
  <si>
    <t>…lojamientos. Por mi parte ño fté tenido mas pérdida .que la de un sargento y tres soldados del 5.0 regimientoemuertos, y derañábos 18 heridos, entre ellos los subtenientes del 5.0 D. Santos Besga y^D. Pédto La</t>
  </si>
  <si>
    <t>Betancourt, Agustín Cabrera</t>
  </si>
  <si>
    <t>Agustín Cabrera Betancourt</t>
  </si>
  <si>
    <t>…elá á D. José O-mulrian; y para la de la villa de Moreda á D. Juan Francisco de Murcia y Montero. &gt; El comandante general de Canarias ha hecho presente que habiendo ma nifestado á D. Agustín Cabrera Betancourt, coronel de milicias de la isla de FuerteVehtitra, que en ninguna ocasión mas oportuna que en la actual los vasallos fieles al Rey debían acudir con socorros según sus facultades * puso</t>
  </si>
  <si>
    <t>Beurnonville</t>
  </si>
  <si>
    <t>…Abril) para nombrar una comisión de cin co miembros, que se han de encargar del gobierno provisionalmente. Quedan elegidos los Sres. Talleyrand Perigord, el abaté Montesquiou, el general Beurnonville, Jaucourt y el duque de Dalberg. Habiéndose presentado á los soberanos aliados el duque de Vicenza, no han querido estos oirlo. Sus proposiciones no eran las que las potencias alia das tenían derecho á esperar, especialmente después de haber manifestado quále…</t>
  </si>
  <si>
    <t>…es: El príncipe de Benevento. El duque de Conegíiano, mariscal de Francia. El duque de Reggio , mariscal de Francia. El duque de Dalberg. El conde de Jaucourt, senador. El general conde Beurnonville, senador. El abate de Montesquiou. El general Dessolles. Él barón de Vitrolles, secretario de Estado interino, exércerá las fun ciones de secretario del consejo. ESPAÑA. Zaragoza 29 de Abril ¡ Se acaba de recibir aqui la agradable noticia de que la guarnición…</t>
  </si>
  <si>
    <t>Bhicher</t>
  </si>
  <si>
    <t>…Tróyetf. Parece que-Bonaparte ha dexado 45® hombresí en la línea deTroyes,y ha marchado con el resto de su exército contra el mariscal Blucherj pero hay motivos de esperar que el mariscal Bhicher puede efectuar su reunión con Winzingerode, Bulow y Woronzow. ¡ El cuerpo de St. Priest había llegado á Vitry: el general St. Jago debía leudársele, en Joinviile. ... El general Frimoné atacó el día i.° á la vanguardia enemiga, y la der rotó ¡cerca, de Vandoe…</t>
  </si>
  <si>
    <t>Bianchi</t>
  </si>
  <si>
    <t>…l general del feld-mariscal debía estar en Langres el 15 ó el 16. El cuerpo del general Bubna ha tenido orden últimamente de pasar de Doía á León, y ha salido para esta ciudad. El general Bianchi dirige las operaciones contra Befort. Besanzon está cercada por el cuerpo de Liehtenstein. Los bávaros, baxo el mando del general Wrede, han tenido cerca de St. Dizier una acción empeñada con el enemigo, mandado por el mariscal Víctor. Al principio de la acci…</t>
  </si>
  <si>
    <t>…emos relaciones circunstanciadas sobre este particular; pero espero re mitir á V. S- muy pronto noticias muy favorables de aquel pais.__ El cuerpo de austríacos, á las órdenes del general Bianchi, está embistien do á Befort, en lugar del de Wrede, que mañana marcha sobre Colmar. El general Bidychi tiene sus avanzadas en Vesoul, y ha recibido orden de enviar partidas considerables á Langres. Por los partes de aquel oficial se sabe que los austríacos ha…</t>
  </si>
  <si>
    <t>Bíanchi</t>
  </si>
  <si>
    <t>…imoné atacó el día i.° á la vanguardia enemiga, y la der rotó ¡cerca, de Vandoeuvre, donde puso su quartel general. - r Se han enviado refuerzos? al general Bubna, y el cuerpo del general Bíanchi ha recibido orden de marchar hacia Dijon. r Los plenipotenciarios siguen en Chatillón. ESPAÑA. Jaca jo de Marzo. Parte del mariscal de campo D. Francisco Espoz y Mina al Excmo. Se~ : ñor duque de Ciudad- Rodrigo. „ Excmo. Sr.: el bloqueo de Monzon comenzó el…</t>
  </si>
  <si>
    <t>…n á las órdenes del mariscal AügTereau,y ascienden á unos 25® hombres: parte de ellos han avanzado hasta Macón y Bourg. El príncipe Schwartzenberg ha resuelto enviar el cuerpo del general Bianchi contra aquel exército. Los diferentes cuerpos de austríacos que se hallan ya enlas inmediaciones de Dijon se pondrán á las órdenes del general Bianchi. El primer cuerpo de reserva, baxo el mando del príncipe Hesse, que se halla ya mas acá de Basilea, se reuni…</t>
  </si>
  <si>
    <t>Bidychi</t>
  </si>
  <si>
    <t>…s muy favorables de aquel pais.__ El cuerpo de austríacos, á las órdenes del general Bianchi, está embistien do á Befort, en lugar del de Wrede, que mañana marcha sobre Colmar. El general Bidychi tiene sus avanzadas en Vesoul, y ha recibido orden de enviar partidas considerables á Langres. Por los partes de aquel oficial se sabe que los austríacos han encontrado la mejor acogida posible de los ha bitantes de Francia.__ El cuerpo de austríacos que mand…</t>
  </si>
  <si>
    <t>Bíirart, Joié JoaóuiVi</t>
  </si>
  <si>
    <t>Joié JoaóuiVi Bíirart</t>
  </si>
  <si>
    <t>…e junta pública. 1 Madrid $ i de Octubre. / ' El día yi de Julio próximo pasado fueron admitidos á felicitar á S. M. jjpOT el ayuntamiento de Soria los Sres, Dr. D. B ás Ostólazay D. Joié JoaóuiVi Bíirart, mariscal de Campo de los Réalés éxércitbs ; él primero de los guales drxo: ' r ‘ ' ,, Señor: el ayuntamiento de Soria nos ha elegido para que á su nombré Hemos las gracias á V. M. , y le felicitemos por su inmortal decreto de 21 dé! présente, en que restable…</t>
  </si>
  <si>
    <t>Biornstierna</t>
  </si>
  <si>
    <t>…ck, y de los medios de defensa que sum nistraba á un comandante experto y determinado, induro ai mariscal Steding á no despr ciar las pr pu stas. El general Lalleman fir mó ton el coronel Biornstierna, gefe detestado mayor del exército sueco,'una capitula ion,, p r la quat las tropas enemigas d;biapjevacuar -el;.puebla'í las diez de la noche, después de entregar á las cinco la puerta dé Moüen,:sm que se e pudiese per eguir hasta e¡ amanecer del dia siguien…</t>
  </si>
  <si>
    <t>Birbraune</t>
  </si>
  <si>
    <t>…ra, en que estaba situada la derecha enemiga. Este ataque, conducido por el regimiento 52.°, al mando del teniente coronel Coiborn, y sostenido por su derecha por las brigadas del general Birbraune , y del coronel Keane de la tercera división , y también por los ata ques simultáneos que daba por nuestra izquierda ei general Ausofi con su brigada de la quarta división , y por la derecha el general Picton con la sexta división , al mando del general Clint…</t>
  </si>
  <si>
    <t>Bismark</t>
  </si>
  <si>
    <t>…ano mas joven del rey de Sa xonia , permanece en Praga con su esposa. El rey de Saxonia ha nombrado últimamente al general Watzdorf'ayo de los hijos del príncipe Maximiliano. ' El general Bismark, nuevo comandante de Leipsick, hace quanto está de su parte para ser estimado de aquel vecindario; no solo ha mandado que toddS las tropas prusianas que forin.n en ei dia la guarnición de Leipsick fuesen alojadas en ios arrabales, y que los privilegios de la…</t>
  </si>
  <si>
    <t>Bíubherj</t>
  </si>
  <si>
    <t>…s suplicas il cielo por la conservación'de nuestro amado Monarca/* GRAN BRETAÑA. Londres 11 de Junio. Apenas desembarcó en Douvres el rey.de Prusia, nombró príncipe de Wagstadt al mariscal Bíubherj conde de Wurténburg al general York; conde ‘ de DeUterwitz al general Búlow, y príncipe de Hardenberg al barón de ' este íítulo. " El corregidor y áytnitamiéntó dé Douvres presentaron su arenga deíélicitacion al emperador de Rusia, quien contestó en ingles lo…</t>
  </si>
  <si>
    <t>Biucher</t>
  </si>
  <si>
    <t>Gazeta de la Regencia de las Españas n.º 16</t>
  </si>
  <si>
    <t>124</t>
  </si>
  <si>
    <t>…en Langres, á 60 leguas francesas de París. Al mismo tiempo que los del Norte avanzan hasta Brusélas, el general Kleist baxa por Th onville á darse la mano por su izquierda con el general Biucher, que marcha por Langres. Ei general Schwartzemberg comunica con este por su derecha desde las inmediaciones de Dijon, y extiende su izquierda hasta Macón. Estas noticias que vienen en el monitor del 18 de este anuncian á la Francia su entera invasión; y las c…</t>
  </si>
  <si>
    <t>269</t>
  </si>
  <si>
    <t>…. Hemos hecho 6© prisioneros: lós demás fueren arrojados en una laguna, ó muertos en el campó de batalla. El emperador perseguía vivamente al general Sachen, que está separado del general Biucher. Nn estra pérdida ha sido muy corta,. pues se reduce á 200 hombres. Idem 12 de Febrero. Mr. Alfred de M'ontesquiou, ayudante de cam po del príncipe de Neufchatel, despachado por S. M. I., ha traído á S. M. la emperatriz las noticias siguientes: El 11 de este…</t>
  </si>
  <si>
    <t>Bíucher</t>
  </si>
  <si>
    <t>…de haberse reti rado el mariscal Macdonald con dirección á Meaux, llevando consigo los cuerpos de Sebastiani y Arrigi, ademas del suyo propio. Él dia 6 el quartel general del feld-mariscal Bíucher estaba en Sandren* El 8 se trasladó de Vertus para Etoges, hallándose entretanto el general Sacken en Montmirail, y el general York en Chateau-Tierry, y el general Kieist en Chalons, marchando, todos contra el exército dé Macdonald, que se retiraba con 100 pi…</t>
  </si>
  <si>
    <t>…destruir enteramente este cuerpo, pues el total de sus fuerzas debía ser doble, y su caballería mas que triple, la qual probablemente atendía á 8® caballos. La artillería del íeld-mariscal Biucher era mas numerosa, y estaba mejop servida.,La pérdida del enemigo de be haber sido excesiva, según el fuego que se le hizo, y los rechazados ataques de su caballería. ■ f - - ; ,, No tengo palabras con que expresar mi admiración á vista de la in trepidez y dis…</t>
  </si>
  <si>
    <t>…os la fuerza de unos i6á 20© Hombres. Pasar,pues, el Marne á vista de este exército era operación, arriesgada, mayormente sos pechándose que Bonaparte, al saber la marcha del felá-mariscal Biucher en esta dirección, destacaría fuerzas á su retaguardia. „ En atención á esto se dieron las siguientes disposiciones: los cuerpos del general Sacken y dei conde Langeron debían marchar á CoulomierS. y Chaiily, y en seguida hacia Meaux. Los cuerpos de los gener…</t>
  </si>
  <si>
    <t>…a en estas últimas»ocasiones, sino también por su audacia in trépida en todas las acciones en que le ha visto á las manos con el enemigo. V. E. sabe yá que él quartel- general del mariscal Biucher estaba en la Ferté el aS de Éebrero ; ningún aviso se ha &lt;recibido de él desde entonces. Con el objeto de mantener la comunicación con este oficial, y de amenazar la retaguardia de Bchaparte, que .actualmente marcha contra él, Ha man- | dado el príncipe de Sc…</t>
  </si>
  <si>
    <t>Gazeta de la Regencia de las Españas n.º 55</t>
  </si>
  <si>
    <t>…fe id mariscal Blucher y el de Bonaparte,- quien perdió en una de ellas mas de 6© hombres y 50 piezas de artillería. De resultas tuvo'qiie¿ retroeétdér Boñapárte á Soissons, y el mariscal Biucher tomó-po sición en las altaras dé Laonw Entretanto un cuerpo de tropas perteneciente ai :éxéreito*-/aliadó»1;?que,mattdá-rel principe Schwatizemberg, entró en Rheims; y habiéndó acudidó Bonapart^ á esta ciudad icón ,el. objeto de arrojar de eüa á-las tropas al…</t>
  </si>
  <si>
    <t>…tratado fue puesto en manos de S. A. R. el Príncipe Re gente el día 2 para que recayga sobre él la ratificación. _ El código Na poleón ha sido abolido en ios estados del Papa. El"mariscal Biucher ha llegado á Botona, ea cuyo puerto ha desembar cado S. A. el duque de Clarence. Un corto destacamento de cosacos del Don llegó el 2 á Londres. Li pre sencia de esta pequeña parte de una caballería ligera, de quien los periódicos han hablado tanto, ha excitad…</t>
  </si>
  <si>
    <t>Biueher</t>
  </si>
  <si>
    <t>…I. á visitar al Príncipe Regente, con quien permaneció juntamente con el Rey de Prusia mas de media hora. Es imposible expresar el entusiasmo que ha excitado la presencia del feld mariscal Biueher.. Quindo fue. á visitar al Príncipe Regente no se pudo lograr que él gentío le-dexase el paso libre,, por lo qual tuvo mucho traba jo para poder llegar al quarto de S. A. R Este, después de haberlo recibido con la mayor distinción, le puso al cuello, atándolo…</t>
  </si>
  <si>
    <t>Bizanet</t>
  </si>
  <si>
    <t>…ury y Hog tienen derecho á los-ma yores elogios. TengoTa honra &amp;c. Berg-op-Zoom 10 de Marzo de 1&amp;14. = J. G. £ooke, mayor genera!. 2.0 . Tengo la honra de comunicar á V. E. que el general Bizanet, gobertiador de Berg-Op-Zooin, ha permitido al teniente coronel Jones venir £qui.cori canas del general Cooke, que me han determinado á enviar mi ayudante de campo el mayor Stsnhope ayer mañana á Berg-op-Zooin coñ plenos poderes para hacer-un tratado relativo…</t>
  </si>
  <si>
    <t>…de esta ocasión para manifestar mi satisfacción: por el zelo.in fatigable del teniente coronel Jones en alivio de los prisioneros, abmayor Stanhope. También debo hacer justicia al general Bizanet, que como-todos los hombres de valor, ha,tenido un esmero particular con los prisioneros. Me ha enviado el nombre de un oficial prisionero en Inglaterra, que fué su ayudante de campo, y yo desearía que este oficial pudiese obtener su liber tad sin cange como…</t>
  </si>
  <si>
    <t>Bjilow</t>
  </si>
  <si>
    <t>tabíecido ya su quartel general en Arras. El. general Bjilow se Interna por la Eioaxdia, en cuya dirección ño hay otra fuerza que le.ptié'da*resistir siao ci pequeño cuerpo del general Maison de 5 á 6© hombres. ‘ \ ’ ‘; a \ •’ "v; f v ' ~v * ■ - ■ -i * •■ ■•--- *■ FRANCIA. ■ * — " ' *■ . Orleans 25 de Febrero* H- , \ 1…</t>
  </si>
  <si>
    <t>BJucher</t>
  </si>
  <si>
    <t>' / el ffeld-mariscal BJucher que el enemigo había tomado la dirección de Rebais, y determinó perseguirle alii, habiendo hecho alto aquella noche. El mariscal Marmont continuó su marcha á la Ferté-sous-Jouarre, y según in forme de los paisanos, iban sus tropas en desorden , buscando abrig…</t>
  </si>
  <si>
    <t>Blake, Gregorio</t>
  </si>
  <si>
    <t>Gregorio Blake</t>
  </si>
  <si>
    <t>…over á subtenientes 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t>
  </si>
  <si>
    <t>Blake, Joaquín</t>
  </si>
  <si>
    <t>Joaquín Blake</t>
  </si>
  <si>
    <t>968</t>
  </si>
  <si>
    <t>…r tillero volante de la primera compañía del primer esquadron de maniobreros volun ta ios de Cádiz, que salió de este puesto en Agosto de 1811 en la expedición al mando dei Exano. Sr. D. Joaquín Blake, y desembarcó en Alicante, pasando de alíi á Valencia y Murviedro; y de quien desde la ocupación de esta ciudad por Jos franceses no se ha tenido noticia. Se suplica, pues, á los gefes militares que sepan de ¿I ó de su muerte, lo avisen en Cádiz á.su madre Do…</t>
  </si>
  <si>
    <t>Blanco, Antonio</t>
  </si>
  <si>
    <t>Antonio Blanco</t>
  </si>
  <si>
    <t>…l honor de presentarse á cumplimentar á S. M. y AA. por la villa de Haro D. José Salamanca, tesorero de la pro vincia de Madrid, D. Valentín Zorrilla, ex-inquisidor de Santiago, y D. Antonio Blanco; y después de besar la mano á S. M., el primero le di rigió el discurso siguiente: ,,Señor; la villa de Haro, constante en los principios de amor, fidelidad y obediencia á V. M., que le han sido «-siempre' característicos, ofrece á V. M. con la mas dulce, emo…</t>
  </si>
  <si>
    <t>Blanco, Fermín Martin</t>
  </si>
  <si>
    <t>Fermín Martin Blanco</t>
  </si>
  <si>
    <t>…23 del pasado tuvieron la honra de felicitar á S. M. y besar su -real mana, á nombre del cabildo de la¡catedral de Orense, el Sr. D. Benito Arias de Prada, del consejo de S.M., y D. Fermín Martin Blanco, y des pués de haber este entregado una carta.de su cabildo para S. M,, dixo: , ,,Señor: por la carta del Cabildo de la catedral de Orense habrá visto V. M. quale&amp;-som.5tts?sentürñeitfQS*; Esi£/£abHdoSeñor* asi como toda sp provincia , tienen tan acreditada s…</t>
  </si>
  <si>
    <t>Blanco, Genaro</t>
  </si>
  <si>
    <t>Genaro Blanco</t>
  </si>
  <si>
    <t>…*33°4» **33°&amp; 1 l33°6» “33°7. 11330^» *i33°9&gt; HS310» H3312» “33*3» lí$3l4&gt; lí33l$ Y 1'33l6La persona en cuyo poder se hallaren, ó sepa su paradero, se servirá avisar en Ma drid ,á D. Genaro Blanco, que vive casa del Consejo de Guerra , plazuela de la Villa. Se desea saber el paradero de Joaquín Laguardia, herrador de muías, vecino que fué en Valtierra, en el reyno de Navarra. La persone que lo supiere se servirá avisarlo al síndico procurador de Alcira…</t>
  </si>
  <si>
    <t>Blanco, Manuel</t>
  </si>
  <si>
    <t>Manuel Blanco</t>
  </si>
  <si>
    <t>…24 de Febrero de 1 814. = Excmo. Sr. s José de Ezpeteta. = Excmo. Sr. general en gefe del quarto exército. ’ Tuvo esta división , según el estado de pérdida que se cita, muertos 3 D. Manuel Blanco, teniente de cazadores, y dos soldados del regimiento de voluntarios de Asturias; heridos á D. José Abalo, subteniente del mis mo regimiento, y 14 soldados, y dos mas de estos contusos. QUARTO EXERCITO.____QUINTA DIVISION. ,,Excmo. Sr : en cumplimiento de la…</t>
  </si>
  <si>
    <t>Blanco, Nícolasa</t>
  </si>
  <si>
    <t>Nícolasa Blanco</t>
  </si>
  <si>
    <t>…proveyese y determinare en su au sencia y rebeldía, les parará el debido perjuicio , no quedándoles acción pará réelama alguna. , . ; La persona que tenga derecho á los bienes de Doña Nícolasa Blanco, que fa lleció en esta corte el 22 de Febrero de 1812 , y vivía en la calle de Fúcar, acirdirá.á casa de D. Luis de Sojo, del comercio, calle de„ pQStas.-» ,. •, ... ,Nociones ds economía política y de la ciencia de hacienda, apoyadas encías leyes é historia…</t>
  </si>
  <si>
    <t>Blanco, Pedro López y</t>
  </si>
  <si>
    <t>Pedro López y Blanco</t>
  </si>
  <si>
    <t>…día se presento igualmente tuto diputación de la ciudad y cabildos eclesiásticos de la ciudad de Náxera/compuesta de los señores el ba rón de Maabe, primero de las dos Castillas; D. Pedro López y Blanco, y D. Marcial Nazal; el primero de los quales dixo: „ Señor: la M. N. y M. L. ciudad de Náxera y sus tres cabildos eclesiásticos de la real capilla de Sta. Cruz, S. Jayme y S«Miguel, tienen el honor de manifestar á vuestros reales pies su júbilo por el feliz…</t>
  </si>
  <si>
    <t>Blanco, Pedro Luis</t>
  </si>
  <si>
    <t>Pedro Luis Blanco</t>
  </si>
  <si>
    <t>…é Vicente de la Madrid, á D. Alonso Ca ñedo y PVígíi ^dignidad de vicario de coro de la santa iglesia metropolitana de Toléddppsra el de León, que vaco por fallecimiento del limo. Sr. Don Pedro Luis Blanco, á D. Ignacio Ramón de Roda, canónigo pendenciarlo de la santa iglesia metropolitana de Santiago; para el arcedianato de Niebla, dignidad de la santa Iglesia metropolitana de Sevilla, vacante por muerte de D. Francisco Venegas, á D. José Morales y Carrero, ca…</t>
  </si>
  <si>
    <t>Blanes, Miguel Antonio</t>
  </si>
  <si>
    <t>Miguel Antonio Blanes</t>
  </si>
  <si>
    <t>…ra individuos de la diputación permanente de Cortes- á los Sres. D. Andrés Oller, dipu tado por la provincia de Cataluña; D. Pedro García Coronel, que lo es su plente por el Perú; D. Miguel Antonio Blanes, diputado por la provincia de la Mancha; D. Salvador Samartin, suplente por Nueva-España; Don Martinrano Francisco Pastór, diputado por la provincia de Valencia; Don Tadeo Gárate, suplente por el Perú; D. Mariano Rodríguez Olmedo, su plente ípor las provincia…</t>
  </si>
  <si>
    <t>…ciudad de la Coruña una diputación compuesta del Dr. D. Bernardo Forte, D. Benito Arias de Prada, ministro del consejo Real , y gobernador de la Sala de alcaldes de casa y corte, D. Miguel Antonio Blanes, oidor de la Real audiencia de dicha ciudad, y D. Manuel Martelo, cura de S. Pedro de Vi ¡lar y arcipreste de Pru zas; el primero de los quales arengó á S. M. en la forma siguiente : ,, Señor: el ayuntamiento de la ciudad dé la Coruña , enagenado del mas puro…</t>
  </si>
  <si>
    <t>Blasco, Vicente</t>
  </si>
  <si>
    <t>Vicente Blasco</t>
  </si>
  <si>
    <t>…o, canónigo doctoral de la metropolitana de Santiago. Asimismo ha nombrado S. M. á D. Valentín Zorrilla de Velasco para la canongía de la metropolitana de Valencia , por muerte de D. Vicente Blasco; y para el arcedianato de S. Felipe de Xátiva, dignidad de la misma santa iglesia de Valencia, vacante por fallecimiento de D. Vicente María Carrillo, á D. Sebastian del Aguila y Ulloa. El cabildo de la santa iglesia de Tarragona, que quando la horrible en tr…</t>
  </si>
  <si>
    <t>Blasitz</t>
  </si>
  <si>
    <t>…mbre. El general Stahrembérg entró ayer en Padua con Su vanguardia, y el general Eckhard ha entrado en Verona. La mayor parte de la izquierda fue á la ciudadela. Las avanzadas del general Blasitz marcharon á Peri. Las alturas de Abaso y Sta. Ana, igualmente que Montebaldo, junto á Jerera, se tomaron por asalto. Todas las .noticias convienen en que el enemigo se1 muestra resuelto á pasar el Adige para fortificarse allí, y defender la posi-: ción de Rív…</t>
  </si>
  <si>
    <t>Blengua, Cayetano</t>
  </si>
  <si>
    <t>Cayetano Blengua</t>
  </si>
  <si>
    <t>…ientes coroneles del propio cuerpo D. Juan Aznar, D. Antonio M¡railes y D. Mariano Montóya, y á tenientes coroneles ah capitán déla mis ma arma D. Amadeo Mora, y al sargento mayor D. Cayetano Blengua. A subtenientes en el batallón de milicias disciplinadas de infantería de Chiquimula, en Goatemala, á D. Dionisio Paez, D. Manuel José Sandoval y Don Juan José Palma, sargentas del propiobeuerpov &lt; * ; ' D. Gonzalo de Herrera, diputado en Cortes por la isla d…</t>
  </si>
  <si>
    <t>Bloudó</t>
  </si>
  <si>
    <t>212</t>
  </si>
  <si>
    <t>…o esto, no dexaré de decirle lo que se me ha asegurado por per sona fidedigna, y es que al coronel francés del num. 25.0 de cazadores se le han hecho los cargos mas severos por el general Bloudó por lo poco ó nada que hizo contra fuerzas tan inferiores, contando coa otras tan superiores; lo que me es de la mayor satisfacción y de la tropa que tuve el honor de man dar-----En los dias 12, 13 y 14 no ha ocurrido novedad, aunque las des cubiertas se han…</t>
  </si>
  <si>
    <t>Blu</t>
  </si>
  <si>
    <t>276</t>
  </si>
  <si>
    <t>…tereau, y los cuer-r pos de los generales Wrede, Wittgenstein y del príncipe real de Wurtem berg en Provins y Villeneuve. El dia 16 se tomaron providencias (sabiéndose que el feld-mariscal Blu» cher habi^ rechazado el cuerpo que se le oponía, y se.avanzaba por delan¿*</t>
  </si>
  <si>
    <t>…ert,• y en ei mismo dia el feld-mariscal Blucher con los cuerpos de Kieist y Kasiewitz había tomado posición en Bergeres.” El 13 estaba en Champ-Aubert el quartel general del feld-mariscal Blu cher, quien había avanzado de Bergeres para atacar en Etoges al mariscal Marmont, que se hallaba allí con 9 á iq© hombres. El enemigo se retiró gradualmente, y se le dieron ataques muy vivos en su retaguardia, principalmente por los cosacos, cuya persecución…</t>
  </si>
  <si>
    <t>…roe británico en medio de una reunión tan ilustre, refieren las siguientes particularidades. Asi que S. E. entró cesó el b;&lt;yle, y se dirigieron á él todas las atenciones. El feíd-mariscal Blu .her fué uno de los primeros que le saludaron ; pero antes de hablar palabra, se contempla ron recíprocamente uno á otro algunos minutos, y conversaron de pues am bos por algún tiempo. En tanto llegó el conde Platow, y por espacio de, dos horas no se separaro…</t>
  </si>
  <si>
    <t>Blucber</t>
  </si>
  <si>
    <t>5 ).$ £1 Príncipe Regente de Inglaterra ha enviado varios hermosos caballos de regalo al mariscal Blucber. Según noticias de Turin de 28 de Abril los habitantes de aquella ciudad acaban de formar una guardia urbana , á la qual el príncipe Borghese ha dado por comandante al marques Víctor Chiesa Roddi , cuya elección ha sido generalmente aprobada. En un periódico…</t>
  </si>
  <si>
    <t>Blucher</t>
  </si>
  <si>
    <t>…han sido condecorados en el campo de batalla con la segunda clase del orden de S. Jorge • Nunca se ha manifestado mejor que en la batalla de Brienne el valor m-t trépido del feld-mariscal Blucher. También se han distinguido particular mente los generales Giulay y Frenelle. En general las tropas de. los aliados han combatido con el mas bizarro denuedo, y merecen la gratitud y admiración del mundo. Tengo la honra 8cc. = Qurghersk. FRANCIA. 5*. Juan de L…</t>
  </si>
  <si>
    <t>…an por objeto el ocupar de nue vo el pueblo de La-Rothiere, á cuyo fin dirigió en persona las nuevas guar dias contra dicho pueblo; pero fue rechazado con pérdida considerable. El general Blucher se halló presente á la defensa del pueblo, y contribuyó con sus esfuerzos á rechazar al enemigo. El general Giulay estuvo empeñado hasta cerca de las 12 en el ataque de Dienville, y solo su pericia y el valor de sus tropas pudieran haber sobrepujado la vigoro…</t>
  </si>
  <si>
    <t>…erna; pero el 27 de Diciembre hubo contraórden. No se puede adivinar adonde se dirigen los movimientos de los exércitos aliados. HOLANDA. Leyden $ de Enero. Hay noticias de que el general Blucher pasó el Rhin entre Bingen y Cauba el 31 de Diciembre con una fuerza de roo© hombres; y el dia si guiente el general Priest entró en Coblentza. Los aliados fueron recibi dos con suma alegría. Se sabe ademas que el general Bulow recibió orden de avanzar al Brab…</t>
  </si>
  <si>
    <t>…Secretaría de negócios exirangéros. " - -Sip. Car|^s Ste\vart Jja remitido desde Francfort el oficio siguiente al * '' • conde BatKu rst. .' „Milord,: él paso del Rhin por el feld-mariscal Blucher será tan memora ble por] su,rapidez en la,hjstpria;militar cómo el paso del Elba j y siento que por haber estado ausénte en ¿i Holstein no haya podido ser testigo de una cpntecimiegtp,, cuyas circunstancias referiría con gloria. Las noticias que tengo sori^qu…</t>
  </si>
  <si>
    <t>…rtillería. El general Langeron hizo, algunos prisioneros, y su pérdida fue muy corta. Los puestos avanzados de este general están ya en Salzbach, enfrente de Ingleheim. ,, El feld-mariscal Blucher se ha adelantado, a pesar de todas las dificul tades de la estación y de los malos caminos, á Kreuznach., y las avanzadas d j general Yorck se han encaminado á Lautern. El cuerdo d&lt;l general barón de'' Sachen forzó los atrincheramientos del enemigo, cerca re…</t>
  </si>
  <si>
    <t>169</t>
  </si>
  <si>
    <t>…ficiales y de. algunos centenares de prisioneros. Los cosacos están siempre muy avanzados. En mi ultimo parte anuncíe á'V. S. que incesantemente esperamos su cesos importantes del mariscal Blucher. Parece no obstante que Marmont se retiró precipitadamente de Keyserslautern, y ha pasado el Sarre. El ma riscal Blucher tenia su quartel general el 10 en Kussel, y se dice que está en Sarrbruck, y que llegará á Metz el 15 ó el 16. Las noticias de París anunc…</t>
  </si>
  <si>
    <t>…tengo noticias ciertas del general Bubna *, pero se dice que pasó de Ginebra á Dola, y que su intención era ocupar á León. Para ahora debe estar ya ocupada Dijon. Se espera que el mariscal Blucher esté al presente en Metz. El general conde Platoíf, sostenido por el príncipe real de Wurtemberg, ha tenido una acción entre Epinal y Nancy , en la que tuvo el enemigo un numero consi derable de muertos y pasioneros. Ei general Wrede tuvo también otra , en la…</t>
  </si>
  <si>
    <t>176</t>
  </si>
  <si>
    <t>…aco: un destacamento observa á Befort. El conde Wittgenstein pasó ei Rhin cerca del antiguo Fort Luis, y ocupo los dos fuertes de Vauban y Abacia, los quales estaban evacuados. El general Blucher también pasó el Rhin, y está en posesión de Cobíentza. Ei cuerpo rmo de Langeron está enfrente de Maguncia en la ori lla izquierda del Rhin, quedando aun Casrel cubierto. El general Sacketi pasó aquel rio el i,.° de Enero, á presencia del rey de Pr sia, junto…</t>
  </si>
  <si>
    <t>…_ El general Witrgenstein tuvo orden de pasar el Rhin hoy en las inmediaciones de Strasburgo, y marchar con su vanguardia sobre Saverne ; se ha de comuni car por su derecha con el general Blucher, quien habrá pasado aquel rio con una parte de su cuerpo en Oppenheim, y con el resto de ella por baxo de Maguncia. S11 izquierda se comunicará con el general Wrede, el qual ha de avanzar desde Colmar á Sohlestat, y desde aquella plaza á unirse con aquel ofic…</t>
  </si>
  <si>
    <t>…n exército de 100® hombres. Se cree que este príncipe no formará el sitio rigoroso de Ambéres, sino que penetrará rápidamente en Fiandes» arreglando sumarcha por los progresos del general Blucher , que tenia su quartel general á 12 leguas de Luxémburgo. El emperador de Rusia ha enviado su busto al príncipe regente de In glaterra, y le ha prometido venir á Londres luego que las circunstancias se lo per miran. ; ■ Una de las condiciones de la paz que lo…</t>
  </si>
  <si>
    <t>…•¡••-E. . 1 Gorreda voz'/y'nó hay fnas fundamento que el haberlo dicho un pasagero,,qüé los dias 29, 30 y 3 1 del*pasado'hubcracciones en las inmediacio nes' dé Chálons, y que el mariscal Blucher ha-hecho- 20© prisioneros france ses, finqúe se-seípá el núsméf?oide,muertos y-heridos. ’ Apábán do partir para rIrún los-regimientos-que estaban en esta, yesperámós la éegunda brigada de-fá qaarta'division. - - ; i- |V ■.» ■■ . . -¡.i ■ rj*'_- .. í. , ; .• V…</t>
  </si>
  <si>
    <t>200</t>
  </si>
  <si>
    <t>…chy, que manda la caballería , avisó que el general Milhaud con el quinto cuerpo de caballería estaba' entre Maizieres y Brien ne en presencia del exército enemigo, mandado por el general Blucher, y reculado en 40© hombres entre rusos y prusianos, estando los primeros á las órdenes del general Sacken. A las quatro de la tarde fué embestida la aldea de Brienne. El general Lefebvre-des-Noutes, que manda una división dé caballería de Ja guardia, y los ge…</t>
  </si>
  <si>
    <t>…" S. M. la emperatriz reyna y regente ha recibido .Jas siguientes noticias de la situación de los exércitos hasta el 3 de Febrero. / El emperador llegó á Vitry el 26 de Enero._£1 general Blucher coa</t>
  </si>
  <si>
    <t>…comisión de estado mayor del exército == Estanislao Sánchez Salvador, , ’ - ■ • . r , • . • Idem 2 7. El congreso establecido en Chatillon quedó disuelto, y se dice si llegó ya el general Blucher á Paris.__ Ayer pasaron por aquí con dirección á Pasages como de 100 á 120 prisioneros franceses con quatro oficiales.__ La segunda división del quarto exército pasa ¿ los pueblos de Bidarty Gtrethary. ARTICULO DE OFICIO. Circular del ministerio de Hacienda.…</t>
  </si>
  <si>
    <t>…ompleta la victoria en todos los puntos. Asi que se empezó la batalla vinieron al campo el emperador de Rusia, él rey de Prusia y el feld-mariscal príncipe Schwartzenberg. El féld-mariscal Blucher pasó luego al frente del exército para llevar á efecto las dispo siciones que había tomado. Él fué el mas avanzado en el ataque del pueblo de La-Rothiere, y estuvo animando las tropas mientras embestían. A su lado fué muerto un cosaco del general Guissenau. L…</t>
  </si>
  <si>
    <t>…Rothiere mas exacta que si me hubiese hallado yo mismo en el campo. El parte del coronel Lowe es tan puntual y satisfactorio, por haberse hallado este oficial en la vanguardia del general Blucher, que hay muy pocas circunstan cias en los demás partes oficiales de que no haga mención el coronel Lowe. Si el mariscal Blucher no se hubiese inmortalizado mucho tiempo há, este dia le hubiera coronado de gloria; pues á pesar de los recelos de mu chos en orde…</t>
  </si>
  <si>
    <t>…los preparativos hechos por los dos exércitos para una batalla general en este dia. Teniendo los so beranos aliados y los comandantes de los exércitos entera confianza en el feld-mariscal Blucher, pusieron á su disposición el cuerpo austríaco del gene ral conde Giulay y el del príncipe real de Wurtemberg, ademas de las fuer zas de su inmediato mando. Después de un reconocimiento, dio el mariscal las disposiciones siguientes para el ataque. El cuerpo d…</t>
  </si>
  <si>
    <t>…ons para contener las columnas enemigas que estaban por aquella parte, tomó con el resto de su exército el camino de Montmirail. A una legua de este pueblo encontró al cuer po del general Blucher; y después de una acción de dos horas, fué der rotado 'el exército enemigo. Jamas han manifestado nuestras tropas ma yor enardecimiento. El enemigo ha sido desbaratado en todos los puntos: infantería, artillería, municiones, todo ha caído en nuestro poder, ó…</t>
  </si>
  <si>
    <t>…ciendo en las puertas de París, también se construyen otras en el puente de Charen(1) Nq hay para que detenerse á hacer comentarios sobre estos boletines *. bas*!e observar que el general Blucher , después de haber sido tres veces aniquilado , vuel ve á presentarse para ser derrotado por quarta vez. ¡Qué inconsecuencia tan absurda!</t>
  </si>
  <si>
    <t>…-Tierry durante la noche y por medio de una marcha forzada con toda su guardia y un grueso cuer po de caballería. Siguióse entonces una acción muy sangrienta, siendo el cuerpo del general Blucher muy inferior en número, y particularmente en caballería; la infantería se formó en quadro, y determinó retirarse. El enemigo dió las cargas mas furiosas de caballería contra estos quadros, pero fué recibido con tan incontrastable firmeza, que no cousíguió rom…</t>
  </si>
  <si>
    <t>…egos, cuyo extracto es el si guiente: Sir C. Stewart, en un oficio fecho en Chatillon á 12 de éste mes, envía los partes del coronel Lowe sobre las operaciones anteriores del feld-mariscal Blucher hasta el día 12 inclusive. ,,E1 5 de este mes el general York aco metió á Chalons, que se rindió por capitulación, después de haberse reti rado el mariscal Macdonald con dirección á Meaux, llevando consigo los cuerpos de Sebastiani y Arrigi, ademas del suyo p…</t>
  </si>
  <si>
    <t>…te de su exército. El quartel general del príncipe de Schwarzenberg debía estar en Troyes en la noche del 19. El 20 por la mañana Mr. Robinson pasó por medio del exército del feld-mariscal Blucher, compuesto de 50 á 6o2&gt; hombres en el mejor orden posible, viniendo de Chalons para reunirse al exército grande. La cabeza de ía columna estaba cerca de Arcis en el Aube á 18 millas inglesas de Troyes. BOLETIN DEL PRINCIPE REAL DE SUECIA. Quartel genera! de C…</t>
  </si>
  <si>
    <t>…a acción de anoche se han cogido al enamigo 64 carros de pólvora. ,, Tengo la honra &amp;c. Quartel general del exército de Silesia en Sandron á 6 de Febrero. = H. Ls'we” 2.0 „E1 feld-mariscal Blucher traslada hoy su quartel general á Etoges. El general barón Saken está en Montmirail, teniendo sus puestos avanzados dos leguas mas allá. El general York es de suponer que estará ya en Chateau-Tierry : el general Kieist se halla en Chalons; y el general Kapsie…</t>
  </si>
  <si>
    <t>…echa en Chat ilion d 7 de Febrero de 18x4. ,, Milord : tengo la honra de remitir á V. E. varios partes que he recibi do del coronel Lowe acerca de las operaciones del exército del mariscal Blucher. ,, Quedo &amp;c. = C. Stewart. = Al vizconde Castlereagh.” i.° ,, Un ayudante de campo que acaba de llegar aquí , ha traído al feld mariscal Blucher las llaves de los pueblos de Chalons y Vitry con el águila y la bandera de la guardia nacional del departamento d…</t>
  </si>
  <si>
    <t>…ry; el general barón Saken en Ferté-Sous-Jouarre: el general Kieist , que se dirigió ayer con el general Kapsiewitz á Ferté-Champenoise, ha tomado posición en este pueblo. El feld-mariscal Blucher está con ellos esperando mas noticias acerca del mo vimiento del enemigo para determinar el suyo. Las últimas noticias son que ha adelantado dos esquadrones de caballería de esta parte de Etoges. „ Tengo la honra &amp;c. Bergeres 11 de Febrero. =/f. Lowe.'‘ P. D.…</t>
  </si>
  <si>
    <t>307</t>
  </si>
  <si>
    <t>307 d.as sos gifardíss y un gran cuerpo de caballería, habiendo heché flná rtiarcha forjada durante la noche desde Chateau Tierry. ,,Entre tanto la infantería del feld-mariscal Blucher avanzaba ert colum nas de batallones por losados lados de la calzada qué Conduce ál pueblo. ,,La caballería, que se observó ir en aumento, avanzó repentinamente, y rompiendo por medio de la caballería de la vanguardia, se dividid y ata có con la mayor furia l…</t>
  </si>
  <si>
    <t>…ntos, y continuaron su marcha hacia el exército. GRAN BRETAÑ A. Londres $ de Marzo. \ SECRETARIA DE NEGOCIOS EXTRANGEkOS. Continuación de los partes del coronel Loive. . » El feld-mariscal Blucher tuvo, que sostener otra acción, obstinadísi ma, cpnti^a una tuerza muy superior del enemigo , mandad* por Bonaparte ef, persona.;i. ^ ,t Después d,e haber arrojado al mariscal M^rmou.t de 1a posición de Etoges el día 13, supo que, Bouaparte habí* marchado el…</t>
  </si>
  <si>
    <t>…, y los rechazados ataques de su caballería. ■ f - - ; ,, No tengo palabras con que expresar mi admiración á vista de la in trepidez y disciplina e las tropas. El exemplo del féld-mariscal Blucher* que se hallaba present en los puntos de mas peligro.» y el de los generales Kleist, Kapsiewitz y del general Gniesenau, que dirigió: el'movimiento de la calzada ; y fin. Imente el exemplo del general Zieten-ry del príncipe Augu to de Píusia, que estuvo siemp…</t>
  </si>
  <si>
    <t>yjft . 3 09 nura. ET enemigo adelantó sn’vangúardia con ánimo de atacar, pero fue re chazado hasta la ciudad con pérdida. El mariscal Blucher marchó con su exército hacia Sezanne á atacar al cuerpo del mariscal Marmont, que echó á la otra parte del Marne; y habiendo enviado sus tropas ligeras á Meaux, ^Marmont rezeloso abandonó á Ferte-sous-Jouarre. El mariscal Blucher esta ba en comunicación con e…</t>
  </si>
  <si>
    <t>31</t>
  </si>
  <si>
    <t>…aba ya ocupado por el general conde Wittgenstein , quien había ya observado que el enemigo estaba con algunas fuerzas enfrente de él, entre Charres y Merigni. A b llegada del feld-mariscal Blucher se retiró aquel cuerpo , y esta mañana temprano tomó la dirección de Chandrigny. Apenas habían sido relevados sus puestos por este exército á eso de las ocho de la mañana, quando empezó á atacar el Enemigo. No siendo él objeto inmediato emprender operación al…</t>
  </si>
  <si>
    <t>…Lutzow está en Conautray, y debía avanzar á Farté-Cbampénoís. Tengo la honra &amp;c. Quartel general del exército de Silesia en Drauss St. Basle á 23 de Febrero. = Lawe. 1 t. El feld-mariscal Blucher echo tres puentes de barcas en el Aube es ta mañana, cerca de Baudement, y paso tódo su exército, el qual marchó durante la noche sin ser observado por el enemigo. Esta noche vivaquea en las inmediaciones de este pueblo, y probablemente se volverá mañana haci…</t>
  </si>
  <si>
    <t>…inel. ¿ En consecuencia de estos movimientos el príncipe Schwartzenberg ha mandado que se haga mañana un reconocimiento por toda la caballería de su exército, auxiliada por la del mariscal Blucher. Estos cuerpos se dirigi rán hácia los puntos de Trainel, St. Hilaire' y Nogent. Habiendo llegado á Mery el mariscal Blucher, la caballería de su exér— cito correrá por el camino que cqnduce de aquel pueblo á Nogent. Hoy se ha recibido aviso de que el exércit…</t>
  </si>
  <si>
    <t>…queado el camino real, cayó sobre un parque de artille ría, cogió mas de 300 caballos, 40 artilleros, y los equipages del general Girard.” . No habiéndose tenido noticias del feld-mariscal Blucher desde el 28 de Febrero, fué destacado el general Platow á Sezanne para mantener la co municación con aquel mariscal, y amenazar la retaguardia de Bonaparte. En esta marcha se apoderó el general Platow de Arcis, haciendo prisionera á su guarnición. Han llegado…</t>
  </si>
  <si>
    <t>…nía, exercida por este inhumano usur pador. • ' • í « Si con efecto el príncipe real de Suecia ha llegado ya con todo su exército á las cercanías de Paris, reuniéndose con el teld-mariscal Blucher, no debe dudarse que el fin de Bonaparte está muy cercano. Ya se había asegu rado que con efecto llegó dicho exército; pero es de presumir que solo ha ya sido úna parte de él; pues no pueden menos de tomar los acontecimien tos un giro muy favorable desde el i…</t>
  </si>
  <si>
    <t>…' GRAN BRETAÑA. ' ’ ' ■ - tjr- ' ; . ! . . , 'i i' "Londres 24 de Marzo de 1814. En los dias 7, 8 , 9 y 10 hubo acciones muy sangrientas cerca de Laon entre ei exéreito -del fe id mariscal Blucher y el de Bonaparte,- quien perdió en una de ellas mas de 6© hombres y 50 piezas de artillería. De resultas tuvo'qiie¿ retroeétdér Boñapárte á Soissons, y el mariscal Biucher tomó-po sición en las altaras dé Laonw Entretanto un cuerpo de tropas perteneciente ai…</t>
  </si>
  <si>
    <t>42</t>
  </si>
  <si>
    <t>…de Wurtemberg, que formaba la izquierda, marchó sobre Vincennes; el general RieíLky sobre Belleville; los guardias y las reservas sobre la carretera de Bondy á París,siguiendo el mariscal Blucher la carrete» ra de Sóissons para embestir á -Montmartre. , Todo salió á medida del deseo; el general Rieflfsky se posesionó en per sona de las alturas de Belleville, y sus tropas sobresalieron distinguidamente en sus repetidos ataques. El lugar de Pontin se to…</t>
  </si>
  <si>
    <t>…los siguientes personages : el príncipe Henrique de Prusia, los príncipes de Metternich y ae Wolchousíy, el conde Platpsv, el general Barclay de Tolly, y el lord Cathcart. El feld-mariscal Blucher acompañó desde Boloña á su soberano. Lord Yarmouth, lord C. Bentink y el conde de Rosslyns recibieron á los soberanos y los conduxeron á casa de Mr. Factor. La guardia de honor de SS. MM. se componía de dos regimientos de infantería. El emperador Alexandro, f…</t>
  </si>
  <si>
    <t>…o dé S. James, para su residencia. S. M' los aceptó, aunque solo para tener allí su corte, prefiriendo habitar en el palacio de su ilustre hermana. ? En el mismo día llegó el feld mariscal Blucher en uno de los coches del Príncipe Regente, escoltado por un destacamento de dragones ligeros. Ha biendo sido conocido, siguió á su coche un gentío inmenso ¿le á pie y de á caballo; y asi que entró el feld-mariscal en los patios de Carlton-House, sé agolpó en…</t>
  </si>
  <si>
    <t>…o siempre , los mas distinguidos honores, pues en todas partes en que se presenta con otros príncipes todas las atenciones se fixan en él. Poco rato después llegó á Oxford el feld-mariscal Blucher, y fué viva mente aplaudido. La universidad dio por la tarde un banquete expléndido al Príncipe Regente, al emperador de Rusia y al rey de Prusia. El publico estuvo viéndolos comer desde las galerías de la Rotunda, en que estaban SS. MM. Antes de ayer llegó á…</t>
  </si>
  <si>
    <t>…stre lord con las1 muestras mas expresivas de afecto. Los generales Btucber y Plátow lo abrazaron estrechamente. El sábado último estuvo este ilustre general á visitar al mariscal príncipe Blucher, que lo recibió con la mayor distinción; y habiendo salido juntos á paseo, se fue aumentando tanto el concurso de gentes que en tropel acudían á gozar de su presencia , que ,al cabo se vieron cercados sin poder absolutasmente dar un paso. Se previenen aqui gr…</t>
  </si>
  <si>
    <t>867</t>
  </si>
  <si>
    <t>…á la segunda di visión de sus guardias, y mañana saldrá para Petersburgo. GRAN BRETAÑA. Londres 14 de Julio, El Príncipe Regente dio el 16 del corriente ún convite de despedida al mariscal Blucher. Ya no existen comunicaciones telegráficas entre el almirantazgo y Deal: las que hay entre Plymouth y Portsmouth van á quitarse también. Asciende ya á 1500 guineas (mas de 140© rs. vn.) el producto de una subscripción, que se abrió aqui para socorrer á los pr…</t>
  </si>
  <si>
    <t>…á á Neumunster, sobre el Stachr, ea donde se espera también por momentos un cuerpo de 15© prusianos. Los vecinos de Rostock tratan de erigir un magnífico monumento á la gloria del general Blucher, hijo de esta ciudad. Ya los comerciantes has subscrito para el efecto por una cantidad considerable, y se han distribuido avisos para lo mismo á los habitantes de Mecklemburgo. SABOYA* Niza 20 de Julio. Se asegura que dentro de pocos dias sabremos quates son…</t>
  </si>
  <si>
    <t>Blucher.’</t>
  </si>
  <si>
    <t>…s^del ge neral Blucher. El duque de Tarento reconcentré sus fuerzas: el 14 tenia en Maestrick su quartel general ocupando á Lieja y Chárlemont, y observan do él flanco derecho del general Blucher.’ El i8 tenia su quartel general en Namur. . ' " ’ ; - . • ' - 1 ' -El general Sebastian!, que se hallaba dias pasados en Colonia, ha hecho en varias ocasiones de 500 á 600 prisioneros. , Paso del Rhin par el exército llamado de Silesia , compuesto de prusianos y…</t>
  </si>
  <si>
    <t>Blucherj</t>
  </si>
  <si>
    <t>…ipe Sehwarzenberg ha mandado marchar al momento hacia Tróyetf. Parece que-Bonaparte ha dexado 45® hombresí en la línea deTroyes,y ha marchado con el resto de su exército contra el mariscal Blucherj pero hay motivos de esperar que el mariscal Bhicher puede efectuar su reunión con Winzingerode, Bulow y Woronzow. ¡ El cuerpo de St. Priest había llegado á Vitry: el general St. Jago debía leudársele, en Joinviile. ... El general Frimoné atacó el día i.° á la…</t>
  </si>
  <si>
    <t>Blúchet</t>
  </si>
  <si>
    <t>…rede tenia sti quartei general en Colmar. El príncipe de Sthwártzehrberg marchaba desde Altkirchen sobre Mom-belliant. La plaza’ de Befort estaba observada por un destacamento. El general Blúchet había pasado él Rhin y ocupaba á Coblenza. El cuerpo ruso del general Lángéron estaba delante de Maguncia. El general Sacken en Openhéim , donde tomó seis caño'nes y,feo prisioneros. Ei general ruso St. Priest pasó el Rhin por mas abaxo de Maguncia. Ninguno d…</t>
  </si>
  <si>
    <t>Blueher</t>
  </si>
  <si>
    <t>…res entre muertos, heridos y prisioneros; y la del enemigo dicen que es mayor, por haber estado expuesto al terrible fuego de la artiHería, en que Blucher le era superior. El feld-mariscal Blueher se retiró después á Chalons ¿ donde se le reunie ron el 16 los generales Sachen y York. Parte del cuerpo del general Winzingerode había tomado por asalto á Soissons (18 leguas de París) , cogien do á dos generales con cerca de 3© hombres. El general Winzinger…</t>
  </si>
  <si>
    <t>Bluoher</t>
  </si>
  <si>
    <t>…facilita-el paso del Oise, y proporcionará bastimentos. Los exércitos de Silesia y de Winzingerode Se reunieron el 3 de este mes en Soissons con el cuerpo del general Bulow; y el mariscal Bluoher, que ha tomado el mando de estos exércitos reunidos, se halla ya en estado de volver á tomar vigorosamente la ofensiva. FRANCIA. San Juan de Luz 23 de Marzo. Tenemos noticias del interior que anuncian una gran batalla cerca de Soissons. El boletín dice: ,, El…</t>
  </si>
  <si>
    <t>Bo</t>
  </si>
  <si>
    <t>Gaceta de Madrid n.º 120 (extraordinaria)</t>
  </si>
  <si>
    <t>…-Rico y la Havana, recibidas en Cádiz el ífi de Agosto, y traídas por el bergantín español la Virgen, su capitán Hiuie'! que ha llegado en 40 (has del primer punto, se sabe que el comandante Bo yes tomo a Caracas el 6 de Julio, y que ha reconocido al Rey toda la nroymcia. Asimismo trae not.cias de la buena disposición del pueblo de V ;1 de Cuba, y de estar para salir de la Havana la fragata Venganza coa cau dales para esta, a la qual seguirá prontam…</t>
  </si>
  <si>
    <t>Bobadilla, Antonio</t>
  </si>
  <si>
    <t>Antonio Bobadilla</t>
  </si>
  <si>
    <t>…ieso, calle de las Carretas, y en la de Ranz, calle de la Cruz. Manifiesto que en contestación al aviso importante á los albéyfares, impreso en Madrid en 24 le Octubre de 1813 por D. Antonio Bobadilla , ofrece al público D. Scg íamundo cVÍálats. Se hallará en la librería de Matute, calle de las Carretas. l\jLíXXy^Á.U rj ' nPTjj EN . LA IMPRENTA, NACIONAL.</t>
  </si>
  <si>
    <t>10J2 admitidos en las aulas , y los que deseen entrar de alumnos internos en e\ colegio se presentarán por sí o su apoderado al profesor de anatomía Don Antonio Bobadilla, que Ies enterará de lo que se requiere para ser admiti dos, siendo el principal requisito que sepan herrar á la española, prefirién dose á los que ademas tengan principios de latinidad, 6 sean hijos de maes tro. Lo que se avisa al publico de orden dei señor…</t>
  </si>
  <si>
    <t>Bobadilla, Fernando Manuel de</t>
  </si>
  <si>
    <t>Fernando Manuel de Bobadilla</t>
  </si>
  <si>
    <t>Gaceta de Madrid n.º 148</t>
  </si>
  <si>
    <t>…l Sr. D. José María Tirado, teniente tercero de Asistente de la ciudad de Sevilla, alcalde mayor por S. M. de la misma, dictada en los autos concurso de acreedores á ios bienes de D. Fernando Manuel de Bobadilla, vecino jque fue de ella4 6e manda citar á sus acreedores., señalando el término de dos me ses á los existentes en el reyno, y seis á los de ultramar, para que en dicho térmi no parezcan ante el referido Señor y por la presencia del infrascrito escribano á le…</t>
  </si>
  <si>
    <t>Boch, Juan Pedro Buenaventura Dutreux</t>
  </si>
  <si>
    <t>Juan Pedro Buenaventura Dutreux Boch</t>
  </si>
  <si>
    <t>…por defender la causa de su Rey é independencia de la Nación ; en su con secuencia se ha servido agraciar con la cruz supernumeraria de la Real y distinguida orden de Cários tu al Sr. Juan Pedro Buenaventura Dutreux Boch, gran burgomaestre de la fortaleza y cantón de Luxémburgo, y al capitán de Clacy , comandante del depósito de prisioneros de Soissons; al primero por los actos de caridad de toda especie que ha exercido con los prisioneros de los regimientos de Guadalaxara y…</t>
  </si>
  <si>
    <t>Bois-Savary, Chauvin de</t>
  </si>
  <si>
    <t>Chauvin de Bois-Savary</t>
  </si>
  <si>
    <t>…erido al asta constitucional. El conde Henrique de Montesquiou, vice-presidente. El caballero Bouchet, ídem. El caballero Félix Faulcon, ídem. El barón Boidi de Ardizoni, ídem. El caballero Chauvin de Bois-Savary , Laborde, secretario. Estanislao Baure, ídem. Aber, Barrot, Bassenge (L), Blanqjuart de Bailleul, Botta, BruysCharly-Caze de la Bove, Cazenave, Cavagnary, Challan ( le Chevalier) Chappuis, Charles (du Luz) Chatenay Lanty, Cherrier, Chirat, Clemenr, Colchen,…</t>
  </si>
  <si>
    <t>Bolaños, José de Navia y</t>
  </si>
  <si>
    <t>José de Navia y Bolaños</t>
  </si>
  <si>
    <t>…llecimiento de D. Juan Antonio In— guanzo, y renuncia de D. Pedro María Ric, á D. Francisco Marín y Sán chez. Para la regencia de ia audiencia de Galicia, vacante por promoción de D. José de Navia y Bolaños á la de la extinguida audiencia de Madrid, á D Manuel de León Santos de San Pedro. Y para la de Canarias, vacante por traslación de D. Manuel de Ondarza á la de Sevilla, á D. Tadeo Ma nuel Delgado. De&lt;de principio hasta mediado de Setiembre próximo venidero s…</t>
  </si>
  <si>
    <t>Bolaños, José Navia</t>
  </si>
  <si>
    <t>José Navia Bolaños</t>
  </si>
  <si>
    <t>Gaceta de Madrid n.º 72</t>
  </si>
  <si>
    <t>…sencia con oíador.a de su Rey y de los de sus augustos Hermano y Tio , fué admitida á cumplimentar á. S. M. una dipu tación de la audiencia de Madrid compuesta del regente de ella D. José Navia Bolaños, y de los ministros D. Ramón Satué y D. Francisco Marchámalo, el primero de los quales cumplimentó á S. M. en los términos siguientes: ,,Señor : la audiencia de Madrid , qué como todo buen español suspiraba ansiosamente por ivec á V. M. restablecido en su aug…</t>
  </si>
  <si>
    <t>Bolnois</t>
  </si>
  <si>
    <t>…s salvas de artillería de la plaza se enarboló aquí la bandera y esca rapela blanca. Al día siguiente llegó la esquadra de S. M. Cristianísima Luis xviii , que traía á su bordo al general Bolnois, como comisario del Rey, para verificar la entrega de esta plaza á las potencias aliadas; el qual fue re cibido con todos los honores debidos al carácter con que venia, y á las so bresalientes prendas personales que lo distinguen. Su llegada acabó de com plet…</t>
  </si>
  <si>
    <t>Bonanno</t>
  </si>
  <si>
    <t>…DE AGOSTO DE 1814. ■■fc——■ SICILIA. Palermo 2 de Julio. El secretario de Estado y de Hacienda ha dirigido de orden de S. A. R. el Príncipe heredero, vicario general del reyno, al Sr. Bonanno, príncipe de Valdina, y protonotario del reyno, la carta siguiente: „Excmo. Sr.: habiendo resuelto S. M. volver á tomar las riendas del gobierno para dar á sus amados vasallos los sicilianos una prueba del afecto que les profesa, ha resuelto hacer por sí mism…</t>
  </si>
  <si>
    <t>Bonaparte</t>
  </si>
  <si>
    <t>292</t>
  </si>
  <si>
    <t>…llas inmediaciones. ,, Tengo &amp;c. Champaubert 13 de'Febrero. = Lowe'' (Se continua* rdn.) Idem g de Marzo. Se han recibido en esta capital los siguientes boletines, con los que pro cura Bonaparte alucinar á los franceses, pintando con falsos colores ia con? ducta de las tropas aliadas, y suponiendo ventajas conseguidas por él en las últimas acciones. París 26 de Febrero. S. M. la emperatriz rey na y regente ha recibido las siguientes noticias de la si…</t>
  </si>
  <si>
    <t>Boner, Salvador</t>
  </si>
  <si>
    <t>Salvador Boner</t>
  </si>
  <si>
    <t>…güádó, D. JosefLacarirera,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continuos desvaios de sus gefes y profesores, que generosa mente…</t>
  </si>
  <si>
    <t>Bonet, Tomasa</t>
  </si>
  <si>
    <t>Tomasa Bonet</t>
  </si>
  <si>
    <t>…e las enseñanzas dos por la señora baronesa de Uxola , y uno por la señora baronesa de Antelia , y los restantes 47 por la sociedad; habiendo cedido la parte pecuniaria del premio Doña Tomasa Bonet, Doña Joaquina Merita, Doña Visitación Cebrian y Doña María Desamparados Artaiejo. Concluida la repartición, el joven premiado D. Antonio Nas-Ji recitó una oda, dando gracias á nombre de todos sus compañeros, y D ñ* Tomasa Bonet dixo otra á nombre de las niña…</t>
  </si>
  <si>
    <t>Bonifa</t>
  </si>
  <si>
    <t>…garte, ex-rector, catedrático de cánones y penitenciario de aquella santa iglesia; del Sr. D. Ramón de Roda, ex-cate— drático y penitenciario de la metropolitana de .Santiago; del Sr. D. Bonifa cio Tosamos , ex-catedrático y iectoral.de Sto. Domingo de la Calzada; del Sr. D. Valentín Zorrilla , ex-catedrático é inquisidor que fué de Santiago, Ír del R&lt; P. M. Fr. Manuel Martínez , catedrático de sagrada teología, de a merced calzada;, y después de ha…</t>
  </si>
  <si>
    <t>Bonilla, Manuel</t>
  </si>
  <si>
    <t>Manuel Bonilla</t>
  </si>
  <si>
    <t>…e bla de la isla de Cuba á los sugetos que á continuación se expresan: con la antigüedad de 30 de Octubre de 1810, á capitán de granaderos á D, Anto nio Bienpica, y de fusileros á D. Manuel Bonilla y D. Francisco Mendieta; á ayudante mayor del segundo batallón á D. Bartolomé Guilloto; á te niente de granaderos á D. José María Cosío y Abellan ; Ídem de fusileros á</t>
  </si>
  <si>
    <t>Borbon, Luís de</t>
  </si>
  <si>
    <t>Luís de Borbon</t>
  </si>
  <si>
    <t>…ertos de los Estados-Unidos para su adjudicación. ( Se continuará.) ESPAÑA. Valencia 7 de Abril de 1814. Anteayer á las doce y quarto de la mañana entro en esta capital el Exorno. Sr. D. Luís de Borbon, cardenal de Scala, presidente de la Re gencia dei Reyno, entre las alegres y afectuosas demostraciones con que to do este fidelísimo vecindario manifestaba el gozo de ver á un ilustre personage, que tan íntimamente pertenece á nuestro suspirado Monarca. El d…</t>
  </si>
  <si>
    <t>Bordes, Josef</t>
  </si>
  <si>
    <t>Josef Bordes</t>
  </si>
  <si>
    <t>…as, D. Josef R omero, D. Magín Ferrer, D. Domingo Agüero, D. Manuel Sil vela, D. Rafael Tenorio, D. Francisco González, D. Josef Barreda , D- Pascual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t>
  </si>
  <si>
    <t>Bores</t>
  </si>
  <si>
    <t>89</t>
  </si>
  <si>
    <t>89 do del mariscal de campo D. Juan Manuel de Cagigal, estaba posesionada de Calabozo, y su vanguardia, á las ordenes del señor Bores, había derrota do completamente á los rebeldes capitaneados por Montilla; habiéndose pa sado á nosotros la cabal ería de este. La derrota ha sido tal, que luego que llego á noticia del intruso gobier no en Valencia, lleno este de furor y venganza, dio la bárb…</t>
  </si>
  <si>
    <t>Borgfcese</t>
  </si>
  <si>
    <t>…eterno Diós&gt; derramara lagrimas de alegría, pDado en París á 30 de Mayo decano 18i4,de nuestro reyitado el 14-” ITALIA. Milán de Julia. Hace pocos dratf qtré pasando' por aqur el príncipe Borgfcese con direc ción a Roma , contó el caso siguiente que acababa de sucede de. Antes de re</t>
  </si>
  <si>
    <t>Borghese</t>
  </si>
  <si>
    <t>…s en su palacio todas'las alhajas, los carruages y 30 caballos de gran valor. El 19 lleg 6 la princesa á Turin, de donde, dospues de detenerse unos pocos momentos con su cuñado el príncipe Borghese, se dirigió á París. GRAN B RE TAÑA." Londres S de AbriL Secretaría de Guerra $ de AbriL »,El general sir Tomas Graham ha remitido al lord Bathurst el extracto de una carta dirigida por el gene ral Adlercreutz al gobernador de los Países-Baxos, fecha en Lieja…</t>
  </si>
  <si>
    <t>…varios hermosos caballos de regalo al mariscal Blucber. Según noticias de Turin de 28 de Abril los habitantes de aquella ciudad acaban de formar una guardia urbana , á la qual el príncipe Borghese ha dado por comandante al marques Víctor Chiesa Roddi , cuya elección ha sido generalmente aprobada. En un periódico de Suiza se lee el artículo siguiente: ,,Sé dice que un príncipe ha dado á conocer á los soberanos aliados su resolución de renunciar la suces…</t>
  </si>
  <si>
    <t>…de Paris. * Pór artículos dé Turín y de Milán consta que asi que en esta última ciudad sé supieran los sucesos de Paris, hubo una sublevación contra las au toridades francesas. El príncipe Borghese se vio-obligado en Tajrin á escon derse----- Se esperaba en aquella capital que pronto volvería al Piamonte el Rey de Cerdeña. Idem t r. Se han recibido ésta mafia na papeles de Paris hasta el 9 del corriente; El senado y el cuerpo legislativo deben congregar…</t>
  </si>
  <si>
    <t>…nmediatamente embargar, y sin noticia ni sentencia del tribunal de Presas, se ha quedado con ellos diciendo: ,,Todos estos efectos me pertenecen, porque los he pagado, y ademas el príncipe Borghese me debe el dote de su muger, porque la ha abandonado.'* ALEMANIA. Ham burgo i6~ de Julio, Un cuerpo de 2 á 3© rusos, que estaba en el ducado de Lauenburgo, se ha trasladado ya á Aliona para acantonarse en el Holstein, en donde se le teunirá otro cuerpo, tambi…</t>
  </si>
  <si>
    <t>Borja, Francisco Xavier de Uriarte y</t>
  </si>
  <si>
    <t>Francisco Xavier de Uriarte y Borja</t>
  </si>
  <si>
    <t>…enientes en ei batallón de milicias urbanas de. la plaza de Alburquerque á D. Bruna del Pilar y D. Manuel María Salvadores. Por dimisión del gefe de esquadra de la armada nacional D. Francisco Xavier de Uriarte y Borja ha quedado vacante la plaza de ministro que ob tenía en el tribunal especial de Guerra y Marina, y se admiten memoriales fen el consejo de Estado por término de 30 dias¿ , La persona á quien .pertenezca jun vale de 300 pesos, número 494696, de la creación de…</t>
  </si>
  <si>
    <t>Borstel</t>
  </si>
  <si>
    <t>…alegría. Se sabe ademas que el general Bulow recibió orden de avanzar al Brabante con todas sus fuerzas, las quales unidas á las tropas r^s?s Senera! BeckendorfF, y al cuerpo del general Borstel, ascendían de 40 á hombres para auxiliar las operaciones en el Rhin; y avanzan do por Altena, Langstraas y baronías de Breda, probablemente intentarán arrojar á los franceses dejas alturas de Wpestevezel, y acometer á Ainbere*. Amsterdatn 10 de Enero. Estamos…</t>
  </si>
  <si>
    <t>…l Tuben rechazó los puestos del enemigo, que es taba atrincherado en la aldea de Merxen en el camino de Ao béres. Al mis mo tiempo arrojaron los cosacos al enemigo de Turnhout: el general Borstel marchó á S. Antonio: el general Oppen á S. Job , y las tropas inglesas á Kapelle. El día 13 se pusieron todas las columnas en marcha para acercarse á Ambéres. El general Tuben , favorecido por una maniobra de los ingleses en su flanco derecho, tomó los atrinc…</t>
  </si>
  <si>
    <t>Botella, Leonardo</t>
  </si>
  <si>
    <t>Leonardo Botella</t>
  </si>
  <si>
    <t>2294</t>
  </si>
  <si>
    <t>…e Diciembre de 1814. El Rey nuestro Señor se ha servido, á consu1ta del Real consejo de las Ordenes, nombrar para las varas de alcalde mayor, de las villas de Fuente del Maestre á D. Leonardo Botella; de U.ciés á D. José Mari s de Eguizabal; de Manzanares á D. Félix González Vizcaíno; de Brozas á Don Agu.tin Lozano; de Ceclavin á D. José Potes y Puig; de Pedro Muñoz á D. León González del Camino y Estefanía; de la Mota del Cuervo á</t>
  </si>
  <si>
    <t>Bouchet</t>
  </si>
  <si>
    <t>…PO LEGISLATIVO. Lista por orden alfabético de los miembros del cuerpo legislativo que se han adherido al asta constitucional. El conde Henrique de Montesquiou, vice-presidente. El caballero Bouchet, ídem. El caballero Félix Faulcon, ídem. El barón Boidi de Ardizoni, ídem. El caballero Chauvin de Bois-Savary , Laborde, secretario. Estanislao Baure, ídem. Aber, Barrot, Bassenge (L), Blanqjuart de Bailleul, Botta, BruysCharly-Caze de la Bove, Cazenave, Cav…</t>
  </si>
  <si>
    <t>Bour</t>
  </si>
  <si>
    <t>…to el enemigo para entrar en Nogent. Todo el día es tuvo repitiendo ataques, y siempre en vano; pues fue vigorosamente recha zado con pérdida de 1500 hombres muertos ó heridos. El general Bour mont había tapiado las calles, arpillado las casas, y tomado todas las dis posiciones para una vigorosa defensa. Este general, que se ha distinguido mucho, fué herido y reemplazado por el cotonel Raviere. El 12 renovó su ataque el enemigo; pero sin ventaja. N…</t>
  </si>
  <si>
    <t>Bourmont</t>
  </si>
  <si>
    <t>…o que varias divisiones del exérci to austríaco habían marchado de Troyes el día 10 para avanzar sobre No gent, hizo que volviese á pasar el Sena su cuerpo de exército, dexando al general Bourmont con 1200 hombres en Nogent para defender el pueblo. „ El 11 se presento el enemigo para entrar en Nogent. Todo el día es tuvo repitiendo ataques, y siempre en vano; pues fue vigorosamente recha zado con pérdida de 1500 hombres muertos ó heridos. El general Bo…</t>
  </si>
  <si>
    <t>Boves</t>
  </si>
  <si>
    <t>…$ de Marzo. •» Por personas fidedignas acabamos de saber que el día 15 del próximo mes pasado se avistaron en las inmediaciones del pueblo de Vitoria los exércitos mandados por el comandante Boves , uno de los vocales de la nueva junta creada en Puerto-Cabello, y el de Bolívar, comandante de los rebeldes de la provincia de Venezuela; y después de una obstinada y temeraria de fensa consiguió el primero destrozar y poner en vergonzosa fuga, á Bolívar con…</t>
  </si>
  <si>
    <t>…noticia dada de'Puerto Cabello sobre su llegada el 23 á esta ultima ciudad. El 26 levantaron los sitiadores el sitio de Puerto-Cabello, abandonando artillería, municiones 8cc. El comandante Boves entró el i.° del actual en aquel punto con 600 hombres, á fin de reconocerle y llevar municiones. No es decible la alegría de aquellos leales defensores, que después de muchos meses de alimentos, escasos y salados y de agua también salada, estañó hin chados c…</t>
  </si>
  <si>
    <t>Boves, José Tomas</t>
  </si>
  <si>
    <t>José Tomas Boves</t>
  </si>
  <si>
    <t>…rechos y privilegios necesa rios para asegurar su prosperidad. ESPAÑA. Puerto-Rico 14 de Julio. En suplemento á la gaceta de ayer se; han publicado aqui los partes si guientes del comandante D. José Tomas Boves al gobernador de PuertoCabello. 1. ° ,, De^de el 18 del corriente estoy atacando á Valencia, la que pien so tomar dentro de muy pocos dias: sus atrincheramientos son grandes; pe ro sin embargo estoy rompiendo casas hasta llegar á ia plaza, sin perjuicio del f…</t>
  </si>
  <si>
    <t>Boyd</t>
  </si>
  <si>
    <t>…eneral Rotrenberg, que contiene las cifcircunstancias del ataque dado contra el cuerpo de obervacion de su mando por usía parte de las fuerzas americanas mandadas por el brigadier general Boyd , que ascendían á 40 hombres, el qual terminó en una completa der rota del enemigo, habiendo dexado en nuestro poder mas de 100 prisione ros y una pieza de campaña. He oido decir que se hallaron en el campo de batalla mas de 100 hombres muertos: su pérdida to…</t>
  </si>
  <si>
    <t>Boye</t>
  </si>
  <si>
    <t>…mará por asalto. La guarnición habia puesto cér ea de la aldea de Ivensloth en posición muy ventajosa una batería de qúatro cañones con 200 infantes: un batallón de la brigada del general Boye se apoderó de ella, persiguió al enemigo baxo el fuego de la fortaleza, é hizo algunos prisioneros. Se hallan dispuestos todos los preparativos para atacar la fortaleza de Fredericsort: las tropas del general Posse estaban á 300 pasos de sus murallas: después…</t>
  </si>
  <si>
    <t>…n por ¿ónvéniente^hbir \ favorecidos por el vien to, y fueron perseguidos largo trpcho pór los hitos. Ef cortyandante de las ■ * ó V , ; ^ r ^cañoneras, quedó muerto. \ r El máyor general Boye, qué thandáflas trópas enfrénte dé *^Ítt¿k&gt;Vad, había dispuesto jque el regimiento de'Kronoberg sé apoderase de JünaT ;tóVcion de terreno qué'hay delante de lar fórraíézá ^róte’gidÓ- d8ltiíft ^Baté^ía' de artillería, gruesa,; pero viendo la guarnición la mani…</t>
  </si>
  <si>
    <t>Boyer</t>
  </si>
  <si>
    <t>…gente ha recibido las siguientes noticias de la situación de los exércitos hasta el 24 de Febrero. El emperador volvió el 22 á las dos de la tarde al pueblo 'kde Mery del Sena. £1 general Boyer atacó en Mery flas reliquias de los cuerpos de los ge nerales .Blucher ,'Sacken y York, que habían pasado el Aube, á fin de re unirse con el exército del príncipe Schwartzenberg en Troyes. El general Boyer atacó al enemigo al paso de carga; le derrotó, y se a…</t>
  </si>
  <si>
    <t>Boys</t>
  </si>
  <si>
    <t>…oticia de las particularidades ó circunstancias de las mencionadas letras que el haber dos de i&lt;5oS&gt; y 150© reales de vellón , libradas por el diputado comisario general ingles el Sr. Boys, á cargo del Sr. D. Diego Duff, de Cádiz, á favor de D. P. Kcan; y mientras pueden inquirir los pormenores de ellas han creidoconveniente anunciarlo al publico, como lo hacen, para evitar qualquiera sorpresa que pudiera causar la negociación ilegítima de esta…</t>
  </si>
  <si>
    <t>Br</t>
  </si>
  <si>
    <t>…6$ hombres, con 12 piezas de artillería; v haci ndo el reconocimiento d- esta posicio &gt; nuestro valeroso general Ross, r.-c bló uaa herida morral. No ob rante e^ta ,desgracia, e: coronel Br .oke, que ie sucedió en el mando, atacó inmediatamente al enemigo, y le ecdó de esra posición, Causándole una pérdida de mas de i3&gt; homares: la nuestra no ha pas id 1 de 250 muertos ó heridos. Al día óguiente. se hallaban apostados ío-j america nos como á mil…</t>
  </si>
  <si>
    <t>Bracamente, Nicolás</t>
  </si>
  <si>
    <t>Nicolás Bracamente</t>
  </si>
  <si>
    <t>…l de Truxiüo, de caballería urbana, el empleo de coronel á D. Juan José Martínez de Pinillos: el de teniente coronel á D. Pedro José Cacho; el de comandante del tercer esquadton á D. Nicolás Bracamente, marques de-Herrera , y el de sargento mayor á D. José López Merino, En el deCumaná, de la propia arma, el empleo de coronel á D. Feli pe Antonio de La-Torre. Y en el de dragones urbanos de Celendin igual empleo de coronel á I&gt;. Mariano de Castro y Tabeada. C…</t>
  </si>
  <si>
    <t>Brandi, Mariano</t>
  </si>
  <si>
    <t>Mariano Brandi</t>
  </si>
  <si>
    <t>…quantos han salido al público, está copia do del busto trabajado por D. José Gines, escultor de cámara, cuyo nombre so lo hace su elogio; dibuxado por D. José Maea, y grabado por D. Mariano Brandi. Estos profesores bien conocidos por su mérito no han perdonado gasto alguno para hacer su obra en lo posible digna del augusto objeto que se han propuesto copiar. Se vende á 4 rs. en negro y á 10 iluminadas de un gusto exquisito en las librerías de Barco, ca…</t>
  </si>
  <si>
    <t>Bravo, Juan de Ace dos</t>
  </si>
  <si>
    <t>Juan de Ace dos Bravo</t>
  </si>
  <si>
    <t>…ción que les ha cabido; pues de lo con trario será imposible satisfacerlos, atendido el crecido número^que hay de ellas. A instancia de uno de los acreedores á la testamentaría de D. Juan de Ace dos Bravo, vecino y agente de negocios que fué en esta corte, y pende ante el Sr. D. Francisco Assin, teniente de corregidor de ella, y escribanía del número de D. Juan Antonio de Urraza, se ha señalado para celebrar junta de todos los interesados el domingo 7 del próx…</t>
  </si>
  <si>
    <t>Bravo, Manuel Roiz de</t>
  </si>
  <si>
    <t>Manuel Roiz de Bravo</t>
  </si>
  <si>
    <t>2018</t>
  </si>
  <si>
    <t>…Francisco Venegas, á D. José Morales y Carrero, canónigo de la iglesia catedral de Mondoñedo: para una canoagía de la iglesia catedral de Calahorra , vacante por fallecimiento de D. Manuel Roiz de Bravo, á D. Fernando San Martin: para una ración de la misma iglesia , vacante por muerte de D. Diego Landivar, á D. Juan Bautista de Avendaño y Eloregui: para una canongh de la iglesia catedral de Cádiz, vacante por fallecimiento de D. Antonio Lade ro, á D. Manuel…</t>
  </si>
  <si>
    <t>Bravo, Manuel Ruiz de</t>
  </si>
  <si>
    <t>Manuel Ruiz de Bravo</t>
  </si>
  <si>
    <t>…rancisco Venegas, á D. José Morales y Carrero, canónigo de la iglesia catedral de Mondoñedo ; para una canongía de la iglesia catedral de Cala horra , vacante por fallecimiento de D. Manuel Ruiz de Bravo, á D. Fer nando de San Martin; para una ración de la misma iglesia, vacante por muerte de D. Diego Landivar, á D. Juan Bautista de A vendarlo y Elaregui; para una canongía de la iglesia catedral de Cádiz, vacant-e por falleci miento de D. Antonio Ladero, á D.…</t>
  </si>
  <si>
    <t>Bremont, Nicolás</t>
  </si>
  <si>
    <t>Nicolás Bremont</t>
  </si>
  <si>
    <t>…rer, D. Domingo Agüero, D. Manuel Sil vela, D. Rafael Tenorio, D. Francisco González, D. Josef Barreda , D- Pascual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 único y perentorio les señalo, compar…</t>
  </si>
  <si>
    <t>Bretón, Francisco Alonso y</t>
  </si>
  <si>
    <t>Francisco Alonso y Bretón</t>
  </si>
  <si>
    <t>…ngan algún derecho á una executoria con el correspondiente escudo de armas y árbol genealógico, que años pasados dexaron empeñada en una casa por pequeña cantidad, perteneciente á D. Francisco Alonso y Bretón, hijos y suceso res de este, oriundos de la ciudad de Corella, reyno de Navarra, acudirán á to mar razón á la calle de la Cruz, núm. 13 , quarto segundo, tienda de encerados. Los subscriptores á la historia de la revolución de Francia pueden acudir á reco ger…</t>
  </si>
  <si>
    <t>Briarli, Alexandro</t>
  </si>
  <si>
    <t>Alexandro Briarli</t>
  </si>
  <si>
    <t>…ya conclusión está librado el fomento de la agricultura, comercio, artes y ma rina costanera! . A esta deliciosa esperanza ha dado fundamento la pvoposicicon del ca pitán de navio D. Alexandro Briarli, distinguido, primero por sus méritos en sérricio de la Inglaterra, y luego por los que ha contraído en t 1 de Es paña, en cuya proposición está unido el activo y zeloso D. Gregorio Gon-* zalez Azaola. La primera empfesa que se proponen estos es la del corte…</t>
  </si>
  <si>
    <t>Briart, Antonio</t>
  </si>
  <si>
    <t>Antonio Briart</t>
  </si>
  <si>
    <t>…mas se han distinguido á la vista del cirujano mayor D. Juan Tomas Marín son el consultor D. Antonio de Denláfen, el primer ayudante D. Rafael Genebriera, el segundo habili tado5 D. Antonio Briart ,. y el físico del batallón de marina D. Francisco Cas ero. Los capellanes D. José Miranda y D. Francisco Varela son también dig nos de recomendación por Iá caridad que han empleado en la asistencia es piritual de los heridos. Mis ayudantes de campo los capit…</t>
  </si>
  <si>
    <t>Briceño, Tadeo</t>
  </si>
  <si>
    <t>Tadeo Briceño</t>
  </si>
  <si>
    <t>869</t>
  </si>
  <si>
    <t>…nes se procedió á la adjudicación de premios, y por todo* los votos se adjudicó el primero á D. Sebastian Eugenio Vela, y el segundo á D. Ramón de Dueñas. Se declaró el accessit á D. Tadeo Briceño, á quien se acordó darle certificación que expresase heberse acercado inas á los premiados, y que de D. Agustín Mesonero se hiciese mención honorí fica en la gaceta, por la aplicación que había manifestado en estos cxercicios públicos, dándole también certifi…</t>
  </si>
  <si>
    <t>Brinstiel</t>
  </si>
  <si>
    <t>…ardia una escolta de quatro lanchas inglesas, una com pañía del regimiento de infantería del archiduque Carlos, y una del regi miento de la frontera de Kreutzer, á las órdenes del capitán Brinstiel. Desembarcó esta vanguardia entre el fuerte Volano y Goro, y arrojó del bosque al enemigo. Asi que llegó la reserva , fué la vanguardia en alcan ce de aquel, é hizo prisionera una compañía de veteranos. Antes de Jas ochó había ya desembarcado una parte consid…</t>
  </si>
  <si>
    <t>Brisbaune</t>
  </si>
  <si>
    <t>…eza de puente sobre el del cana!, que está mas in mediato al rio. Pero habiendo hecho sus tropas un esfuerzo para apoderarse de él fi.eroñ rechazadas con alguna «pérdida. El mayor general Brisbaune fué herido, aunque confio no sea de marera queme prive por mucho tiempo de su asistencia; y el teniente coronel Forves, del 45 °, oficial de un mérito sobresaliente , fué desgraciadamente muerto. Establecido de esta m-anera el exército por tres lados de T o l…</t>
  </si>
  <si>
    <t>Bron, Jorge</t>
  </si>
  <si>
    <t>Jorge Bron</t>
  </si>
  <si>
    <t>…mu*, cho que habían padecido en esta santa lucha, su sumisión y patriotismo. * . ...... Pasages 2,3 dé diciembre. - &gt; 1 Hoy ha entrado en, este puerto la fragata inglesa Mary , su capitán Jorge Bron, que salió de Tarragona para Alicante, y últimamente de Gi-J braltar, donde estuvo 21 dias, y dió la vela el 28 de noviembre, y el ió de este fue apresada por un bergantín corsario americano de 6 cañones á los 49 grados de latitud y 9 de longitud. El 19 fue r…</t>
  </si>
  <si>
    <t>Brooke</t>
  </si>
  <si>
    <t>…va posición era muv fuerte por la naturaleza y ppr el arte, pareció poderse atacar por el la do del ^orte-y del Oe\te- en donde no estaban acabidas las obra^ de forti ficación. El coronel Brooke quería acometer , sin embargo de que se gradúa-</t>
  </si>
  <si>
    <t>…fondo mas de 20 embarcaciones á la-en trada del puerto, y le era imponible cooperar por agua al buen éxito del at aque quedhteñtaba/contra la ciudad. E,ste contratiempo obligó al coronel Brooke á retí raVse,-haciéndolo muy lentamente, con la esperanza de ver sa lir de sus atrincheramientos á las tropas de Baltimore; pero estas se mantu vieron quietas. AUSTRIA. Virtta rp de Octubre, El 16 del corriente asistieron los Soberanos reunidos aquí á un magn…</t>
  </si>
  <si>
    <t>Broun</t>
  </si>
  <si>
    <t>…de los soldados británicos. Ademas de los oficiales mencionados, se conduxeron valientemente el teniente coronel Cameron, el teniente coronel Hompesch, el mayor Kelir el teniente coronel Broun ; las fuerzas que mandaban atacaron la izquierda y centro del pueblo, arrojando al enemigo de todas sus fuertes posiciones, y tomando á viva fuerza la batería del molino del dique Fernando, mientras el mayor general Taylor con el regimiento 52.0, á las órdene…</t>
  </si>
  <si>
    <t>Broussier</t>
  </si>
  <si>
    <t>…a cárcel han sido ocupa dos por esta guardia que, junto con la compañía de reserva, hará momen táneamente el servicio. FRANCIA. Strasburgo 2 8 de noviembre. El general de división conde Broussier, gobernador de esta ciudad, ha sido igualmente encargado del gobiérno superior del fuerte de Kehl. S. E. el mariscal duque de Bellune con su estado mayor está alojado en el palacio de la merindad. De algunas semanas á esta parte se han aumentado considerablem…</t>
  </si>
  <si>
    <t>Brown</t>
  </si>
  <si>
    <t>…or re paralela /al Adour, teniendo su derecha en el pueblo de Villafranca. El- reghnientoqx&gt;r tugues de i mando del jcoronel Dougías , el re gimiento 9.0 de cazadores que manda el coronel Brown, y .los batallones de infantería ligera británicos de la sext&amp;división, atacaron y tomaron este pue blo y las alturas inmediatas á él. Las lluvias que cayeron entiá noche ante rior y en la mañana del 8 hablan puesto;los.caminos! en tal estado, que el dia se h…</t>
  </si>
  <si>
    <t>2190</t>
  </si>
  <si>
    <t>…bi do en las operaciones menos importantes de la campaña, las victorias gran des conseguidas sobre el rio Canadiano del Niagara por las fuerzas america nas , mandadas por el mayor general Brown y los brigadieres Scott y Gaynes, han coronado, á estos valerosos heroes y á sus briosos compañeros de armas, de laureles que no se marchitarán jamas; y dando una prueba délos progresos que ha hecho el exército americano con respecto á ¡a disciplina, han ense…</t>
  </si>
  <si>
    <t>Bruce</t>
  </si>
  <si>
    <t>…yor csiuerzo, y rechazados por el regimiento 39.0 baxo el mando del honorable coronel O-Caloyan, y perteneciente á la brigada del mayor general Pringie. Este general y el teniente coronel Bruce, dd 39.°, fueron por desgracia heridos,</t>
  </si>
  <si>
    <t>Bruna, José Melendez</t>
  </si>
  <si>
    <t>José Melendez Bruna</t>
  </si>
  <si>
    <t>2076 D. Migue! de Orozco, D. Antón ib Gómez de Barreda, í).; Alonso de Tor res y Guerra, D. Manuel de Posada, y D. José Melendez Bruna. El Rey se ha servido nombrar para la dignidad de deán de la iglesia ca tedral de Cartagena, vacante por fallecimiento de D. Ignacio Ofañez, á Don Blas Ostoíaza, con retención de la capellanía de honor que sirve en la Real capilla; y para la canongía que ha v…</t>
  </si>
  <si>
    <t>Bruna, Luis Meiendez y</t>
  </si>
  <si>
    <t>Luis Meiendez y Bruna</t>
  </si>
  <si>
    <t>…ario del Rey nuestro Señor, lo hice es cribir por su mandado. = El Duque dei Infantado. = D. Nicolás María de Sierra. = D Antonio Alvarez de Cóntreras. = D. Sebastian de Torres. = Don Luis Meiendez y Bruna. =Registrada, Fernando de Iturmendi. =rleniente de Canciller mayor, Fernando de Iturmendi. = Es copia de su original, de que certifico. D, Bartolomé Muñoz,</t>
  </si>
  <si>
    <t>…ario del Rey nuestro Señor, lo hice escribir por su man dador El Duque del Infantado. = D. Andrés Lasauca. = D. Antonio Igna cio de Cortabarría. zs D. Miguel Alfonso Villagomez. = D. Luis Meiendez y Bruna. = Registrada, Fernando de Iturmendi. = Teniente de Canciller mayor, Fernando de Iturmendi. Circular del ministerio de Hacienda. El Rey ha tenido á bien resolver que los Intendentes y Subdelegados perciban la parte de comisos que les corresponde con arreglo á…</t>
  </si>
  <si>
    <t>Bruna, Luis Melendez</t>
  </si>
  <si>
    <t>Luis Melendez Bruna</t>
  </si>
  <si>
    <t>…orga y Cádiz. Sr. D. Nicolás María de Sierra........... Ciudad'Rodrigo, Jaca y Málaga. Sr. D. José Antonio Larrumbide..... Toledo (excepto Madrid) Uclés y . . León en tas Ordenes. Sr. D. Luis Melendez Bruna............ .Sevilla, Sigüenza, Jaén y Pamplona* En atención á los buenos servicios de D. Blas de Ostolaza, capellán de honor y confesor que ha sido de .S. M., ha tenido á bien mandar se le dé alojamiento en palacio, y que se le guarden los honores y demas pr…</t>
  </si>
  <si>
    <t>Bruna, Luis Melendez y</t>
  </si>
  <si>
    <t>Luis Melendez y Bruna</t>
  </si>
  <si>
    <t>…uestro Señor, lo hice escribir por su mandado. = El Duque del In fantado. =D.• S-bistian de Torres. = D. IgnacioCv Martínez___de Villela.__ = Don Antonio Ignacio de Cortabarría. = D. Luis Melendez y Bruna. = Registra da , Fernando de Iturmendi. =sTeniente de Canciller mayor, Femando de Iturmendi. Habiendo tenido el Rey á bien determinar que se restablezcan en la Peninsu'a los regimientos Provinciales, y por consiguiente la Inspección gene ral de Mifi ia&lt;, se h…</t>
  </si>
  <si>
    <t>Madrid á 30 de Julio de iS^.sYO EL REY.srYo D. Juan Ignacio de Ayestarán, Secretario del Rey nuestro Señor, lo hice escribir por su man dado. =El Duque del Infantado. =s D. Luis Melendez y Bruna. = D. Anto nio Ignacio de Cortabarría.sD. Miguel Alfonso Villagomez. D. José Antonio de Larrumbide. = Registrada, Fernando de Iturmendi. = Teniente de Canciller mayor, Fernando de Iturmendi. El Rey ha tenido á bien promover á subtenientes en el Rea! cuerpo de…</t>
  </si>
  <si>
    <t>…del Riey nuestro Señor, lo hice escribir por su mandado. = El Duque del Infantado. = D. Juan Antonio González Carrillo. s= D. Nicolás María de Sierra. = D. Sebastian de Torres. = D. Luis Melendez y Bruna. = Registrada, Fernando de Iturmendi. = Teniente de Canci ller mayor, Fernando de Iturmendi. El Rey nuestro Señor en consideración á los distinguidos servicios y di* latado mérito del mariscal de campo D. Andrés Perez de Herrasti, y para manifestar á este dig…</t>
  </si>
  <si>
    <t>…bre de 1814. = YO EL REY.=Yo D. Juan Ignacio de Ayestarán, Secretario del Rey nuestro Señor, lo hice escribir por su man dado. =El Duque del Infantado. = D. Sebastian de Torres. = D. Luis Melendez y Bruna. = D. Antonio Alvarez de Contreras. = D. Josef Antonio de Larrumbide.= Registrada, Fernando de Iturmendi. = Teniente de Canciller mayor, Fernando de Iturmendi. El Rey se ha servido nombrar para el priorato, dignidad de la iglesia ca tedral de Valladolid, vaca…</t>
  </si>
  <si>
    <t>…ospere á V. M. dilatado» años para felicidad de $11 rey no ' 1 * En el mismo día tuvieron la honra de besar la mano á S. M. y de feli citarle á nombre del colegio mayor de Sevilla D. Luis Melendez y Bruna, ministro del conseja Real ;T&gt;. Francisco 'dé Paula Lobo, arcediano titular de Piasencia , y D! José Mrmhel’Arjonáy alcalde de casa y corte; pronun ciando el primero él discursó'dguieritét ^ ■ . ,, Señor colegio mayor (dé que'fuimos individuos) titulado Sta.…</t>
  </si>
  <si>
    <t>Bttrghersh</t>
  </si>
  <si>
    <t>…e esto han ido refuerzos tan considerables, que bien pronto estará Ambéres enteramente cercada. GRAN BRETAÑA. Londres 26 de Enero. SECRETARÍA. DE NEGOCIOS EXTRANGEROS. Oficios del lord Bttrghersh , y del vizconde Cathcart. i.® Milord: tengo la honra de participar á Y. S. que el general Bubna</t>
  </si>
  <si>
    <t>Bu</t>
  </si>
  <si>
    <t>…general Bulow tuvimos la satisfacción de ver entrar aquí una diputación de los vecinos de Gante compuesta de las perso nas trus prinupales; la qual, después de poner en manos del general Bu low las llaves de la ciudad, le habió en los términos siguientes: ,,General: la libertad de la mayor parte de Europa ha sido el resultado feliz de los esfuerzos hechos por las tropas aliadas; y aunque la gran ciu dad de Gante no haya tenido la buena suerte de…</t>
  </si>
  <si>
    <t>Bu, Manuel de</t>
  </si>
  <si>
    <t>Manuel de Bu</t>
  </si>
  <si>
    <t>…orte: su dotación es de 300 ducados cobrados por la justicia, y pagados por tercios. Los pretendientes acudirán al ayuntamiento de iá misma. Se desea saber el paradero ó suerte de D. Manuel de Bu&amp;tamante., subteniente del regimiento de infantería de Guad.íi áxara, que pasó al Norte; el dél teniente del mismo D. Juan de Mata Sánchez, ó de su muger Doña María Estrella P/ado; el de D. Domingo xMartinez, capitán del batallón de infantería ligera de Campom…</t>
  </si>
  <si>
    <t>Bubna</t>
  </si>
  <si>
    <t>…al mismo tiempo á las' tropas de la confederación suiza que evacuasen sus puestos: el puente de Basiíea fue tomado, y el exército aliado entró en Suiza por diferentes pun tos. El general Bubna tuvo el 20 de Diciembre una conferencia con el coro nel Herrenschwand, comandante de las tropas suizas apostadas desde Basilea hasta LauíFenburgo, y comunicó á este que el exército aliado de 160® hombres entraría en la Suiza en la noche del 20 al 24 por Basil…</t>
  </si>
  <si>
    <t>…tel ge eral del feld-mariscal estaba en Vesoul,y ahora considero tstá para trasladarse á Langres, que tiempo hace fue ocupada por el gene ral Giulay. No tengo noticias ciertas del general Bubna *, pero se dice que pasó de Ginebra á Dola, y que su intención era ocupar á León. Para ahora debe estar ya ocupada Dijon. Se espera que el mariscal Blucher esté al presente en Metz. El general conde Platoíf, sostenido por el príncipe real de Wurtemberg, ha te…</t>
  </si>
  <si>
    <t>…N BRETAÑA. Londres 26 de Enero. SECRETARÍA. DE NEGOCIOS EXTRANGEROS. Oficios del lord Bttrghersh , y del vizconde Cathcart. i.® Milord: tengo la honra de participar á Y. S. que el general Bubna</t>
  </si>
  <si>
    <t>…posible de los ha bitantes de Francia.__ El cuerpo de austríacos que manda el príncipe de Iiesse ha de estar cerca de Besanzon el 9 de este mes, para embestir aque lla plaza___ El general Bubna ha enviado destacamentos á Italia y á los diferentes puntos fuertes de los caminos del Simplón , S. Bernardo y S. Gotardo. También ha enviado partidas hacia León.__ Se ha destacado un cuerpo de 1© cosacos desde Altkirch á Remirmont, Epinal y Nancy. Es tas tro…</t>
  </si>
  <si>
    <t>…ue di á V. E. una idea circunstanciada en mi último ohcio, se trasladó el día 9 á Besanzon la reserva á las órdenes del príncipe de Hesse, y completó el sitio de aquella plaza. El general Bubna estaba destinado 2 avanzar hacia Dole; pero habiendo variado la dirección de su marcha , se ha encaminado hacia León. Desde el último oficio que dirigí á V. E. ha ha bido acciones importantes entre las tropas mandadas por el general Wrede y el príncipe de Wur…</t>
  </si>
  <si>
    <t>…aron algunas piezas de artillería en la ciudad. El general Le-Grand se fe tiró por el camino de León , donde eL mariscal Augereau ha reunido unos 4.® hombres poco, mas ó menos. El general Bubna ocupa gran porción de terreno desde Grenoble por su izquierda, teniendo en Bourg «1 centro, y 'extendiendo su derecha ¡des-* de aquí á las cercanías de Macón. La vanguardia del general Wrede siguió hoy al enemigo en su retirada hasta Les-Granges en el camino…</t>
  </si>
  <si>
    <t>…en Joinviile. ... El general Frimoné atacó el día i.° á la vanguardia enemiga, y la der rotó ¡cerca, de Vandoeuvre, donde puso su quartel general. - r Se han enviado refuerzos? al general Bubna, y el cuerpo del general Bíanchi ha recibido orden de marchar hacia Dijon. r Los plenipotenciarios siguen en Chatillón. ESPAÑA. Jaca jo de Marzo. Parte del mariscal de campo D. Francisco Espoz y Mina al Excmo. Se~ : ñor duque de Ciudad- Rodrigo. „ Excmo. Sr.:…</t>
  </si>
  <si>
    <t>…rtillería anunció su llegada á las puertas de París. Escoltaban á S. M. el lucido cuerpo de coraceros del príncipe Mauricio de Lichrenstein, y le acompañaban su gran chambelán, el conde Bubna, su escudero mayor; el conde Juan dé Traúttmansdorf; los generales barón Duka; Kutschera, primer edecán del conde Manuel Wratisia; el príncipe Luis de Rohan y el príncipe Pablo Ester3zi. Tres destacamentos de las guar dias de los nobles de' Alemania, de Hungr…</t>
  </si>
  <si>
    <t>Bucareli, José</t>
  </si>
  <si>
    <t>José Bucareli</t>
  </si>
  <si>
    <t>…ra. A mariscales de campo á los brigadieres D. Miguel de los Ríos , D. Car los de Gunchi, D. Bartolomé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 D. José de, Aymeri…</t>
  </si>
  <si>
    <t>Buceta, Diego Vázquez</t>
  </si>
  <si>
    <t>Diego Vázquez Buceta</t>
  </si>
  <si>
    <t>…en la misma diócesis: para otra de la catedral de Mondoñedo, vacante por promoción de D. José Morales al arcedianato de Niebla, dignidad de la iglesia metropolitana de Sevilla, á D. Diego Vázquez Buceta, terierte vicario general del departamento del Ferrol: para otra de la iglesia colegial de IrLfLvia , diócesis de S ¡miago, va cante por fallecimiento de D. Ramón Bernardo Pillado 3 á D. Marón Acu ña y Malvar: para el beneficio simple servidero de la parroqui…</t>
  </si>
  <si>
    <t>Buchan</t>
  </si>
  <si>
    <t>…de sa tisfacción en ver la conducta delabrigadade infantería británica; del marido del mariscal de campo Bing, sostenida por la quarta brigada portuguesa, del inando del brigadier general Buchan, que atacó y tomó una altüra impor tante sobre la derecha de nuestra posición, y por mas esfuerzos que hizo el enemigo para retomarla, la conservó. Se le tomaron dos cañones y algunos prisioneros al enemigo, que batido en todas partes coíi una pérdida conside…</t>
  </si>
  <si>
    <t>…ana-, y el dia 3 del corriente arrojó los piquetes de caballería entré los riosjoyeuse y Eidousse, atacando ademas el puesto que ocupaba la brigada portuguesa, del mando del mayor general Buchan , sebre el Joyeuse, cerca de la Bastida, y tos de la tercera división en Bouloc. Doblaron después la derecha de la brigada del general Buchan por la altura llamada la Crista, y obligándole á retirarse, establecieron dos divisiones de infantería en las alturas…</t>
  </si>
  <si>
    <t>Buenaventura</t>
  </si>
  <si>
    <t>…ncia , vacante por muerte de D. Vicente Lloret, á D. Fran cisco Guinierá, canónigo de ia catedral de Segorve. El Rey se ha servido conceder los honores de intendente de exércíto á D. Buenaventura y D. Juan Jo&lt;é Marcó del Pont, que tenían los de pro vincia, en atención á los interesantes servicios que han hecho con el estableci miento de la fábrica de fusiles en Pontevedra. S. M. ha concedido honores del tribunal de la Rota de la Nunciatura Apostólica á D. Gregorio…</t>
  </si>
  <si>
    <t>Buendia, Juan</t>
  </si>
  <si>
    <t>Juan Buendia</t>
  </si>
  <si>
    <t>…agones de Almarisa graduado.de teniente coronel D. Ra món Sentmanat. En" el de dragones de Buenos-Ayres alférez á D. Toma» Aspiazu. En la compañía de dragones de Yucatán capitán á D. Juan Buendia, teniente á D. Francisco Flota, y subteniente á D. José Julián Quixano. En el piquete de dragones del Cuzco, vireynato dél Perú, teniente co mandante á D. José Ruiz, En la partida de Asamblea de la villa de Char-</t>
  </si>
  <si>
    <t>Bueno, José</t>
  </si>
  <si>
    <t>José Bueno</t>
  </si>
  <si>
    <t>…isco Allomó de Tuero, Don José Manuel Arjona, D. Andrés Oller, D. Alexandro Dolarea y D. Tadeo Soler y Cases, y fiscal á D. Mateo Zendoquiz. La persona que supiere del paradero de D. José Bueno, cirujano mayor de exército, se servirá avisarlo en esta corte en la calle de Santiago, casa núm. 10, quarto segundo, en donde darán rázon de un hijo que dexó este en ama durante el segundó .sitio de Zaragoza. Memorias para la vida defsanto Rey D. Fernando, d…</t>
  </si>
  <si>
    <t>Buenrostro, Francisco</t>
  </si>
  <si>
    <t>Francisco Buenrostro</t>
  </si>
  <si>
    <t>…a de Valdivia sargento mayor á D. Lucas Ambrosio de Molina; capitanes á D. Diego Adriarola y D. Esteban de Albarracin; te nientes á D. Antonio Adriasola, D. Juan de Dios González, D. Francisco Buenrostro, D. Rafael Barril y D. Manuel de Lorca ; subtenientes á Don Santiago Asen jo, D. Domingo Ulloa y D. José Justo Flores y D.-Anselmo Carabantes, y subtenientes de bandera á D. Juan Francisco Echeneguí y D. Miguel, Lara. En el de Voluntarios de Madrid , existent…</t>
  </si>
  <si>
    <t>Buenrostro, Juan Mateo</t>
  </si>
  <si>
    <t>Juan Mateo Buenrostro</t>
  </si>
  <si>
    <t>…irtiendo puede hallarse el legíti mo interesado á dicho documento en los pueblos de Madrid, Cogolludo, Ita, Torrejoncillo del Rey ú otros inmediatos. Se desea saber el paradero de D. Juan Mateo Buenrostro, presbítero, residente en la ciudad de Murcia, ó de alguno de sus herederos, para comunicarles asuntos de intereses. Si alguno tuviese alguna noticia de ellos se servirá comunicarla á los Srcs. Bringas y Pereda, del comercio de Madrid , calle de las Postas. L…</t>
  </si>
  <si>
    <t>Buesa, José</t>
  </si>
  <si>
    <t>José Buesa</t>
  </si>
  <si>
    <t>…se hallaban en ayunas, pues no habían comido mas que á media libra de pan y muy poca carne en el dia anterior al del ataque. En este me ha merecido el mejor concepto de soldado el teniente D. José Buesa, no solo por lo bien y opor tunamente que dirigió las fuerzas de su mando, sino también por las demas prendas que le distinguen, y V. S. no ignora. También el subteniente de la segunda compañía D. Agustín Torres cumplió con su deber, y se distinguió sobre man…</t>
  </si>
  <si>
    <t>Buffon</t>
  </si>
  <si>
    <t>…serien el mediodía de la Francia un objeto de comercio y de utilidad para las artes. Se va á publicar aquí una nueva edición de las obras del célebre natura-, lista de Francia el conde Buffon , que constará de 3 5 tomos. Esta edición, que irá adornada con mas de 1® estampas y varias adiciones, y en la que los animales se distribuirán con arreglo al sistema de familias, se anuncia co mo la mas completa de quantas se han hecho hasta deahora. Para qu…</t>
  </si>
  <si>
    <t>Buínez, Santiago Fernandez de</t>
  </si>
  <si>
    <t>Santiago Fernandez de Buínez</t>
  </si>
  <si>
    <t>…gía de la iglesia catedral de Tarazona, por muerte de D. Gregorio López de Castro, á D. Policarpo Romea ; para uní ración de la catedral de Sigíienza, vacante por fallecimiento de D. Santiago Fernandez de Buínez, á D. Alexandro Bernardo Beltran , medio racionero de la misma iglesia; para el beneficio simple de S. Pedro de Huete, vacante por haber contraido matrimonio D. Miguel Truxillo , y una prestamera de la iglesia parroquial de Montaívo, ambos en la diócesis de C…</t>
  </si>
  <si>
    <t>Buiow</t>
  </si>
  <si>
    <t>…Phfuí; y se espera por momentos al general Benkendorf.__ Aquellos dos genera les, lord Clancarty, el general Tavlor, ei teniente coronel Barclay, ios ofi ciales que acompañaron ai general Buiow, y varios caballeros dinamarque</t>
  </si>
  <si>
    <t>Buíow</t>
  </si>
  <si>
    <t>…•. - '*'t (j N.i B R. :E T .A &gt;NbA¿ • * . - * v*.-*-Londres $ de Febrero. SECRETARÍA DE ' GUERRA. Ofi io del general Graham al conde Bathurst. Milord: híábiéndoand hecho saber el general Buíow, comandante en gefé deltercerCcuerpadél exército prusiano, que en la mañana del n de este mes se proponía arrojaratl;enemigo de Hoogstrateu y Wortel en el.Merk, para hacer un reconocimiento hacia Ambéres, deseaba que cubriese yo el flanco derecha de su cuerpo…</t>
  </si>
  <si>
    <t>…. Poco después llegaron 5© prusianos mas que ve nían de Brujís y sus inmediaciones, y continuaron su marcha al dia si guiente por la-mañana, dirigiéndose al otro lado del Mosa. El general Buiow salió ayer de aqui. La quarta y última columna de la guarnición francesa de Hamburgo, compuesta de 3© hombres, y entre ellos iico coraceros y 400 gendarmas es cogidos , pasó el yiernes por esta ciudad dirigiéndose á Francia. GRAN BRETAÑA. Londres $ de Julio.…</t>
  </si>
  <si>
    <t>Bulo'v</t>
  </si>
  <si>
    <t>…l príncipe de Orangc, que se di rigen al quartel general. Se presume que el enemigo ha vuelto á ocupar la posición que antes tenia en Breskout cerca de Ambéres, y se espera que el general Bulo'v le atacará imnediaumeiv e. Ayer y li y ha pasado un gran número de tropas con dirección al exército. En este momento ha llegado-ia, neticia de que lo* franceses han evado a-</t>
  </si>
  <si>
    <t>Bulotv</t>
  </si>
  <si>
    <t>20 j O PRUSIA. Berlín j£ de Setiembre. El capitán Bulotv, hermano del ministro de Hacienda, ha salido de aquí con el objeto de ir á visitar el ducado de Berg y el gobierno general del Bixo-Rin. También va encargado de examinar el estado de las manufactu ras y fábricas de aquel ducado, como igualmente las de Aquisgr…</t>
  </si>
  <si>
    <t>Bulow</t>
  </si>
  <si>
    <t>…El Príncipe Real de Suecia, con 49® rusos, prusianos y suecos, había salido de B remen con dirección á Holanda. El. cuerpo del general Winzingerode había entrado ya en Holanda. El general Bulow estaba entre Munster y Arnhein. El cuerpo del general Bennigsen, y el general \Valmoden con los hanlioverianos, y el general Adlerkreuth con los suecos marchaban á Hamburgo contra Davoust y los dinamarqueses. Las cartas de Altona del 20 dicen que el Príncipe;…</t>
  </si>
  <si>
    <t>…Boitzemburgo con el estado mayor y la primera brigada: las demas se Jiallan en estas inmediaciones.. El cuerpo de Lutzow ha pasado el Eiba con el exército sueco. La vanguardia del general Bulow, mandada por el general Oppen, ha hecho movimiento hacia el Issel, y ha permanecido en Doesburgo des de el 23. El general Bulow con el resto de su exército está en las orillas del Rhin y en las fronteras de Plolanda. En el ataque de Doesburgo fue destruida un…</t>
  </si>
  <si>
    <t>…tos de crueldad y opresión que han sufrido de los franceses éstos desdichados', los quales se regocijan de que sus hijos sean prisioneros por los ingleses &lt;5 por Jos aliados. ,.E1 general Bulow pasó ayer aqui con parte de su estado mayor des de Utrech, donde tiene su quartel general: también vino el general Phfuí; y se espera por momentos al general Benkendorf.__ Aquellos dos genera les, lord Clancarty, el general Tavlor, ei teniente coronel Barclay…</t>
  </si>
  <si>
    <t>…, le habrían proporcionado uu exército de 90© hombres de tropas disciplinadas. Id. m 24. BOLETIN DE S. A. R. EL PRINCIPE BERNADOTTE. Quartel general de Litbeck 6~ de diciembre. El general Bulow con .sus tropas ha tomado por asalto la fortaleza de Arnheim, que es de la mayor importancia para la defensa de Holanda: tenia 4© hombres de guarnición, y las obras se hallaban en muy buen estado. En esta ocasión los prusianos han dado uña nueva prueba de la…</t>
  </si>
  <si>
    <t>…prin cipiado el sitio de Huninga.__ El gobierno ha recibido cartas de sir Tomas Graham, el qual dice que dos batallones enteros de tropas del Brabante se pasaron á la división del general Bulow, quien los envió á Gorcum, en cu ya guarnición hay también dos batallones de brabanzones, y se juzga qut sigan el éxempló dé SUS paisanos. Proclama del príncipe real de Suecia d los habitantes del Holstein. ¡Habitantes del Holstein! El exército aliado del nor…</t>
  </si>
  <si>
    <t>Bülow</t>
  </si>
  <si>
    <t>Núm. yr. [5 qoartos.] ig¡c DEL MARTES 8 DE MARZO DE, 1814. i HOLANDA. .Haya *8 de Uñero. • . \ S. A. R. ha recibido lá importante noticia de la toma de Bóis?le*Dfic. El general Bülow, habiendo reforzado considerablemente .las tropas que hace algún tiempo bloqueabaoaquellaí plaza jirla ataco, ai finl^ y el co mandante francés se vid obligado á evacuarla. En esta ocasión los habitantes acometieron á la guarnición francesa ^ y-facilitaron co…</t>
  </si>
  <si>
    <t>…:■! -U Se dispuso lo conveniente para atacarle otra vez el día siguiente ; pero se retiró aquella nochei y tomó posición cerca de Ambéres, situando la .iz quierda en Merxem__ _E1 general Bulow ocupó, con bastantes fuerzas á Braeschat en la tarde del 12. Pasé de Capelle al camino qüe guia.de Berg— op Zonm á Ambéres, con el fin de estar pronto lá operar en ¡el ataque que te dispuso para'ayer. • .■&lt;: :i '• En Gapelle quedó de reserva la división del r…</t>
  </si>
  <si>
    <t>…el 31 de Diciembre con una fuerza de roo© hombres; y el dia si guiente el general Priest entró en Coblentza. Los aliados fueron recibi dos con suma alegría. Se sabe ademas que el general Bulow recibió orden de avanzar al Brabante con todas sus fuerzas, las quales unidas á las tropas r^s?s Senera! BeckendorfF, y al cuerpo del general Borstel, ascendían de 40 á hombres para auxiliar las operaciones en el Rhin; y avanzan do por Altena, Langstraas y ba…</t>
  </si>
  <si>
    <t>…ndado poner en estado de defensa ia plaza de Grave yVenloo, Juíiers y Maestrick. De-de principios de Enero tomó el- enemigo la ofensiva contra la plaza de Brceja á las órdenes del general Bulow, y contra Maguncia, á las^del ge neral Blucher. El duque de Tarento reconcentré sus fuerzas: el 14 tenia en Maestrick su quartel general ocupando á Lieja y Chárlemont, y observan do él flanco derecho del general Blucher.’ El i8 tenia su quartel general en Nam…</t>
  </si>
  <si>
    <t>170</t>
  </si>
  <si>
    <t>…cuerpo de Lutzow acompañará al de Woronzow : la legión anseá tica y el cuerpo de Schill deben formar la retaguardia del exército. De este mod&lt;5 el cuerpo prusiano, mandado por ei .general Bulow, formará la dere cha; los rusos, ai mando de V\ inzir.gerode ? el centro ; los suecos la izquier da, y los saxones compondrán la reserva del centro. FRANCIA. S. Juan de Luz 7 de Febrero. Efectivamente el personage que llegó en el último paquebote, y de quien…</t>
  </si>
  <si>
    <t>Núm. 22. [ f quartos. ] ió; GACETA DE XA REGENCIA DE LAS ESP ANAS *'• ' * ■ * ' ' DEL JUEVES 17 DE FEBRERO DE 1814. HOLANDA. H¿iya 22 de Diciembre de 1S13. El general Bulow na expedido desde su quártel general de Utrecht la siguiente proclama: w .. . , ,• „ Habitantes de 1¿ Flándes: cayó por fin _ lá coíérá del cíelo sobre aquel usurpador, cuya manó'criinii&amp;I destruía las cosas mas sagradas quando en contraba resisténcia á sus s…</t>
  </si>
  <si>
    <t>Num. 23. [ 5 qnartos. ] r73 gEfcágfsaüü ivl GACETA DE LA REGENCIA DE LAS ESPAÑAS DEL SABADO 19 DE FEBRERO DE 1814. HOLANDA. Bredct 12 de Enero. Antes de anoche salió de aquí el general Bulow con la intención de ata car hoy por la mañana al enemigo, que acababa de recibir algunos refuer zos de conscriptos de la última leva, y babia presentado unos 20$ hom bres en nuestras fronteras en una línea de muchas leguas. Todas estas tro pas, asi como las p…</t>
  </si>
  <si>
    <t>…voz de que está cortado un cuerpo de 3® franceses. Continuamente nos están llegando prisioneros liéehos en varias acciones parciales. Idem 18. En la madrugada del día 12 marchó el general Bulow para Braskaat, y con la columna del general Tuben rechazó los puestos del enemigo, que es taba atrincherado en la aldea de Merxen en el camino de Ao béres. Al mis mo tiempo arrojaron los cosacos al enemigo de Turnhout: el general Borstel marchó á S. Antonio:…</t>
  </si>
  <si>
    <t>…e oponer alguna resistencia á los* aliados, pues todo el resto de aquella provincia estaba ya en-su poder. En un artículo de Bteda de 15 de Enero se dice que habia llegado alii el general Bulow el 14 con su estado mayor: que las bombas arrojadas;:á Ambéres habian pegado fuego en varios barrios de; la ciudad; y!que espe raban en el mismo Breda á 15® dinamarqueses y 8® saxcnes. El general Bennigsen, que manda el exército que sitia 2 Hamburgo, publicó…</t>
  </si>
  <si>
    <t>…dé la ciudad; y que también estaba ardiendo la ciudad de Áltona. Ayer llegó al Támesis un buque de Osteode ; á su salida se hallaba en la mayor confusión aquella ciudad; pu-es el general Bulow avanzaba rápi damente en los Países-Baxos. Por dicho buque .se sabe que los aliados en traron en Bruselas el dia i.° de Febrero, y .eLdia^. en Gante; en Brujas</t>
  </si>
  <si>
    <t>…e están en poder de los aliadas, los que han sido recibidos en todas partes con las mayores demostraciones de alegría. Una diputación de Gante Uevó las llaves de aquella ciudad al general Bulow: también está en poder de los aliados la plaza de Mons___ El quartel general de Bulow estaba en Brusélas el 9, y para el mismo tiempo se esperaba que pasase á Aquisgran el príncipe real de Suecia. Idem r$. Mientras siguen adelante las negociaciones de paz, co…</t>
  </si>
  <si>
    <t>…n de Bathurst. Quartel general de Merxen &lt;T de Febrero de 1814¿ Mtlord: desearía po der participar á V.-E. el resultado mas feliz del movimiento contra Ambéres, determinado por el general Bulow para el 2 del corriente; pero la falta de tiempo y de mayores medios han-frustrado las esperanzas que teníamos de un resultado mas satisfactorio. Despíes, de haber superado grandes obstácu los para tomár posición cerca deL-pueblo, el general Bulow recibió ord…</t>
  </si>
  <si>
    <t>…tra artillería cesó ayer al ponerse el sol* (Siguen varias recomenda ciones. ) Luego que esté todo dispuesto retrocederémos á los acantonamientos que lie elegido dé acuerdo con el general Bulow. No puedo menos de expresar mi admiración por el modo con que el ge neral Bulow dispuso el movimiento y sostuvo este ataque^ El enemigo estaba con gran fuerza en los caminos de Beurne y Berchen, pero fué arrojado de allí por los valientes prusianos, aunque no…</t>
  </si>
  <si>
    <t>…o mismo en todos sus puestos en las dos cribas del Escalda inferior, excepto en Fiesinga. Con fecha de 8 de este mes escriben de Brusélas lo siguiente: Antes de ayer llegó aqui el general Bulow con su estado mayor, com puesto de siete oficiales generales. Venia de Leis, cerca de Ambéres, don de le ha reemplazado el príncipe de Saxonia-Weímar, que manda ahora el exército sitiador compuesto de T4S) hombres, con cuya fuerza queda com pletamente cercada…</t>
  </si>
  <si>
    <t>…arne; y habiendo enviado sus tropas ligeras á Meaux, ^Marmont rezeloso abandonó á Ferte-sous-Jouarre. El mariscal Blucher esta ba en comunicación con el general Winzingerode, y el general Bulow avan zaba á reunírsele. El mariscal Mortier se había reunido á Marmont, y sus fuerzas juntas formaban un total de 16 á 20® hombres. Durante estas operaciones, Bonaparte habia intentado forzar las posicio nes del Aube: sus tropas habían ocupado á Bar del Aube,…</t>
  </si>
  <si>
    <t>…nas patrullas hasta Dormans. La misma carta dice que se esperaba en Rheims aquel dia ó el siguiente el cuerpo del general Woronzoflf, y que también se creía que estuviese cerca el general Bulow. La ciudad de Soissons fue ocupada de nuevo por el enemigo, ha biéndola abandonado el general Winzingerode. Tiene ademas el enemigo un? cuerpo en Chateau-Tierry para observar al general Winzingerode. Asimismo el enemigo ocupa á Sezane. El cuerpo prusiano de L…</t>
  </si>
  <si>
    <t>…zo. El cuerpo del mariscal Marmont fué atacado y re chazado el 25 de Febrero. El exército del general Winzingerode se puso en marcha desde Rheims siguiendo la orilla del Aisnet el general Bulow entró én Laon el i.° de este mes, y ocupó á Soissons el 3. La guarnición,francesa de 1400 hombres capituló, y se le ha permitido retirarse a Villers Cotteretsj los prusianos han cogido 20 cañones: 400 guardias nacionales encargadas de defender la ciudad han r…</t>
  </si>
  <si>
    <t>Num. 82. [ 5 quartos. ] 615 GACETA DE MADRID DEL MARTES 7 DE JUNIO DE 1814. PAISES BAXOS. Bruselas 5 de Mayo, El cuerpo del general Bulow en número de 30© hombres, que estaba acantonado en el departamento del Norte, ha empezado ya su marcha para pasar el Rhin.__ En la noche del 3 el príncipe de W corona de Suecia llegó á esta ciudad con una comitiva numerosa: á su regreso de París tuvo en Compi…</t>
  </si>
  <si>
    <t>Búlow</t>
  </si>
  <si>
    <t>…Londres 11 de Junio. Apenas desembarcó en Douvres el rey.de Prusia, nombró príncipe de Wagstadt al mariscal Bíubherj conde de Wurténburg al general York; conde ‘ de DeUterwitz al general Búlow, y príncipe de Hardenberg al barón de ' este íítulo. " El corregidor y áytnitamiéntó dé Douvres presentaron su arenga deíélicitacion al emperador de Rusia, quien contestó en ingles lo siguiente: ¿,Sirt bmbargo, Señores, de qué entiendo vuestro idioma, no esto…</t>
  </si>
  <si>
    <t>Bur</t>
  </si>
  <si>
    <t>…rdida del enemigo y sus consecuencias ulteriores. Tengo la honra &amp;c. =//. Lowe. P* D. Los partes oficiales dicen que se han cogido 60 piezas de artillería. Extracto de un parte de lord Bur&amp;hcrsh fecho en Bar del Sena á 6 de Febrero. Tengo la satisfacción de participar á V. E. que la vanguardia del gene ral D’York. atacó ayer con feliz éxito la retaguardia del mariscal Macdonald cerca de La-Chaussee entre Vitry y Chalons. Los aliados cogieron tr…</t>
  </si>
  <si>
    <t>Burghersh</t>
  </si>
  <si>
    <t>…rtos. ] 207 GACETA DE LA REGENCIA DE LAS ESPAÑAS DEL MARTES 1.° DE MARZO DE 1S14. GRAN BRETAÑA. Londres io de Febrero. SECRETARIA DE NEGOCIOS EXTRANGEROS. Extracto de un oficio de lord Burghersh, su fecha de Vesoul d 14 de Enero iiltimo. En continuación del sistema adoptado por el príncipe de Schtvartzenberg, de que di á V. E. una idea circunstanciada en mi último ohcio, se trasladó el día 9 á Besanzon la reserva á las órdenes del príncipe de Hesse,…</t>
  </si>
  <si>
    <t>…los generales Blucher y Sácken derrotaron á Napoleón, quien se retiró sobre la derecha de París. GR A N BRETAÑ A. Londres 8 de Marzo, SECRETARIA DE NEGOCIOS EXTRANGEROS. Partes de lord Burghersh al vizconde Castlereagh. 1.® Después del ultimo oficio que tuve 4a honra de dirigir á V. E., el</t>
  </si>
  <si>
    <t>…5 quartos.] 34* GACETA DE LA REGENCIA DE LAS ESPAÑAS DEL SABADO 2 DE ABRIL DE 1814. GRAN BRETAÑA. Londres 8 de Marta. SECRETARIA DE NEGOCIOS EXTRANGEROS. ' Concluyen los partes de lord Burghersh. 3.0 Después de la toma de Bar y de. todas las posiciones del enemigo en este lado del Aube, el príncipe Schwartzemberg persiguió ayer á los franceses de la otra parte del rio, y estableció sus puestos avanzados de ca ballería cerca de Magni por la izquierda,…</t>
  </si>
  <si>
    <t>…ENCIA DE LAS ESPANAS DEL MARTES 5 DE ABRIL DE 1*814. GRAN BRETAÑA. Londres 15 de Marzo. SECRETARIA DE NEGOCIOS EXTRANGEROS. Se ha recibido en esta secretaría el siguiente parte de lord Burghersh, su fecha en Troyes 4 de este mes. . Miiord: la ciudad de Troyes está ocupada de nuevo por los aliados. A consecuencia de la derrota que padeció el enemigo, y de la rapidez con que ha sido arojado de todas las posiciones que defendían la entrada de esta ciuda…</t>
  </si>
  <si>
    <t>…o la libertad de comercio por mar y tierra, y la seguri dad política de la Toscana. Idem 6 de Abril. En la secretaría de Negocios extrangeros se ha recibido el siguiente par te dé lord Burghersh. Aíturas de Belleville sobre Parts jo de Marzo d las siete de la tarde. Los exércitos reunidos del príncipe de Schwartzernberg y del mariscal B1 uther pasaron el Marne el 28 y 29 en Triport y Meaux. ' El enemigo se opuso débilmente á este tránsito; pero el 28…</t>
  </si>
  <si>
    <t>Burgkersk</t>
  </si>
  <si>
    <t>…ivisión de las tropas napolitanas .* D’ Etrees y Pepe. Tengo el honor Scc. = Alexandro Macdonald En la secretaría de Negocios extrangeros se han recibida los siguientes oficios de lord Burgkersk. i.° hangreA 18 de Enero.íMikirdí téngoJa mayor satisfacción en escribir áY. E. desde Xangr^&amp; jxdonde, háccípoca se: hallaba una guarnición com puesta de ua ouenpode guardias dé Bdnaparte. Las montañas de Vosges, que forman uno dedos mas fuertes antemurales d…</t>
  </si>
  <si>
    <t>Burgo, Manuel Fernando Ruiz del</t>
  </si>
  <si>
    <t>Manuel Fernando Ruiz del Burgo</t>
  </si>
  <si>
    <t>…cretario con voto; al de igual-clase D. Francisco Vázquez de Mondragon vocal interino hasta el relevo de Apod.¡ca; á D. Francisco García de Espinosa vocal in tendente general, y á D. Manuel Fernando Ruiz del Burgo vocal auditor general. Posteriormente y habiendo hecho (dimisión el Sí. baylfo Fr. D. Antonio Valdés, se dignó el Rey exónerarie enteramente de aquel cargo en consi deración á los motivos que expuso. El 16 último se instaló el Consejo de Almirantazgo; y habie…</t>
  </si>
  <si>
    <t>…al mismo tiempo S. M. que al capitán del mismo regimiento D. Vicente Sánchez se le tenga presente para suS ascensos. En consideración á las circunstancias, méritos y servicios de D. Manuel Fernando Ruiz del Burgo, vocal auditor ¿general del consejo supremo del Almirantazgo, ha venido S. M. en concederle merced de título de Castilla para sí, sus hijos, herederos y sucesores, con la denominación dé conde de Casillas de Velasco. Por Real decreto de 11 del mes; ultimo se…</t>
  </si>
  <si>
    <t>Burgoa, Pedro de</t>
  </si>
  <si>
    <t>Pedro de Burgoa</t>
  </si>
  <si>
    <t>…s. Habiéndose perdido el 28 de Julio próximo pasado entre la villa de Ochandiano y la ciudad de Vitoria, en la provincia de Álava, seis vales reales, endosados aquet mismo día por D. Pedro de Burgoa, vecino de aquella villa, á favor de Don José de Echanove, que lo as de la expresada ciudad de Vitoria, se suolica á ia persona que los hubiese haijado se sirva entregarlos á qualquiera de estos dos fiíge los. Los vales son ltí$ siguientes: dos de 150 pesos,…</t>
  </si>
  <si>
    <t>Burgos, Domingo</t>
  </si>
  <si>
    <t>Domingo Burgos</t>
  </si>
  <si>
    <t>…idades, habiéndose ilu minado en la noche anterior todas las casas de los vecinos. Madtid 2 o de Ju -Á¡ El ?c5 del mes&gt;próx?mQ pasacio fueron admitidos .4 feíletar aí Rey nues tro Sr. D. Domingo Burgos,- presbítero, rector por S. M. de los reales esta blecimientos- unidos inclusa y colegio de la Paz de esta corte, y ÍJ. Alexandro Doiarea , su alcalde de casa y corte, amitos como comisionados por la ciu dad de Tafalía en el reyno de Navarra; de los.quaíes el…</t>
  </si>
  <si>
    <t>Burgos, Miguel de</t>
  </si>
  <si>
    <t>Miguel de Burgos</t>
  </si>
  <si>
    <t>…eí regimiento de Murcia en el aflo de 1808. A la persona que lo supiere se ■ Je suplica se sirva ^visarlo á D. Pedro Ge» beron, racionero de la iglesia catedral de Calahorra, ó á D. Miguel de Burgos, im* presor en esta corte. ' la bbrcría de Castillo, frente 4 las gradas de S» Felipe el Real, se hallan de venta las obras siguientes del Dr.. D. Afigueí Cabanellas, p**édíco de cámara ho norario de S. M-&gt; é inspector general de epidemias de lo# reynos de Va…</t>
  </si>
  <si>
    <t>…eber el paradero de D. Martin Ignacio de Insausti, cadete del regi miento de Murcia, en el qual tomó los cordones el año de 1808: el que lo supiere se servirá avisarlo en Madrid á D. Miguel de Burgos, impresor, y en Calahorra á D. Pedro Nolasco Cabezón, prebendado. Reales exequias de S. M. la reyna de las Dos Sicilias, celebradas en la iglesia de S. F rancisco el Grande de Madrid en 8 de Noviembre de 1814, con asistencia de S. M. y AA, por disposición del…</t>
  </si>
  <si>
    <t>Burr</t>
  </si>
  <si>
    <t>…á 27.857290 libras esterlinas._ Los derechos de aduana, percibidos en el discurso de la semana pasada, compusieron la suma de 5 50© libras esterlinas. Acaba de llegar de París el coronel Burr con pliegos del duque de Wellington para el gobierno. Este coronel está agregado á ia legación inglesa en Francia. El Rey de Holanda ha resuelto fixár su corte en* Bruselas. El día 7 se recibieron aquí periódicos de América ; pero solo alcanzan hasta el 22 de…</t>
  </si>
  <si>
    <t>Buruaga, Julián de</t>
  </si>
  <si>
    <t>Julián de Buruaga</t>
  </si>
  <si>
    <t>…Santan der......................................... ...................... Bueno* Vizcaya.......... Ninguna, Catarrales , al gunas pulmonías nerviosas............ Bueno. Guipúzcoa D. Julián de Buruaga, del comercio de Vitoria, remitió el 16 del corriente por el correo franqueado un pliego á D. Pedro Angel de Zavala, de esta corte, quatro vales de 300 pesos, de la creación de i.° de Enero de 1808, con los núme ros 8809 t j 95675 , 109189 y 112810, y dos de…</t>
  </si>
  <si>
    <t>Bustamante, José Benito Gutiérrez</t>
  </si>
  <si>
    <t>José Benito Gutiérrez Bustamante</t>
  </si>
  <si>
    <t>…Elche á D. Ignacio Sauca; para la de Almazañ á D. Gregorio Bárraycoa; para la de SantULua i d J oaquin Paz Merino; para la de Tabara á D. Manuel Xlmenez , y par ra ia dé Sald ña á D. José Benito Gutiérrez Bustamante. En atención á los distinguidos méritos y servicios del brigadier de los Reales exér itos D. Manuel de Ena, coronel del regimiento de infantería de la, Princesa, ha venido en conferirle S. M. el gobierno militar y político de la. ciudad de Alcañiz, en el reyn…</t>
  </si>
  <si>
    <t>Bustamante, Juan Manuel de La-Puente y</t>
  </si>
  <si>
    <t>Juan Manuel de La-Puente y Bustamante</t>
  </si>
  <si>
    <t>…xo se expresan, los empleos si guientes : En el de Arequipa:, de infantería disciplinada ,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infantería urbana, subtenencias á Don Lúeas Caballero y D. Pedro Guerrero.</t>
  </si>
  <si>
    <t>Bustamante, Nicolás Campero y</t>
  </si>
  <si>
    <t>Nicolás Campero y Bustamante</t>
  </si>
  <si>
    <t>1074</t>
  </si>
  <si>
    <t>…al de buques de guerra es 933. ESPAÑA. Cádiz 14 de Setiembre. Ha entrado la fragata de guerra española la Venganza, su eoitfandante el capitán de igual clase D. Diego Prieto, y M. D. Nicolás Campero y Bustamante, de Veracruz y Havana^ en 51 dias, con 4.200,492 pesos fuertes eo plata y oro acuñado y barras, 64556 dichos idein de la Havana , 847 mar cos plata labrada, y aos baúles ídem sin expresión de peso, también de la Havana; 2408*! arrobas de grana, 22 ídem polvo…</t>
  </si>
  <si>
    <t>Bustamante, O. José Tagle</t>
  </si>
  <si>
    <t>O. José Tagle Bustamante</t>
  </si>
  <si>
    <t>2172 Por providencia del Sr. O. José Tagle Bustamante, teniente gobernador y ase sor del Real sitio de Aranjuez, se cita, llama y emplaza a los que se hallen con derecho á los bienes de D. Francisco de Gordon, vecino que fue y del comercio de dicho sitio, para que en el término de 30 dias, contados desde este an…</t>
  </si>
  <si>
    <t>Bustillo, José Ramón</t>
  </si>
  <si>
    <t>José Ramón Bustillo</t>
  </si>
  <si>
    <t>…co pueblo que representa la presencia de su augusto y deseado Monarca. El dia 16 del corriente felicitaron á S. M. , á nombre de las merindades de Castilla la Vieja, los diputados D. José Ramón Bustillo,. teniente coro nel de los reales exércitos, y caballero del hábito de Calatrava, y el licen ciado D. Tomas de Pereda, vecinos ambos de la villa de Villarcayo, capi tal-de ellas, el primero de los quales hizo un discurso en estos términos: „Con la llegada de…</t>
  </si>
  <si>
    <t>Bustillos, Plácido Gutiérrez de</t>
  </si>
  <si>
    <t>Plácido Gutiérrez de Bustillos</t>
  </si>
  <si>
    <t>liaba el comandante con el alférez de fragata D. Plácido Gutiérrez de Bustillos, el piloto D. José Vico, y el contador tercer piloto D. Juan Perez;? la tripulación corrió á sostenerlo, llevando á su cabeza a! bizarro teniente de navio de transporte D. Vicente Bauza, ayudado del alférez de navio D. Joaquín Vial. El choque fue terrible: mu…</t>
  </si>
  <si>
    <t>Bustos, Josef Martínez de</t>
  </si>
  <si>
    <t>Josef Martínez de Bustos</t>
  </si>
  <si>
    <t>…istros de Capa y Espada■. D. Pantalecn de Beramendi; Conde de Lereua; D. Víctor Rascón .Cor nejo, Contador general de Valores; D. Luis Gacel, Contador general de la D ¡stribucion; D. Josef Martínez de Bustos; D. Felipe de Córdoba; D. Ma nuel Pérez de Lema; D. Ignacio Rodríguez de Ribas; D. Víctor. Soret, Tesorero general; D. Pascual Dávila; Contador general de Millones; Don Francisco López de Aícaraz, y D. Jacobo de Parga y Puga. Fiscales. D. Manuel de Lartiga, y…</t>
  </si>
  <si>
    <t>Butler</t>
  </si>
  <si>
    <t>…Entre las tropas inglesas de tierra , los calabreses lian tenido mas ocasiones de distinguirse. El capitán Ronca, oficial de mu cho valor , fue herido, y le sucedió en el mando el teniente Butler, que ma nifestó mucha actividad. El coronel Róbeitson debía encargarse de la derecha del ataque, si hu biese continuado el sitio. El teniente Rains , de la artillería real, dirigió eí fuego de los morteros con mucha inteligencia y efecto. El capitán ingles dé…</t>
  </si>
  <si>
    <t>B’ulow</t>
  </si>
  <si>
    <t>…á empezar una campaña mas activa en estos países, es necesario indicar la marcha de los diferentes cuerpos que le componen, y la$ miras ulteriores del príncipe real. El cuerpo del general B’ulow, que forma la derecha del exército, está en las inmediaciones de Bruselas, y ha adelantado sus puestos avanzados con dirección: á Moiss. El generaLW inzlngerode, cuyo quartel general está en Nanuir, forma el centro. Este general se ha apoderado ya de las ciud…</t>
  </si>
  <si>
    <t>C, M.</t>
  </si>
  <si>
    <t>M. C</t>
  </si>
  <si>
    <t>…co-canónict» del papel que dió á luz el Solitario católico baxo el título de Juicio histórico-canónico-político de la autoridad de las naciones en los bienes eclesiásticos: por el D. D. M. C., in dividuo del clero español. Se hallará en la librería de Perez, calle de las Carretas. Historia eclesiástica ó siglos del cristianismo, que contiene los dogmas, litur gia, disciplina, concilios, heregías , cismas y lo demas acaecido en la Iglesia des de tu…</t>
  </si>
  <si>
    <t>Ca</t>
  </si>
  <si>
    <t>…yor influencia en los negocios. El emperador Aiexandro dicen que le distingue particular mente. Según se dice, las diferencias que había entre el príncipe T^lleyrand Perigord y el lord Ca tlreagh están enteramente arregladas; con lo qual po drá este ocupare enteramente en las negociaciones que existen entre él y el príncipe Metternich, que según se cree son de suma importancia. Se dice que el elector de Hesse había solicitado el título de Rey…</t>
  </si>
  <si>
    <t>Ca, Alonso</t>
  </si>
  <si>
    <t>Alonso Ca</t>
  </si>
  <si>
    <t>El Rey se ha servido nombrar para el obispado de Málaga , vacante por fallecí mi eiitosdei limo. Sr. D. José Vicente de la Madrid, á D. Alonso Ca ñedo y PVígíi ^dignidad de vicario de coro de la santa iglesia metropolitana de Toléddppsra el de León, que vaco por fallecimiento del limo. Sr. Don Pedro Luis Blanco, á D. Ignacio Ramón de Roda, canónigo pendenciarlo de la santa iglesia metropolitana de Sant…</t>
  </si>
  <si>
    <t>Ca, José</t>
  </si>
  <si>
    <t>José Ca</t>
  </si>
  <si>
    <t>…brero y D. Fernando Velez, capellanes de honor de S. M.; el Dr. D. Andrés Cerezo; los Sres. Dres. D. José Coba y Sai o y D. Francisco Crespo Rascón, del consejo de S. M., y el Dr. D. José Ca— franga, oficial de la secretaría de Gracia y Justicia. Habiendo el Excmo. Sr. duque de S. Carlos presentado la universidad á S. M. y A A., el diputado mas antiguo habló brevemente á S. M. felicitan* dolé en nombre de aquel estudio general por su deseada vuel…</t>
  </si>
  <si>
    <t>…„ Dígnese, pues 5 V. R. M. aceptar este respetuoso homenage de unos vasallos que están prontos á sacrificarlo todo por V. M.” Asimismo fué también admitido á besar la mano á S. M. D. José Ca yetano de Foncerrada, canónigo de México; el qual dixo en nombre de su iglesia: „ Señor: habiendo sido constante la iglesia metropolitana de México, á la qual pertenezco como su canónigo, en pedir con instancia al Todopode roso por la conservación de V. M., y…</t>
  </si>
  <si>
    <t>Ca, José Antonio</t>
  </si>
  <si>
    <t>José Antonio Ca</t>
  </si>
  <si>
    <t>…e el 19 de Diciembre próximo i las 12 de su mañana á las puertas de la audiencia de dicho señor juez. Quien quisiere hacer postura á dicha casa acuda á la escribanía del número de D. José Antonio Ca nosa , que se admitirán las que se hicieren siendo arregladas. Por fallecimiento de D. Miguel.de Maurucza, vecinp que fue de esta corte, líscogió ío's papeles que obraban en su poder su hijo D, Lucas, abogado de los, Reales consejos, que vivia en la misma en…</t>
  </si>
  <si>
    <t>Cá, Josef</t>
  </si>
  <si>
    <t>Josef Cá</t>
  </si>
  <si>
    <t>…i.tez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continuos desvaios de sus gefes y profesores, que generosa mente se emulan en ei cumplimiento ex…</t>
  </si>
  <si>
    <t>Ca, Josef</t>
  </si>
  <si>
    <t>Josef Ca</t>
  </si>
  <si>
    <t>…ador á su posada con el mismo acompañamiento. Una diputación del ayuntamiento constitucional de la ciudad de Segóvía, compuesta de D. Jacinto del Rio , alcalde de segundo voto, de D. Josef Ca savan y D. Manuel Vázquez Araujo, regidores, y del procurador sín dico D. Melchor Andrés, con el apoderado general de la tierra, se presentó el 12 del corriente á felicitar á la Regencia del Reyno por su feliz llegada á esta capital, y tuvo la honra de merece…</t>
  </si>
  <si>
    <t>Cabalen, Manuel</t>
  </si>
  <si>
    <t>Manuel Cabalen</t>
  </si>
  <si>
    <t>…de la Iglesia, combatida por Ja libertad de opiniones ofensivas al altar y al trono, ha venido S. M. en nombrarle para la canongía vacante en la catedral de Sevilla por muerte de D. Manuel Cabalen, con retención del arcedianato de Carmena que obtiene en la misma iglesia. Asimismo sé ha servido S. M. nombrar para una ración de la iglesia catedral de Santander, vacante por fallecimiento de D, Gabriel de la Fuente, á Don Diego de la Pedrosa, cura párroco…</t>
  </si>
  <si>
    <t>Cabaleri, Joaquín</t>
  </si>
  <si>
    <t>Joaquín Cabaleri</t>
  </si>
  <si>
    <t>642</t>
  </si>
  <si>
    <t>…os mas expresivos senti mientos de amor y lealtad á nuestro Soberano. Al fin de la función se sirvió un lucido y abundante refresco en casa del teniente de hermano mayor el se ñor D. Joaquín Cabaleri, ai que asistieron ei limo. Sr. arzobispo coadmi nistrador, y todos los cuerpos eclesiásticos y seculares. Madrid jo de Junio. La solemnidad del dia de ayer se aumentó con la angosta presencia de S. M., que se sirvió asistir á la procesión, acompañado de los…</t>
  </si>
  <si>
    <t>Caballero, Josef Perez</t>
  </si>
  <si>
    <t>Josef Perez Caballero</t>
  </si>
  <si>
    <t>…uría mayor de Cuentas, de que se compondrá el Consejo Supremo de Hacien da y dicho Tribunal de Contaduría mayor en consecuencia del Real De creto de esta fecha. Ministros Togados. D. Josef Perez Caballero; D. Josef de Ibarra ; D. Sancho de Llamas;D. Pedro Nicolás del Aballe; O. Tadeo Segundo Gómez; D. Antonio Al calá Galiano; D. Jayme Aivarez de Mendieta,y D. Juan Antonia Fernan dez de Quesada. Ministros de Capa y Espada■. D. Pantalecn de Beramendi; Conde de L…</t>
  </si>
  <si>
    <t>Caballero, Lúeas</t>
  </si>
  <si>
    <t>Lúeas Caballero</t>
  </si>
  <si>
    <t>…no Espiel , D. Gabriel Sánchez Corbacho, D. Carlos Diez Canseco, D. José Fermín Diez Canse?co y D. Juan Isidro Peña. En el de León de Huanuco, de infantería urbana, subtenencias á Don Lúeas Caballero y D. Pedro Guerrero.</t>
  </si>
  <si>
    <t>Caballero, Mánuel</t>
  </si>
  <si>
    <t>Mánuel Caballero</t>
  </si>
  <si>
    <t>…Joaquín de Velasco, qué desempeñando iguales funciones qué aqueUos;, fué herido en lo mas acalora do de la acoton; tarhbien me acompañaron en toda ella y con el mismo ob— jetó el teniente D. Mánuel Caballero del’Pozo y el subteniente D. Roque JáGmci Valle. Ultimamente se distinguió en esta acción el teniente de bása las de Cantabria D. Vfctór Sierra, que con siete soldados dispersé1 quatrto campa-más enemigas que estaban sostétíiend'b sus guerrillas,-y despüés de…</t>
  </si>
  <si>
    <t>Caballero, Pablo Blanco</t>
  </si>
  <si>
    <t>Pablo Blanco Caballero</t>
  </si>
  <si>
    <t>…onio Del gado: para la de Don Benito á D* Eusebio Lampie: para la de Medellin á •D. Feliciano Centeno: .para Ja de Guadalaxara á D. Estéban Rodríguez Ga llego: para la de Laseca á D. Pablo Blanco Caballero: para el corregi miento de Calahorra á D. Francisco Fabian: para el corregimiento de Es^ ¿epa á D. Manuel Valdes; y para que sirva interinamente el de Jaén á Don Carlos Carabantes, comandante de armas de aquel rey no. También se ha servido nombrar S, M. para…</t>
  </si>
  <si>
    <t>Caballero, Vicente</t>
  </si>
  <si>
    <t>Vicente Caballero</t>
  </si>
  <si>
    <t>…anaderos al de fusileros Don Francisco Ingunza: compañías de fusileros á los tenientes D. Manuel Anto nio de la Mata y D. José Jorge Duran: tenencia de granaderos al de fusi leros D. Vicente Caballero: tenencia de fusileros al subteniente D. José de Meza ; y subtenencias á D. José Viiaurrizaga y D. Santiago Villar. En el de Huanta el empleo de teniente coronel al sargento mayor del propio cuerpo D. Nicolás Terres: compañías de granaderos á los capitanes de…</t>
  </si>
  <si>
    <t>Cabanellas, Afigueí</t>
  </si>
  <si>
    <t>Afigueí Cabanellas</t>
  </si>
  <si>
    <t>…Calahorra, ó á D. Miguel de Burgos, im* presor en esta corte. ' la bbrcría de Castillo, frente 4 las gradas de S» Felipe el Real, se hallan de venta las obras siguientes del Dr.. D. Afigueí Cabanellas, p**édíco de cámara ho norario de S. M-&gt; é inspector general de epidemias de lo# reynos de Valencia jr Mu reía. “Ciencia de la vida; ó íiyeva teoría sobro las causas de su origen, conti. núácíon v'fia: obra muy conforme en jus principales pyntos con la doctri…</t>
  </si>
  <si>
    <t>Cabanellas, Miguel</t>
  </si>
  <si>
    <t>Miguel Cabanellas</t>
  </si>
  <si>
    <t>…a del tribunal de la Rota de la Nun ciatura apostólica, vacante por renuncia que ha hecho D. Joaquín Palacio, auditor decano de dicho tribunal. El Rey ha resuelto que se reponga á D. Miguel Cabanellas en su em pleo de director general de epidemias de los rey nos de Valencia y Mur cia , mandando se publique en la gaceta esta soberana resolución. Los que tengan algún derecho á una executoria con el correspondiente escudo de armas y árbol genealógico, que año…</t>
  </si>
  <si>
    <t>…inteligencia y cumplimiento* El Rey nuestro Señor, enterado de no haber asistido razón para depo ner d.el empleo de inspector general de epidemias del reyno de Valencia y Murcia á D. Miguel Cabanellas, médico honorario de su Real cámara, y que antes bien se había procedido con ligereza en este paso, ha venido en mandar que sea repuesto en el expresado destino con el goce del sueldo de 24® reales que le estaban asignados, y que esta soberana resolución se p…</t>
  </si>
  <si>
    <t>Cabañero, Josefa</t>
  </si>
  <si>
    <t>Josefa Cabañero</t>
  </si>
  <si>
    <t>…llan radicados los autos de abintestado, á deducir su derecho; con apercibimien to que pasado que séa les parará el perjuicio que haya lugar. La persona que supiere el paradero dé Doña Josefa Cabañero, sé servirá avi sarlo i la tienda,.del Toledano, callé de la Montera , donde se dará noticia de utt eclesiástico que. ti^ne-que entregarla unos papeles, que interesan á dicha señora. fe EN LA IMPRENTA NACIONAL.</t>
  </si>
  <si>
    <t>Cabarcas, Juan José</t>
  </si>
  <si>
    <t>Juan José Cabarcas</t>
  </si>
  <si>
    <t>El día 6 felicitaron igualmente á S. M. los diputados por el Istmo de Panamá Dr. D. Juan José Cabarcas, dignidad de maestrescuela de aqué lla catedral, y D. José Joaquín Ortiz y Galvez, oidor de la Real audiencia *de Cataluña; el primero de los quales dixo á S. M.: ,, Señor: los designios de la Providencia, que conduxeron á V. M. al duro cautiverio de Valeneey…</t>
  </si>
  <si>
    <t>Cabello, Francisco</t>
  </si>
  <si>
    <t>Francisco Cabello</t>
  </si>
  <si>
    <t>…o pasado tuvieron el honor de ser admitidos á cumplimentar á S. M. en nombre de la villa de Pinto y su cabildo eclesiás tico el licenciado D. Antonio García Bermejo, cura párroco; D. Francisco Cabello, regidor, y D. Benito Fernandez de Soto, procurador síndico ge nerábale la misma villa; el primero de los quales arengó á S. M. en los tér•ininos siguientes:; ; :............. „ Señor: quando lá villa de Pinto tuvo el honor de presentarse á V. M. al paso por…</t>
  </si>
  <si>
    <t>Cabenellas, Miguel</t>
  </si>
  <si>
    <t>Miguel Cabenellas</t>
  </si>
  <si>
    <t>…embre próximo debe proveerse. En la librería de Castillo, frente á las gradas de S. Felipe el Real , se hallan de venta , entre otras del mismo autor, las obras siguientes del Dr. D. Miguel Cabenellas , médico de cámara honorario de S. M., é inspector general de epidemias de los reynos de Valencia y Murcia.^Identidad entre el cálido innato de Hipó crates, naturaleza de Galeno, principio vital de Stai!, é incitabilidad de B own, en apoyo de la memoria del m…</t>
  </si>
  <si>
    <t>Cabero, Ignacio</t>
  </si>
  <si>
    <t>Ignacio Cabero</t>
  </si>
  <si>
    <t>…ncisco de Torres: empleos de tenientes á los alféreces Don Pedro Cervileon , D. Francisco Castriilon y Taboada, D. José Antonio de la Vega, D. Manuel Vigil, y al teniente agregado D. Ignacio Cabero: empleos de alféreces á los cadetes D. Andrés Truxillo y D, José Pió San tiago; y de portaguiones á los de la propia clase D. José Torres , D. José Alexo de los Ríos, D. Juan Manuel Piñeyro y D. Juan Felipe Negron. En el de milicias urbanas de dragones de Car…</t>
  </si>
  <si>
    <t>Cabero, Vicente</t>
  </si>
  <si>
    <t>Vicente Cabero</t>
  </si>
  <si>
    <t>…nsejo y cámara de Castilla; del Sr. D. Tomas Moyano, ex-catedrático y del propio consejo; del Sr. D. Manuel María de Junco, ex-catedrático. y alcalde que fué de ca sa y corte; del Sr. D. Vicente Cabero, ex-catedrático y oidor de esta real audiencia; del Sr. D. Gabriel Ugarte, ex-rector, catedrático de cánones y penitenciario de aquella santa iglesia; del Sr. D. Ramón de Roda, ex-cate— drático y penitenciario de la metropolitana de .Santiago; del Sr. D. Boni…</t>
  </si>
  <si>
    <t>Cabezón, Pedro Nolasco</t>
  </si>
  <si>
    <t>Pedro Nolasco Cabezón</t>
  </si>
  <si>
    <t>…i, cadete del regi miento de Murcia, en el qual tomó los cordones el año de 1808: el que lo supiere se servirá avisarlo en Madrid á D. Miguel de Burgos, impresor, y en Calahorra á D. Pedro Nolasco Cabezón, prebendado. Reales exequias de S. M. la reyna de las Dos Sicilias, celebradas en la iglesia de S. F rancisco el Grande de Madrid en 8 de Noviembre de 1814, con asistencia de S. M. y AA, por disposición del Excmo. Sr. nuncio de S. S. y del encargado de negoci…</t>
  </si>
  <si>
    <t>Cabrejano, Luis</t>
  </si>
  <si>
    <t>Luis Cabrejano</t>
  </si>
  <si>
    <t>…ntraido matrimonio D. Miguel Truxillo , y una prestamera de la iglesia parroquial de Montaívo, ambos en la diócesis de Cuenca, y la segunda por fallecimiento de D. Juan Tenaxas, á D. Luis Cabrejano. El Rey nuestro Señor se ha dignado admitir con agrado la oferta qué el prior cura párroco de Menjibar D. Cristóbal Carrillo de Albornoz y ,Goro' ha hecho de establecer en aquella villa un hospital provisional , en el que’ sean asistidos á sus expensas los mi…</t>
  </si>
  <si>
    <t>Cabrejas, Juan Antonio</t>
  </si>
  <si>
    <t>Juan Antonio Cabrejas</t>
  </si>
  <si>
    <t>2195</t>
  </si>
  <si>
    <t>…uan Acisclo de Vera y Delgado, arzo bispo de Laodicea, y coadministrador del arzobispado de Sevilla: para una canongía de la santa iglesia’primádl de Toledo,‘vacanté por muerte de Don Juan Antonio Cabrejas, á D. Juán Fernandez de Alfonso Gándara, cape llán de Sres. Reyes nuevos de aquella ciudad: para ei deanato primera silla de la iglesia catedral de Valladólid, vacante per fallecimiento de D. Simón Gómez Gayóse , á D. José García Nieto, canónigo de la misma c…</t>
  </si>
  <si>
    <t>…, que. sé pubiiearon én Ja de“23 ,\se ha servido el Rey d.e nombrar para el deanatoprimera silla de la santa *igle.iy primad 1 de Toledo, que se halla vacante por fallecimiento de D. Juan Antonio Cabrejas, á D. Juan Antonio Tuertes,, canónigo de la misma: para el de la catedral de Cuenca, que lo está por muerte de D* Juan Josef Tenajaá, á D Ramón María de Adurriaga» canó nigo de la derBúrgos: para el de h cátedra! de -Córdoba, vacañite por falle cimiento de D.…</t>
  </si>
  <si>
    <t>Cabrera'</t>
  </si>
  <si>
    <t>…le sia catedral de León..—;i&gt;ypiemento ¿esta, obra, en. que principalmente se manifies tan los yerros y equivocaciones de la pastoral.del obispo de Avila, publicada? en nombre del Sr. Cabrera'. Ünó y otro tomo se vendé en qsta.cort^ en la librería de, Sancha, y el suplemento 'se hallará, también en .Oviedo enría deT heredero de Dotif Sofitos Acero. EN LA IMPRENTA. REAL.</t>
  </si>
  <si>
    <t>Cabrera, Andrés</t>
  </si>
  <si>
    <t>Andrés Cabrera</t>
  </si>
  <si>
    <t>…aga y D. Santiago Villar. En el de Huanta el empleo de teniente coronel al sargento mayor del propio cuerpo D. Nicolás Terres: compañías de granaderos á los capitanes de fusileros D. Andrés Cabrera y D. Manuel Valdivia: compañías de fusi leros á los tenientes D. José Ignacio de Larrasquitu , D. Blas del Pozo, D. Cárlos Morales, D. José Nicolás de Lequona , D. Antonio de Ja Barrea da y D. Manuel Cabrera; y tenencias á los subtenientes D. Manuel Estéban Lason , D. Juan Escoba…</t>
  </si>
  <si>
    <t>Cabrera, Antonio</t>
  </si>
  <si>
    <t>Antonio Cabrera</t>
  </si>
  <si>
    <t>…-iguales vasos bronceados perfu maban á derecha é izquierda el monumento.----Por todo el templo ardían cirios amarillos, y se veian varias lápidas con inscripciones alegóricas. El Sr. D. Antonio Cabrera, canónigo magistral de esta santa iglesia ca tedral, pronunció la oración fúnebre, y el concurso fue tan 'lucido como numeroso.</t>
  </si>
  <si>
    <t>…de plata baxo un pabe llón de terciopelo carmesí con franjas de oro. Gélebfó la misiá de pontifical el limo? S*. obispo de; Albarraciñ , y predicó ePseíñbr canónigo magistral Dr. D. Antonio Cabrera, concluyéndose común-Solemnísimo TV íDeittn á gran de orquesta.. Al lado del evangelio, baxo un bellísimo ddséU ésfaba el’rétra— to del-Rey nuestro Señor, con ím sitial carmesí cubierto de ñores. Asistid</t>
  </si>
  <si>
    <t>Cabrera, Francisco</t>
  </si>
  <si>
    <t>Francisco Cabrera</t>
  </si>
  <si>
    <t>…ardo de Acuña , D. José Marta de Carvajal, el marques de Zayas, D. José María de Alós , D. Felipe de Paz, Príncipe de Anglona, D. Juan Senen de Coimeras, D. Felipe KeatingRoche, y D. Francisco Cabrera. A mariscales de campo á los brigadieres D. Miguel de los Ríos , D. Car los de Gunchi, D. Bartolomé Georget, el barón de la Barre , D. José Fal ques, D. Manuel María Prosterla, D. José Bucareli, D. Nazario de Fguía, I). Raymundo Ferrer, D. Isidoro del Saso, D…</t>
  </si>
  <si>
    <t>Cabrera, Manuel</t>
  </si>
  <si>
    <t>Manuel Cabrera</t>
  </si>
  <si>
    <t>…l Valdivia: compañías de fusi leros á los tenientes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comandante del esquadron de…</t>
  </si>
  <si>
    <t>Cabrera, Ramón</t>
  </si>
  <si>
    <t>Ramón Cabrera</t>
  </si>
  <si>
    <t>…proteger y amparar á aquellos reales establecimientos en alivio de sus fieles y leales dependientes.” El día 24 del mismo la real scademia Española , representada por sü di rector D. Ramón Cabrera, y los académicos el Excmo. Sr. D. Manuel de Lardizabal y Uribe y el Excmo. Sr. marques de Santa Cruz, tuvo también la honra de besar la mano á S. M., y de presentarle una oración impresa felicitándole por el plausible motivo de su regreso al trono.</t>
  </si>
  <si>
    <t>Cabriada, Manuel Rodríguez</t>
  </si>
  <si>
    <t>Manuel Rodríguez Cabriada</t>
  </si>
  <si>
    <t>…den española de Cárlos m. En 20 de Octubre último.se-ha servido S. M. proveer la administración de rentas unidas del partido de Sto. Domingo de la Calzada, provincia de Burgos, en D. Manuel Rodríguez Cabriada, que desempeñó interinamente la de Alcalá de Henares, en consideración á sus méritos y servicios contraí dos antes y después de la revolución. Enterado S. M. del zelo, actividad y acierto .con que D. Pedro García Diego, vocal que fué de la junta superior de l…</t>
  </si>
  <si>
    <t>Cáceres, Agustín de</t>
  </si>
  <si>
    <t>Agustín de Cáceres</t>
  </si>
  <si>
    <t>…ntarse á S. M. y besar su real mano. Este dia tuvo igualmente el honor de cumplimentar á S. M. el limo, ca bildo de la santa iglesia catedral de Segovia por medio de sus diputados D. Agustín de Cáceres, dignidad de chantre, y D. Manuel Ribote, canó nigo doctoral de la misma, quienes tuvieron el honor de besar la mano á S. M. y AA., y arengar á S. M. el primero en estos términos: ,,Señor : el cabildo de la catedral de Segovia, aun en medio de la opresión dé…</t>
  </si>
  <si>
    <t>Cáceres, José Salustiano de</t>
  </si>
  <si>
    <t>José Salustiano de Cáceres</t>
  </si>
  <si>
    <t>…r para la vara primera de Granada á Don Carlos Sofdevilia: para la segunda á D. Felipe Sandovai y Chaves: para que sirva interinamente el juzgado de letras de la ciudad de Larca á D. José Salustiano de Cáceres: para que continúe por ahora en el corregimiento de Lucena á E). Manuel Ortiz de Pinedo: para la vara de alcalde mayor, te niente primero de asistente de la ciudad de Sevilla, á D. Mariano Lafuente y Oquendo: para e! corregimiento de Arévalo á D, Manuel Marti…</t>
  </si>
  <si>
    <t>Cáceres, José Zapata y</t>
  </si>
  <si>
    <t>José Zapata y Cáceres</t>
  </si>
  <si>
    <t>…s. Qu^ndo esto sucedió esuaba lloviendo, la atmósfera estaba algo cargada por E. y O. de nubes claras, y el viento soplaba del E. Madrid 1,° de Agosto. El 2 del mes próximo pasado D. José Zapata y Cáceres, abad de la ▼illa y abadía de Medina del Campo, y el Excmo. Sr, marques de Valverde, conde de Torrejon, tuvieron la honra de felicitar á S. M. y AA. en nombre del cabildo mayor de curas rectores y beneficiados de la citada villa; con cuyo motivó el primero pr…</t>
  </si>
  <si>
    <t>Cáceres, Juan José de</t>
  </si>
  <si>
    <t>Juan José de Cáceres</t>
  </si>
  <si>
    <t>…Dr. D. Cipriano Villota, chantre de ídem-, 200: el Dr. D. Juan Felipe Portu, prebendado de ídem, 25 : el Dr. D. Francisco Pantaleon Uztariz, cura ré'tor del sagrario de ídem, 24: D. Juan José de Cáceres, teniente de ídem, 4: D. Mariano Rodríguez, capellán de coro de idem, 6: el Lie. D. José Manuel del Pino, idem de idem, 2: D. Agustín de la Gala, idem dé idem, 4: el Dr. D. Juan d e Ta Cruz Eurrazquin , cura de Characato, 50: D. Antonio Tamayo, ídem de Sachac…</t>
  </si>
  <si>
    <t>Cácerts, Manuela Zubillaga y</t>
  </si>
  <si>
    <t>Manuela Zubillaga y Cácerts</t>
  </si>
  <si>
    <t>…o de D. Casimiro Antonio Gómez, para averiguar las cantidades á que puedan ser responsables dichos bienes, y proceder en su vista en las diligencias del juicio segur» corresponda. Doña Manuela Zubillaga y Cácerts, soltera, hija de D. Miguel y Doña Bár bara, administrador aquel de rentas, y vecino de ia villa de Sahagun de Campos,</t>
  </si>
  <si>
    <t>Cachapero, Gerónimo</t>
  </si>
  <si>
    <t>Gerónimo Cachapero</t>
  </si>
  <si>
    <t>…Setiembre, señalados con los núms. 145099, 165231, 166201 y 205860; y habiéndose extraviado, se suplica á la persona que tuviese noticia de ellos lo avise en esta corte en casa de D. Gerónimo Cachapero, calle de la Merced, nú mero 2 , quarto principal; ó en Zaragoza en la casa de comercio de los Sres. Ascarraga y Drond^, ó bien en Tarazona á su mismo dueño D. Xavier Hernández ó Fr. Salvador Echarri. Se halla vacante el partido de médico de la villa de Navar…</t>
  </si>
  <si>
    <t>Cacho, José</t>
  </si>
  <si>
    <t>José Cacho</t>
  </si>
  <si>
    <t>Gazeta de la Regencia de las Españas n.º 62 (extraordinaria)</t>
  </si>
  <si>
    <t>…tí.) 44/ GACETA EXTRA O R D I 'ÍSf A R I A DE LA REGENCIA ' ‘ ‘ ^ , i ‘ " • j DEL MARTES 26 DE ABRIL DE 1814. ARTICULO DE OFICIO. El Sr. duque de Ciudad-Rodrigo ha remitido por el capitán D. José Cacho , ayudante de campo del general D. Manuel Freyre, los partes si guientes ; ' ' • ; ’ : \ I.° . ,,Excmo. Sr.: en la tarde del dia 12, como tengo participado á V. E , llegó el coronel Cook de París para informarme de los acontecimientos de aquella ciudad hasta…</t>
  </si>
  <si>
    <t>…o á executar mi orden del 4 de Marzo de retirarse de:Catalu*&gt; ñ.ien consecuencia de haberse disminuido allí las fuerzas del mariscal Such'et. 'Remito* á •WiE.'este t&gt;ficio ,con el capitán D. José Cacho, edecán del general Freyre, qúe pido á V. Eó lo recomiende á lá protección del g. bienio. Dios guarde á V. E. muchosv años. Quartel general de Tolosa á 19 de Abril de 1814. = Excmo. Sr. =s VVeílington ,duque de Ciudad-Ro drigo. — Excmo. Sr. ministro de la Gue…</t>
  </si>
  <si>
    <t>Cacho, Pedro José</t>
  </si>
  <si>
    <t>Pedro José Cacho</t>
  </si>
  <si>
    <t>…rtevidea, D. Martin Mi randa y D. José Gaspar del Campo. En el de Truxiüo, de caballería urbana, el empleo de coronel á D. Juan José Martínez de Pinillos: el de teniente coronel á D. Pedro José Cacho; el de comandante del tercer esquadton á D. Nicolás Bracamente, marques de-Herrera , y el de sargento mayor á D. José López Merino, En el deCumaná, de la propia arma, el empleo de coronel á D. Feli pe Antonio de La-Torre. Y en el de dragones urbanos de Celend…</t>
  </si>
  <si>
    <t>Cafranga, Josef de</t>
  </si>
  <si>
    <t>Josef de Cafranga</t>
  </si>
  <si>
    <t>…ión de procurador general que era de las'qüatro* Órdenes militares, con los honores que le corresponden. En atención á los méritos y servicios de D. Ventura Palacios de Vi^a y .4$ D. Josef de Cafranga, oficiales segundo mayor , y segundo de la se cretaría de Estado y del Despacho de Gracia y Justicia, y á la constante .adhesión que siempre han manifestado á la augusta Persona de S. M., se .ha dignado el Rey agraciarlos- con cruces pensionadas de la Real y…</t>
  </si>
  <si>
    <t>Cagigal</t>
  </si>
  <si>
    <t>…que salió el 22 del pasado de Siqoisiqui, entraría el 27 en Barquisimeto, cuyo punto, S. Carlos y los demas hasta Valencia abandonaron los enemigos el 19. Se avisa asimismo que el Sr. Cagigal, Calzada y Salomen con cerca de 3® hombres de los disper-; sos y divisiones de reserva salió el 14 de cerca de Guanare, punta de su re unión , con dirección á S. Cárlos y Valencia , confirmando esto la noticia dada de'Puerto Cabello sobre su llegada el 23 á e…</t>
  </si>
  <si>
    <t>…ismo destino, la división de Charayave de i® hombres, fuera de los muchos que se les han unido. Sobre Barcelona 2®, al mando de D. Antonio Martínez. Sobre Valencia el exército del Sr. Cagigal de 3®. Otro cuerpo considerable en Barquhimeto al mando del Sr. Ceballos. En S. Fernando de Apure hay una fuerte reserva, y otras divisiones en Barinas. En la batalla de la Puerta ademas de los oficiales muertos en la acción, hizo Boves prisioneros 5 coronele…</t>
  </si>
  <si>
    <t>Cagigal, Francisco</t>
  </si>
  <si>
    <t>Francisco Cagigal</t>
  </si>
  <si>
    <t>…amente autorizados, i efecto de que resuelvan lo que Ies convenga; prevenidos que á los que no concurran les parará el perjuicio que haya lugar. Los herederos de lo* Excmos. Sres. D. Francisco Cagigal y Doña Antonia Monsarrat, su muger, acudirán á la posada de D. Julián Ruiz de Reajal, presbítero, oficial del archivo del supremo consejo de Inquisición, que vive calle de Jacometrezo, núm. 4, quarto segundo, manzana 375, quien les comunicará un derecho que les pertenece. Se halla va…</t>
  </si>
  <si>
    <t>Cagigal, Juan Manuel</t>
  </si>
  <si>
    <t>Juan Manuel Cagigal</t>
  </si>
  <si>
    <t>…ba en el mayor ;apuro de esta munición con los envíos que había hecho al exército; y de ia eñcacia y generosidad de V. S. tengo dado cuenta al capital general el mariscal de campo D. Juan Manuel Cagigal con copia del oficio. Los asuntos militares y políticos de e‘tas provincias están en este dia con el aspecto mas lisonjero, pues después de haber batido el coronel D. José Cevallos, comandante general del exército, al insurgente gefe principal de Oriente Sant…</t>
  </si>
  <si>
    <t>Cagigal, Juan Manuel de</t>
  </si>
  <si>
    <t>Juan Manuel de Cagigal</t>
  </si>
  <si>
    <t>89 do del mariscal de campo D. Juan Manuel de Cagigal, estaba posesionada de Calabozo, y su vanguardia, á las ordenes del señor Bores, había derrota do completamente á los rebeldes capitaneados por Montilla; habiéndose pa sado á nosotros la cabal ería de este. La derrota ha sido tal, que luego que llego á notici…</t>
  </si>
  <si>
    <t>Caiomarde, Tadeo Francisco</t>
  </si>
  <si>
    <t>Tadeo Francisco Caiomarde</t>
  </si>
  <si>
    <t>…felicitar y besar la ma no de S. M. y AA. á nombre del ayuntamiento de la ciudad de Teruel en el reyno de Aragón D. Tadeo Segundo Gómez, ministro del supremo Consejo de Hacienda; D. Tadeo Francisco Caiomarde, oficiil mayor de la secreta ría del Despacho universal de indias;, y D. Francisco Assin, teniente de corregidor de esta villa; el primero de ios quales dixo: „ Señor: restablecido ~él antiguo ayuntamiento de la ciudad de Teruel, á Consecuencia de lo resuelto…</t>
  </si>
  <si>
    <t>Caivo, Lorenzo</t>
  </si>
  <si>
    <t>Lorenzo Caivo</t>
  </si>
  <si>
    <t>…ados ó de sus equipages é intereses, se sirva comunicarlo en Madrid á D. Julián Martínez de Azcoitia, que vive en la Corredera de S. Pablo, ca&amp;a real del Refugio, ó en 'Palencia á D. Lorenzo Caivo de la Cantera su hermano, canónigo de la santa iglesia catedral. En la imprenta de D.ívüa, calle de Barrionuevo, se hallan de venta libros de coro, impresos con toda perfección, que aventajan á los escritos de mano, y en dos distintos tamaños, para que puedan…</t>
  </si>
  <si>
    <t>Cal, Antonio</t>
  </si>
  <si>
    <t>Antonio Cal</t>
  </si>
  <si>
    <t>…segunda de Gobierno. = D. Pedro Aparíci. = Conde de TorreMuzquiz. = D. Ignacio OmulrriannD. Cayetano Urbina. = D. Juan Ro bledo. = D. Francisco Xavier Caro. = D. Josef Aycinena. = D. Antonio Cal derón , Fiscal. = D. Silvestre Collar, Secretario. = Sala tercera de Justician D. Ramón de Posada.s= Di Francisco Josef Viaña. =D. Joaquín Mosque ra, =D. Antonio Salcédon Conde de Vista-Florida. Contador general* que no ha de ser Ministro de la tabla, D- Jose…</t>
  </si>
  <si>
    <t>Calafiat, Carlos</t>
  </si>
  <si>
    <t>Carlos Calafiat</t>
  </si>
  <si>
    <t>…e los generales, gefes y oficiales muertos, heridos, prisioneros y extraviados del quarto exírcito. Muertos. * • , * ■ '■ i D. J uan Sánchez Garrido, teniente del 2.0 de Asturias. D. Carlos Calafiat, capitán del ó.° de Marina. D. Fermín Sollozo, teniente de id. D. Francisco Xavier Pialanzat, teniente coronel de voluntarios.de la Carona, D.*Mapuel José Pii^a, teniente de id. D. Francisco Ajan &gt; subtenienteid., D^Jos# Moreno, ayudante del de Oviedo. D. Ped…</t>
  </si>
  <si>
    <t>Calderón, Eusebio Faxardo</t>
  </si>
  <si>
    <t>Eusebio Faxardo Calderón</t>
  </si>
  <si>
    <t>io93 $. M. en nombre de la 'villa de Salas de los Infantes y su partido sus comi sionados el Dr. D. Eusebio Faxardo Calderón, canónigo magistral de la ca tedral de Sto. Domingo de la Calzada, y presidente que fue de la junta su perior de Burgos, y los vocales de la misma D. Melquíades Ortiz Covarubias y D. Mauricio Domingo de Pedro, curas beneficiados en el arzobispa do de Burgos;…</t>
  </si>
  <si>
    <t>Calderón, Eusebio Perez Faxardo</t>
  </si>
  <si>
    <t>Eusebio Perez Faxardo Calderón</t>
  </si>
  <si>
    <t>…os mas dilatados años para bien de la monarquía, aumento de la religión y felicidad de ios pueblos.’* El mismo dia tuvieron la honra de besar la mano y cumplimentar ¿ $. M. el Dr. D. Eusebio Perez Faxardo Calderón, canónigo magistral de la catedral de Sto. Domingo de la Calzada, y presidente que fué de la jun ta primera de Burgos, D. Melquíades Antonio Ortiz Covarrnbiás y D. Mau ricio Domingo de Pedro, vocales de la misma, y cucas párrocos en aquel arzobispado; el prim…</t>
  </si>
  <si>
    <t>Calderón, Josef Miguel</t>
  </si>
  <si>
    <t>Josef Miguel Calderón</t>
  </si>
  <si>
    <t>121</t>
  </si>
  <si>
    <t>…eno, general del exército del Sur, ha dirigido un parte que le remitió el señor coronel D. Juan Diez, gober nador del fuerte de Perote. Remito á V. S. bien escoltado al presbítero D. Josef Miguel Calderón, á quien el público apellidaba nuevo obispo de Papantla, de la orden de Fran cisco i, Osorno y el Morelos de la Sierra y Huasteca: su prisión ha sido re sulta de una expedición que mandé contra una gavilla de bandidos que se presentó, y se llevó quatro habita…</t>
  </si>
  <si>
    <t>Calderón, Juan Losada y</t>
  </si>
  <si>
    <t>Juan Losada y Calderón</t>
  </si>
  <si>
    <t>…honor de cumplimentar y besar-la mano á S. M. y AA. el colector general de Espolios y vacantes D. To mas Aparicio Santin, deán y canónigo de la iglesia catedral de CiudadRodrigo, D. Juan Losada y Calderón, canónigo fabriquero, D. Vicente Ruiz Albilios, doctoral, y D. José Sánchez del Caso, canónigo , comisiona dos todos por el cabildo de la expresada iglesia; de los quales el primero dixo el discurso siguiente: „ Señor: el cabildo de la santa iglesia catedral…</t>
  </si>
  <si>
    <t>…honor de cumplimentar y besar lá manó á 3. M, y AÁ. ei colector general de Espolios y vacantes 0. To mas Aparicio SantUi, deán y canónigo de la iglesia catedral de CiudadRodrigo, D. Juan Losada y Calderón, canónigo fabriquero, D. Vicente Ruiz Aijbillos, doctoral, y 0. José Sánchez del Caso, canónigo, comisiona0$$'todos por el cabildo de la expresada iglesia; de los quales el primero di vo el discurso siguiente : . ' „ Señor: el cabildo de la santa iglesia cate…</t>
  </si>
  <si>
    <t>Calderón, Lorenzo</t>
  </si>
  <si>
    <t>Lorenzo Calderón</t>
  </si>
  <si>
    <t>…rvido conceder en los regimientos de milicias del vireynato ael Perú, que abaxo se expresan, los empleos si guientes : En el de Arequipa:, de infantería disciplinada ,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
  </si>
  <si>
    <t>Calimaao, Fernando</t>
  </si>
  <si>
    <t>Fernando Calimaao</t>
  </si>
  <si>
    <t>…ntería graduado D. Joaquín Ortiz de Zarate, sargento mayor de brigada del mismo. La Regencia del Reyno ha tenido á bien nombrar ayudante del regi miento provincial dé la Orotaba á D. Fernando Calimaao, teniente del regi miento de infantería de granaderos de Canarias. A consecuencia de lo acordado por las Cortes en las sesiones extraor dinarias de-las noches dei 28 y 30 de Marzo último para que se imprimie sen dos gacetas extraordinarias coii motivo de la l…</t>
  </si>
  <si>
    <t>Calleja, Félix</t>
  </si>
  <si>
    <t>Félix Calleja</t>
  </si>
  <si>
    <t>566</t>
  </si>
  <si>
    <t>…. las noticias que juzgue conducentes. Dios guarde á V. E. muchos años. Vailadolid 28 de Diciembre de 1813. A las once y media de la noche. = Excmo. Sr.zz Ciríaco de Llano. Excmo. Sr. D. Félix Calleja. / Ir unj j de May oí ■La división de) señor Morillo se halla en S. Juan de Luz, Azcain y pue blos inmediatos , donde há . recibido véstuárló. El príncipe de Anglona y •su quartel general permanecen todavía en esta, y el tercer exército sigue acantonado en la…</t>
  </si>
  <si>
    <t>…aenz de ¿anta María, arcediano titular y canónigo de la iglesia catedral de Segó vía. El Rey se ha dignado promoverá tenientes generales de sus exércitos á los mariscales de campo D. Félix Calleja, actual virey de Nueva-España* al conde de Castroterreño, existente eu el mismo vireynato, y D. Gaspar Vigodet, capitán general de las provincias del Rio de la Plata ;á mariscales de campo á los brigadieres D. Joaquín de la Pezuela, general en. gefe del exér-…</t>
  </si>
  <si>
    <t>Calleja, Félix María</t>
  </si>
  <si>
    <t>Félix María Calleja</t>
  </si>
  <si>
    <t>112</t>
  </si>
  <si>
    <t>…riota para su satisfacción. Dios nuestro Señor guarde á V. E. muchos años. Quartel principal de Huejutla y Julio 10 de 1813. = Excmo. 8x. ~ A^xeandró A!virez de (r«ítian. = Excmo. Sr. D. Félix María Calleja, virey, gobernador y capitán general de esta Nueva-España. 79 de Enera de 1814. El señor gobernador de esta ciudad acaba de recibir del señor general en gefe de este primer exército e siguiente ofeio: ,, Los enemigos que cubrían la línea izquierda del Llobreg…</t>
  </si>
  <si>
    <t>…é. Dios nuestro Señor guarde la interesante vida de V* E. muchos años. s; Quartel principal de Huéjütla 8 de Agosto de i8i3.=Excímo. Sv.zzAle^ xanciro Alvarez de Guitian*-ssExcmo. Sr. D. Félix María Calleja, virey, gobernador y capitán general de esta Nueva-España. Cádiz 27 de Eneró de 1814. . : . ■ :i. . Por la fragata de guerra Prueba, que procedente de Montevideo en 58 dias de navegación :ha entrado ;en Málaga r se han recibido noticias de aquel punto hasta 2…</t>
  </si>
  <si>
    <t>…y 50 heridos de diferentes cuerpos. Dios guarde á V. E. muchos años. Valladolid 25 de.Diciembre de 1813. A las ii de la noche. = Excmo. Sr .^Ciríaco de Llano, = Excmo. Sr. v-irey D. Félix María Calleja. ■ • • . :■ Puerto-Rico 2$ de Marzo. •» Por personas fidedignas acabamos de saber que el día 15 del próximo mes pasado se avistaron en las inmediaciones del pueblo de Vitoria los exércitos mandados por el comandante Boves , uno de los vocales de la nueva junt…</t>
  </si>
  <si>
    <t>618</t>
  </si>
  <si>
    <t>…econocimien to de la patria. Dios nuestro Señor guarde á V. E. muchos años. Quartel principal de Huejutla Noviembre 30 de 1813. = Excmo. SrAlexandro Alvarez de Giiitian. = Exento. Sr. D. Félix María Calleja, virey, gobernador y capitán general de esta Nueva-España. El coronel D. Lorenzo de Angulo Guardamino, comandante de las armas de Toluca, ha remitido d este superior gobierno el siguiente parte. Consecuente á las órdenes de V. S. salí de esta ciudad á las och…</t>
  </si>
  <si>
    <t>…erior conocimiento. D ios nuestro Señor guarde á V. E. muchos años. Quartel principal de Huejutla 30 de Noviembre de 18 13. = Excmo. Sr -=z AL xanJro Aívarez de Cüilian.zz Excino. Sr. D. Félix María Calleja, virey, gobernador y capi tán general de Nueva-España. 2.0 Excmo. Sr.: habiendo tenido noticia por el cura deTezontecomatlan que los insurgentes entraron en el pueblo de Sta. María, de aquella'cjqctrina, la comuniqué sin pérdida de instante al comandante de a…</t>
  </si>
  <si>
    <t>…, y me ha parecido no retardar la satisfacción de éste aviso á V. E. Dios guarde á V. E. muchos anos. Chichihualco 4 de Marzo de 1814.= Excmo. Sr. =José Gabriel de Armijo.=Excrno. Sr. D. Félix María Calleja.** r Aguílar del rio Alama 20 de Juni*. Lá llegada dé nuestro amado Monarca al territorio español y sn resti tución al trono de sus mayores excitaron la alegría y alborozo mas extraor dinario en ios habitantes de este pueblo* cuya lealtad, acrisolada en los i…</t>
  </si>
  <si>
    <t>Callejo</t>
  </si>
  <si>
    <t>…de que se sujetase á sus órdenes en caso de citarlo para perseguir á esa gavilla. Asi lo veriñcó este oficial, y con fecha 12 deí que acaba me comunica que habiéndolo destinado el capitán Callejo al punto de Tezcntecomatlan , pasó de este al de Tenamicolla, ha ciendo ocho prisioneros indios, que llevó consigo hasta el citado Sta. María, donde por las voces de la avanzada rebelde solo pudo dar alcance á siete, que aprisionó, y con ellos continuó su mar…</t>
  </si>
  <si>
    <t>Callejo, José Antonio del</t>
  </si>
  <si>
    <t>José Antonio del Callejo</t>
  </si>
  <si>
    <t>…cura deTezontecomatlan que los insurgentes entraron en el pueblo de Sta. María, de aquella'cjqctrina, la comuniqué sin pérdida de instante al comandante de armas de &lt;5Zaeualtipan, capitán D. José Antonio del Callejo, asegurándole podía contar con el destacamento de Xochlcoatlan, á cuyo comandante capitán D. Francisco Solares con la misma fecha pasaba orden de que se sujetase á sus órdenes en caso de citarlo para perseguir á esa gavilla. Asi lo veriñcó este oficial, y con…</t>
  </si>
  <si>
    <t>Calvo, Antonio Hidalgoy</t>
  </si>
  <si>
    <t>Antonio Hidalgoy Calvo</t>
  </si>
  <si>
    <t>…eu ta, ha venido en nombrarle para una radon de la misma iglesia, vacante por remoción de D. Agustín Mendez. El Rey se ha dignado conceder los honores de intendente de provincia á D. Antonio Hidalgoy Calvo, administrador general y subdelegado de las salinas de ia Mata y Torrevieja, en consideración á.los distinguidos méritos y servicios contraídos en los 42 años que lleva de empleado en Real hacienda. El coronel D. Cristóbal Miró, comandante de las partidas des…</t>
  </si>
  <si>
    <t>Calvo, Juan</t>
  </si>
  <si>
    <t>Juan Calvo</t>
  </si>
  <si>
    <t>…cente y accesoria en aquella"'ciudad, y otra en &lt;*ta corte, acudirá al portal de Paños, tienda comercio de Castillo, donde da rán razón. El brigadier del Real cuerpo de artillería D. Juan Calvo de la Cantera, caba llero de la orden de Calatrava, fué hecho prisionero en Tortosa, y al paso por Zaragoza avisó aunó de sus ocho hermanos la suerte que le había cabido, y que asi en Tortosa como en Cádiz dexaba en poder de varios comerciantes algunos in ter…</t>
  </si>
  <si>
    <t>Calvo, Vicente</t>
  </si>
  <si>
    <t>Vicente Calvo</t>
  </si>
  <si>
    <t>…ral de la capilla real de Granada á D. Jo:é Rafael de Sebastian. Asimismo lia nombrado para magistrados de la audiencia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 ia iglesia catedr…</t>
  </si>
  <si>
    <t>…el de Alcaudete á D. Zacaríasf Romero: para la vara segunda de Córdoba á D. Manuel Berríardino Perez y López: para la de León á D. Juan.de la Peña Medrano: para la de Sala manca á D. Vicente Calvo: para el corregimiento de G.uadix á í&gt;. Agamia Tosamos y Labrada: para el de Cuenca á B* Dionisio Gatalan; para el de Talavera de la Rey na á D. Agustín de Quadros: par í la de Burgos á Boa Melchor Gómez de Celaya: para la de Yecla á D Isidro Antonio Alcalá;y…</t>
  </si>
  <si>
    <t>Calzada, Bernardo María</t>
  </si>
  <si>
    <t>Bernardo María Calzada</t>
  </si>
  <si>
    <t>…ptrgamino y 28 en pasta. Se hallará en la librería de Baylo, calle de las Carretas, casa ruin. 4. Pensamientos militares, escritos para instrucción de la juventud por eí teniente coronel D. Bernardo María Calzada, en los que se trata ds la calidad de las tropas, de la oficialidad, del número de ellas, de los soldados rasos, proporción entre la infantería y cab Hería, régimen de lag tropas, disciplina, sub refinación, recom pensa, honor y valor: un tontito en 8.°, á 4…</t>
  </si>
  <si>
    <t>Calzón, Domingo</t>
  </si>
  <si>
    <t>Domingo Calzón</t>
  </si>
  <si>
    <t>…acendrada piedad de sus religio sos corazones en tan solemne aniversario. Madrid 9 de Setiembre. ; El día 14 de Julio último los Sres. D. JoséRuiz, beneficiado de S; Bar tolomé, y D. Domingo Calzón, tesorero de rentas de la ciudad de Andujar, á nombre del único cuerpo eclesiástico de párrocos y beneficiados de la misma » tuvieron el honor de cumplimentar á S. M. y Sermos. Sres. Infantes* y con este motivo el primero dirigió á S. M. el discurso siguiente…</t>
  </si>
  <si>
    <t>Camarón, José</t>
  </si>
  <si>
    <t>José Camarón</t>
  </si>
  <si>
    <t>…, en donde admiraron la perfección á que han ¡levado esta máquina la observación^ y estudio de "los empleados en él. Eúípre$ehcia de S. M. se tiraron la gran estampa, dibujada por D. José Camarón, y grabada por Don Fernando Sdina, copia del célebre quadro de Rafael de Urbino, conocido con el nombre de el Pasmo de Sicilia, y otras dos de S. Juan Bautista y Sto. Tomas apóstol, obras de D. Juan Antonio Salvador Carmona, en tod2s las qbales fué de admirar…</t>
  </si>
  <si>
    <t>Cameron</t>
  </si>
  <si>
    <t>…tentó destruir el puente de Arriveretre ; pero no tuvo lugar de completar su destrucción, y habiéndose des cubierto un vado mas arriba del puente, el regimiento 92 °, al mando del coronel Cameron, y sostenido por el fuego de la artiflería volante, del man do del capitán Bean, pasó dicho vado, é hizo el mas brillante ataque con tra dos batallones enemigos que tetaban situados en aquel pueblo, y los ar rojaron de él con pérdida considerable. El enemigo'…</t>
  </si>
  <si>
    <t>…todas las tropas se conduxeron ccht el acostumbrado de nuedo é intrepidez de los soldados británicos. Ademas de los oficiales mencionados, se conduxeron valientemente el teniente coronel Cameron, el teniente coronel Hompesch, el mayor Kelir el teniente coronel Broun ; las fuerzas que mandaban atacaron la izquierda y centro del pueblo, arrojando al enemigo de todas sus fuertes posiciones, y tomando á viva fuerza la batería del molino del dique Fernand…</t>
  </si>
  <si>
    <t>Camino, Joaquín Antonio del</t>
  </si>
  <si>
    <t>Joaquín Antonio del Camino</t>
  </si>
  <si>
    <t>…á 4 rs. en la librería de Ibarra, calle de la Gorguera. Las obras de S. Cipriano obispo y mártir, traducidas al castellano, é ilustradas con notas, y la vida &lt;Ücl santo por el Dr. D. Joaquín Antonio del Camino yOrelIa, canónigo de la catedral de Lugo, en dos tomos en 4.0: el i.° contiene las caitas del santo y los prolegómenos; y el 2.0 los tratados del mismo y eí concilio de Cartago acerca del bautismo de los hereges. Se hallarán en casa de la viuda de Aguilera, c…</t>
  </si>
  <si>
    <t>Campana, José Ignacio Aivarez</t>
  </si>
  <si>
    <t>José Ignacio Aivarez Campana</t>
  </si>
  <si>
    <t>…el Rey nuestro Señor al acreditado mérito, ilustración y constante buen desempeño, asi como á la fidelidad y lealtad que ha acredita dlo bacía su Real Persona el mariscal de campo D. José Ignacio Aivarez Campana, se ha servido nombrarle segundo cabo de las provincias de An dalucía, en los términos prevenidos por Real orden de 26 de Junio de 1800. Queriendo el Rey nuestro Señor dar una prueba del aprecio con que se ha dignado admitir Las gracias que le han tributado v…</t>
  </si>
  <si>
    <t>Campbell</t>
  </si>
  <si>
    <t>…cargo del honorable coronel Greville. Hace particular elogio del mariscal de campo Hay, que manda la quin ta división, de los de la misma clase Robinson y Brádtord, del brigadier general Campbell, de los coroneles de Regoa y Greville, que mandan bri gadas, del teniente coronel Loyole, del regimiento 84..°, que fue desgracia damente muerto, de los de La misma clase Barnes., del Real, y Cameron, del 9.0, del capitán Ramsey, de la real artillería volante…</t>
  </si>
  <si>
    <t>…ndo'del ca pitán Mills deí 14"0, y un esquadron del 15.0 en el d¡a 16 se conduxeron co» el mayor valor , é hicieron muchos prisioneros. El 4.0 de dragones portugueses al mando del coronel Campbell se con dujo también perfectamente el dia 15. No he recibido noticias recientes de Cataluña. Dios guarde á V". E. muchos años. Qnartel general de Tarbes 20 de Marzo de 1814. = Excmo. Sr.— Wellington, duque de Ciudad-Rodrigo. = Excmo. Sr. ministro de la Guerra.…</t>
  </si>
  <si>
    <t>…s, de Ca taluña, el que tuvo la mayor parte en las ventajas que resultaron. Es tam bién muy digno de la consideración de V. E. el batallón de cazadores de Mallorca, al mando de su coronel Campbell, igualmente que las compañías ligeras de la división mallorquína que le sostuvieron en desalojar y perse guir al enemigo hasta; la plaza. Los húsares de Cataluña, al mando efe! co ronel D. Ramón Fussa , han correspondido al crédito y concepto que si'énípre ló…</t>
  </si>
  <si>
    <t>…pacifica ción del universo, que las noticias recibidas anteriormente nos habían hecho concebir. Hoy á las ocho de la mañana ha desembarcado aqui con su acompaña miento el teniente general Campbell en medio de las salvas con que le ha saludado el navio de S. M. Británica el Revenge, mandado por el contra almirante sir John Gore. Este general tiene plenos poderes de la corte de Inglaterra y de las potencias aliadas para ocupar en su nombre la isla y for…</t>
  </si>
  <si>
    <t>Campbell, Archivaldo</t>
  </si>
  <si>
    <t>Archivaldo Campbell</t>
  </si>
  <si>
    <t>…nte general sir Juan Hope elogia altamente la conducta de todos ¡ los oficiales y tropas, y particularmente recomienda la de la primera briga da portuguesa del mando del brigadier general Archivaldo Campbell , la del mariscal de campo Robinson y la del de la misma clase Hay, actual mente al cargo del honorable coronel Greville. Hace particular elogio del mariscal de campo Hay, que manda la quin ta división, de los de la misma clase Robinson y Brádtord, del brigad…</t>
  </si>
  <si>
    <t>Campelo, Juiiaa Antonio</t>
  </si>
  <si>
    <t>Juiiaa Antonio Campelo</t>
  </si>
  <si>
    <t>2035</t>
  </si>
  <si>
    <t>…cardenal duque de Yorck, á D. Salvador Galiano; y para la medu préstamera de Sm'ucar de Barratneda én la misriia diócesis, vacante por fallecimiento de D. Manuel Cean .Rermudez, á D. Juiiaa Antonio Campelo. Habiéndose dignado S. M-&gt; restablecer-, á consulta del Consejo, el colegioj"universidad dé Qñate, se avisa al público que el 18 del presente mey de iOcfubre se dará principio á ¡a enseñanza en la misma forma que se execra ba antes del.año 1807, en quei junta…</t>
  </si>
  <si>
    <t>Campillo, Francisco Xavier Mier y</t>
  </si>
  <si>
    <t>Francisco Xavier Mier y Campillo</t>
  </si>
  <si>
    <t>…' Madrid 24 de Octubre. El dia 28 de Julio último tuvieron el honor de cumplimentar á St M. por su feliz regresó al frqno, á nóftibre de la rprovinciaíde Liébana, los limos. Sres. D. Francisco Xavier Mier y Campillo, obispó de. Almería é inquisidor general; P. D. Isidoro Perez de Gelis, del orden de. Agonizantes , obispó electo de Segovia, y D. Diego de la Torre; y el primero dixo: „ Señor: la provincia.de Liébana, á quien Dios libró milagrosamente del furor de los sarra…</t>
  </si>
  <si>
    <t>Campo, José Gaspar del</t>
  </si>
  <si>
    <t>José Gaspar del Campo</t>
  </si>
  <si>
    <t>…arma,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 Pinillos: el de teniente coronel á D. Pedro José Cacho; el de comandante del tercer esquadton á D. Nicolás Bracamente, marques de-Herrera , y el de sargento mayor á D. Jo…</t>
  </si>
  <si>
    <t>Campo, Juan Josef del</t>
  </si>
  <si>
    <t>Juan Josef del Campo</t>
  </si>
  <si>
    <t>…é la audiencia’de Quito á D. Migu^Otermin, D. Manuel Galeano, D. Pedro López Seg'ovia, D. Santiago Corbalan y D&gt; Antonio María Izquierdo de la Torreé y para'fiscales de la misma á D. Juan Josef del Campo y D. Manuel Antonio de Noriega Domínguez. Relación de los buques de nuestro comercio que de 15 dias á esta parte se sabe haber1 apresado los corsarios insurgentes de Cartagena sobre las costas de' esta provincia, deducida de las declaraciones de prisio neros echados en tierra, y…</t>
  </si>
  <si>
    <t>Campo, Julián Hernández</t>
  </si>
  <si>
    <t>Julián Hernández Campo</t>
  </si>
  <si>
    <t>…y Carruana, á quien estaban endo sados; y no habiendo llegado á sus manos, se suplica al que los tenga los entre gue en Valen ia á D. Miguel Royo, de aquel comercio, y en Madrid á D. Julián Hernández Campo, que vive en la costanilla de los Desamparados en el corralón. Restauración de las plazas de Lérida, .Mequínenza y Moiuon por medio de una estratagema: dada al público por el capitán de cazadores de Madrid D. Juaa Van-Halen. Se hallará en el despacho de la im…</t>
  </si>
  <si>
    <t>Campo, Luis Amonio del</t>
  </si>
  <si>
    <t>Luis Amonio del Campo</t>
  </si>
  <si>
    <t>…y Oquendo: para e! corregimiento de Arévalo á D, Manuel Martin Bayon: pa ra e! de Sto. Domingo de la Calzada á D. Pablo de Arispe: para el de las merindades de Castilla la vieja á D. Luis Amonio del Campo: para que sirva interinamente el de Avila á D. Manuel de Toro: para el de Logroño á Don José Perez de Rozas: para tenientes de corregidor de Madrid á D. Manuel de Gamboa, D. Francisco Assin, D. Luis Gabaldon y López, D. León de la Cámara y D. Joaquín Almazan:…</t>
  </si>
  <si>
    <t>Campo, Manuel Martínez-del</t>
  </si>
  <si>
    <t>Manuel Martínez-del Campo</t>
  </si>
  <si>
    <t>…a-j v del -beneficio de Cabañeros en. la diócesi de Zamora-^para otra teanonena de la santa i^esia metropolitana-de Santiago, vacante por Failech1 miento-'de-D; Pedro de Silva , á D. Manuel Martínez-del Campo, atgmd.-d. ■de arcediano de Revná , y racionero de la misma iglesia.; para-una ración dé la santa iglesia ineAópólitmia de Sevilla, vacante por promoción de-Don Andrés A maya a-canongía de ella, á D. Juan José de f i|leTÍX'páff5quiárde S.. Juap de la Palma oc…</t>
  </si>
  <si>
    <t>Campo, Mariano</t>
  </si>
  <si>
    <t>Mariano Campo</t>
  </si>
  <si>
    <t>…á reunírsele el capitán Don Antonio Cortés con ocho hombres de su cuerpo y dos caxones de mu niciones, ordenándole se entregue del mando de esa tropa, que por ha berse retirado el capitán D. Mariano Campo par2 su destino quedó á cargo del de igual clase D. José Mariano Santander. De quanto ocurra daré á V. E. oportuno aviso para su superior conocimiento. D ios nuestro Señor guarde á V. E. muchos años. Quartel principal de Huejutla 30 de Noviembre de 18 13. = E…</t>
  </si>
  <si>
    <t>Campománes, Domingo de</t>
  </si>
  <si>
    <t>Domingo de Campománes</t>
  </si>
  <si>
    <t>…ente, vi ce-presidente y uno de sus secretarios, resultaron electos para presidente ei Sr. D, Antonio Joaquín Perez, diputado por la Puebla de los Angeles; para vice-presidente el Sr. D. Domingo de Campománes, diputado por As turias , y para secretario el Sr. D. Martin José de Muxica. La Regen- ia del Rsyno se h¿i servido expedir los decretos siguientes: D. Fernando vn, por !a gracia de Dios y por la ConstitucioA de la mo narquía española, rey de las Españas, y en…</t>
  </si>
  <si>
    <t>Campománes, Domingo Fernandez de</t>
  </si>
  <si>
    <t>Domingo Fernandez de Campománes</t>
  </si>
  <si>
    <t>…ario del Rey nuestro Señor , la hice escribir por su mandado. = El Duque del Infantado. = D. Antonio Alvarez de Conrreras. =3 D. Joief Antonio de Larrumbide. = D. Temas Moyano. 3= D. Domingo Fernandez de Campománes. = Registrada, Aquilino Escudero. = Teniente de Canciller mayor, Aquilino Escudero. En atención á los distinguidos méritos y servicios;que ha contraído por el espacio de 25 años el teniente coronel D. Bartolomé Nuñez, comandan te del cuerpo de milicias urbana…</t>
  </si>
  <si>
    <t>Campománes, Francisco Rodríguez</t>
  </si>
  <si>
    <t>Francisco Rodríguez Campománes</t>
  </si>
  <si>
    <t>…Antuñano, cura párroco de Gordejuela. Asimismo se ha dignado S. M. nombrar para el beneficio de Santo Do mingo de la villa de Muía,.diócesis de Cartagena, que vacó por. muerte de D. Francisco Rodríguez Campománes, á D. Mateo Obregon ; y para otro beneficio de Santa María y S. Pedro de la villa de Alcaudete, en el obispa-r do de Jaén, vacante por muerte de D.: Esteban Qaerol, a D.'Fernan do Velez, entendiéndose esta gracia y la anterior con retención? de las capellanía…</t>
  </si>
  <si>
    <t>Campoó, María Juana Moralejo y</t>
  </si>
  <si>
    <t>María Juana Moralejo y Campoó</t>
  </si>
  <si>
    <t>2176</t>
  </si>
  <si>
    <t>…, y explica ron los fundamentos de la religión y doctrina cristiana, concluyendo con manifestar varias muestras de escritura, entre las quales se distinguieron las executadas por Doña María Juana Moralejo y Campoó. En todos estos exercicios manifestaron los discípulos que comprehendian lo que decoraron, lo qual acreditaron respondiendo á las preguntas que so bre ello Ies hicieron varios de los concurrentes, quienes por su parte se re tiraron enteramente satisfechos de…</t>
  </si>
  <si>
    <t>Campos, Cayetano de</t>
  </si>
  <si>
    <t>Cayetano de Campos</t>
  </si>
  <si>
    <t>…. her mano mayor; y también, conformándose en todo lo demas que pr.oppne,la junta de hospitales en su consulta, se ha servido nombrar para las quatrp consiliaturas eclesiásticas á D. Cayetano de Campos, cura del Real palacio; Don José Azpeytia, auditor de monseñor Nuncio; D. Juan José Barrios, cura de la parroquia de Sta. María; y D. Juan de Lera Cano, cura de S. Salvador: para las siete seculares al duque de Montemar; D. Manuel de la Peña; Don José Manzani…</t>
  </si>
  <si>
    <t>…Francisco de Paula Man— silla , á D. José de Miera y Pacheco : para una canongía de la iglesia primada dé Toledo, vacante por tallecí miento de D. Francisco Xavier de Cóntreras, á D. Cayetano de Campos, canciller deja inigne orden del Toyson de Oro y cura del Real palacio: para una ración de la iglesia cate dral de Málaga, vacante por muerte de D. José de Cisneros, á D. Juan Pedro Herrera: para otra ración de Ja misma iglesia, vacante por fallecí-</t>
  </si>
  <si>
    <t>Campos, Pedro</t>
  </si>
  <si>
    <t>Pedro Campos</t>
  </si>
  <si>
    <t>3 2 i En el de Chachapoyas, de igual 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t>
  </si>
  <si>
    <t>Campuzano, Francisco</t>
  </si>
  <si>
    <t>Francisco Campuzano</t>
  </si>
  <si>
    <t>…El dia 15 del mismo tuvieron igualiíiéñté la honra de ser presentados á cumplimentar á S. M. por su restitución al trono como diputados por la ciudad de Sto. Domingo de la Calzada D. Francisco Campuzano, intenden te de la provincia de Alava, y D. Ramón Pisón, fiscal del tribunal especial de Guerra y Marina, pronunciando él primero el siguiente discurso: ,, Señor: la ciudad de Sto. Domingo de la Calzada-y penetrada del ma yor gozo por el regresó’ de V¿ M. á s…</t>
  </si>
  <si>
    <t>Campuzano, Joaquín Francisco</t>
  </si>
  <si>
    <t>Joaquín Francisco Campuzano</t>
  </si>
  <si>
    <t>…tro Señor se ha servido conceder por la primera secretaría de;Estado y del despacho universal. - Al conde de Fernán Nuñez, embaxador extraordinario en Londres, el Toyson de Oro. A D. Joaquín Francisco Campuzano, oficial de la primera secretaría de Estado, la cru4u pensionada de la .Real:y distinguida orden española de Cárlós 111. * '.,r&gt;f v i : . : ■ &lt; ■ *•-; i .i ,v o- Grandes Cruces^ .S. «. . * AI marques del Villeí, al conde de Viliariezo.y al marques de Mos. • C…</t>
  </si>
  <si>
    <t>Canal, Juan</t>
  </si>
  <si>
    <t>Juan Canal</t>
  </si>
  <si>
    <t>…s Pardo, a&gt; udante de id. D. Bernardo Pita , teniente de ¡d. IX Ramón Nuñez, id de id D. José Villamil, subteniente de id. D. Manuel Uznia, id. de id. D. Pedro Ovalle&gt; id. de id., D. Juan Canal, capitán del de Santiago. D. Juan de Castro, teniente de Id. D. Benito Martínez, id. de Id. D. Juan Guillen, subteniente de id. D. Francisco Quiroga, id. de id. D. Juan Cancela, id- de id. D. Bernabé de las Pallas, id. de id. D. Martafio Castell, teniente cor…</t>
  </si>
  <si>
    <t>Canalls, Mariano</t>
  </si>
  <si>
    <t>Mariano Canalls</t>
  </si>
  <si>
    <t>…a, id. de id. D. Juan Cancela, id- de id. D. Bernabé de las Pallas, id. de id. D. Martafio Castell, teniente coronel, sargento mayor de la Corona. D. Tomas Noriega, teniente de id D. Mariano Canalls, subteniente de id. D. Ventura Noguérra, id. de id. D. José María Falcon, sargento mayor del de Ri bero. D. Ramón de Castro, capitán de id. D. Pedro Neyra, teniente de id. XX Ruperto Otero, id. de id. D. José Sousa, subteniente de id. D. Mi guel Santos, id. d…</t>
  </si>
  <si>
    <t>Cancela, Juan</t>
  </si>
  <si>
    <t>Juan Cancela</t>
  </si>
  <si>
    <t>…id., D. Juan Canal, capitán del de Santiago. D. Juan de Castro, teniente de Id. D. Benito Martínez, id. de Id. D. Juan Guillen, subteniente de id. D. Francisco Quiroga, id. de id. D. Juan Cancela, id- de id. D. Bernabé de las Pallas, id. de id. D. Martafio Castell, teniente coronel, sargento mayor de la Corona. D. Tomas Noriega, teniente de id D. Mariano Canalls, subteniente de id. D. Ventura Noguérra, id. de id. D. José María Falcon, sargento mayor d…</t>
  </si>
  <si>
    <t>Cancelada, Juan López</t>
  </si>
  <si>
    <t>Juan López Cancelada</t>
  </si>
  <si>
    <t>…te el retrato de S. M. por las calles de Madrid en la noche del 29 de Marzo. Socorro del clero al estado, escrito por el Mtro. Fr. Angel Manrique en 16241 publícalo á sus expensas D. Juan López Cancelada. Se hallará de venta á 6 rs. en la librería de Gila, calle de las Carretas, frente á la botillería. -Mis sentimientos y desahogos a láí ninfas del Bétis en el triste cautiverio de nuestro amable Soberano el Sr. Di Fernando víí por el emperador de los francese…</t>
  </si>
  <si>
    <t>Cándano, José</t>
  </si>
  <si>
    <t>José Cándano</t>
  </si>
  <si>
    <t>…fue también admitido á cumplimentar áS. M., poner se á sus reates pies y besar su real mano el cuerpo de los directores de las reales esc«e!as de primera educación de esra capital D. José Cándano , Don Francisco Zazo de Lares, D. Antonio del Olmo, D Sebastian Arrióla, Don Francisco Leocadio Zazo y D.. Antonio Navarrete; y el primero como de cano dixo: • , „Señor: el cuerpo de directores de las ocho escuelas reales de primera educación, nombrados por r…</t>
  </si>
  <si>
    <t>Cañedo, José Ortega</t>
  </si>
  <si>
    <t>José Ortega Cañedo</t>
  </si>
  <si>
    <t>…vecinos expresaron durante todo el dia su regocijo con bayles y festejos, en todos los quales reyno el mejor órr den y decoro. &lt; , Ciudad-Real 4 de Jimia. Luego que recibió el Dr. D. José Ortega Cañedo, caballero pensionado de lájreal y distinguida ótdetf española de Carlos ni, vicario, visitador y juez eclesiástico ordinario de esta ciudad, su partido y campo de Calatrava, la faustísima noticia de haber llegado á la corte nuestro amado Soberano el Señor D.…</t>
  </si>
  <si>
    <t>…n solemne Te Deum y misa, en la qual predicó el R. P. Fr. Eugenio de la Madrid; y concluido este acto re ligioso, se dirigieron los concurrentes á la casa habitación del expresado Don José Ortega Cañedo, en donde se sirvió un espléndido y delicado almuerzo, en ei qual se repitieron vivas y brindis por la salud de S. M. y AA, y feli cidad de la monarquía. En seguida se sirvió á los pobres todos de uno y otro sexo una abundante comida; y concluida esta, se sor…</t>
  </si>
  <si>
    <t>…s armas españolas en 19 de Julio de i 808 , saliendo de ella los cimientos de la independencia de Europa y la1 libertad de nuestro amado Soberano. Ei dia 4 de Agosto ultimo el Dr. D. José Ortega Cañedo, caballero pen sionado de la Real y distinguida orden de Carlos m , vicario , visitador y juez eclesiástico de Ciudad-Real y su partido, yD. Fernando Muñoz y Teruel, presbítero, tuvieron el honor de besar la mano á S. M. y felicitarle en nombre de ^qtiel cabi…</t>
  </si>
  <si>
    <t>Cañete, Francisco</t>
  </si>
  <si>
    <t>Francisco Cañete</t>
  </si>
  <si>
    <t>…D.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continuos desvaios de sus gefes y profesores, que generosa mente se emulan en ei cumplimiento exacto de sus respectivas obligaciones, tiene la satisfacción de presentar…</t>
  </si>
  <si>
    <t>Canino</t>
  </si>
  <si>
    <t>…gún capelo i los ultramontanos hasta: la decisión del congreso. ^S. A. R. ia princesa de Gales ha comprado muchas estatuas y pinturas, y recibe con mucho agrado á los artistas. El príncipe Canino está dispo niendo para obsequiarla Una magnífica función, á que asistirán los persona jes mas distinguidos de esta capital. ^ ‘‘ ^Elbáballerq Quésáda, ministro de Sí M. el rey de Cerdeña, después de su presentación tuvo úñá' audiencia secreta de S. S., de la…</t>
  </si>
  <si>
    <t>Cano, Antonio</t>
  </si>
  <si>
    <t>Antonio Cano</t>
  </si>
  <si>
    <t>…recibí ayer noche del v Excmo. Sr. Sir Rolando Idill para pasar el Nivé al amanecer de hoy, dis puse que á esta hora lo executasen los cazadores al mando de su coronel co mandante D. Antonio Cano por el vado de la Isleta, y la primera brigada, al del brigadier D. Lorenzo Cebrian, á la izquierda de estos, por el de Cabarra: asi que la tropa entró en el rio, al que se arrojó decididamente en colima cerrada el reoimiento de León, seguido del de la Union…</t>
  </si>
  <si>
    <t>?6 menos de recomendará V. E. al coronel D. Antonio Cano, comandante de la cofuna de cazadores, al teniente coronel comandante accidental del bata llón de la Legión D. Rodrigo Bermudez, los capitanes de cazadores D. An tonio Ximenez, D. Angel Bermudez, y D. José María Freyre, y los te nientes D. Manuel Toledo y D.…</t>
  </si>
  <si>
    <t>Cano, Cipriano Tellez</t>
  </si>
  <si>
    <t>Cipriano Tellez Cano</t>
  </si>
  <si>
    <t>…está inflamado el gobier.no ,:y dará en esta tan importante oca.sion nuevas pruebas de su zelo, actividad é instrucción. , En atención al mérito contraído en la guerra pasada ppr D. Cipriano Tellez Cano, presbítero, como comandante de la cruzada de Aragón , se ha servido S. M. concederle el uso de la cruz Roxa, distintivo de las primitivas cruzadas, y el mismo que usó la que , montado , armado y mantenido á sur .propias expensas, y con anuencia deldíustrísim…</t>
  </si>
  <si>
    <t>Cano, Juan de Lera</t>
  </si>
  <si>
    <t>Juan de Lera Cano</t>
  </si>
  <si>
    <t>…siliaturas eclesiásticas á D. Cayetano de Campos, cura del Real palacio; Don José Azpeytia, auditor de monseñor Nuncio; D. Juan José Barrios, cura de la parroquia de Sta. María; y D. Juan de Lera Cano, cura de S. Salvador: para las siete seculares al duque de Montemar; D. Manuel de la Peña; Don José Manzanilla; D. Cayetano Urbina; D. Pascual Dávila, conde de Ibargrande; D. Antonio Gamiz, y al marques de Perales: y finalmente, para secretario primero á D. F…</t>
  </si>
  <si>
    <t>Cano, Juan de Lera y</t>
  </si>
  <si>
    <t>Juan de Lera y Cano</t>
  </si>
  <si>
    <t>…spado: y para una plaza de oidor de la Real audiencia de Guadalaxara á D. Mariano Mendiola , auditor que fué de milicias de aquella pro vincia. El Rey se ha servido nombrar al Dr. D. Juan de Lera y Cano, cura párroco de la iglesia de S. Salvador 8e esta corte, para el obispado de Barbastro, vacante por fallecimiento del limo. Sr. D. Fr. Agustín Iñigo Abad y Lasierra. Asimismo se ha servido nombrar S. M. á D. Manuel Benito y Tabernero, abad de la colegiata de…</t>
  </si>
  <si>
    <t>…Ja manu tención diaria de das ;tropás ; inglesas del cóntinenté asciende áf la caútidad de 40©-libras esterlinas, : í ;V * ' : ESPAÑA. Madrid 10 de Octubre* El 24 de Julio último D. Juan de Lera y Cano, curó, propio de S. Sal vador de Madrid, acompañado del Exéirio. Sr. tñarqúé^ dé‘Vjlfef,felrcirÓ á S. M. á nombré de los curas del obispado de Vique,en érprindp’adbdeCar taluña, y dixo lo siguiente: ' « „ Señor: los curas del obispado de Vique, en el principa…</t>
  </si>
  <si>
    <t>Cano, Juan de Leza y</t>
  </si>
  <si>
    <t>Juan de Leza y Cano</t>
  </si>
  <si>
    <t>…n del abad del cabildo Don Domingo Alvarez , beneficiado de Santiago;del decano D. Juan Antonio de Salcedo, cura de S. G'nes; de D. Fernando Moran, beneficiado de S. An drés, y de D. Juan de Leza y Cano, cura de S. Salvador; el primero de los quales, que ya en Aranjuez había dirigido á S. M. la palabra en un bre</t>
  </si>
  <si>
    <t>Cano, Manuel</t>
  </si>
  <si>
    <t>Manuel Cano</t>
  </si>
  <si>
    <t>…bernador de Cádiz de 2 2 de Febrero último se llama, y emplaza ár todas las personas.que sean acreedoras por qualquier título ó catira a los bienes concursados del capkan retirado D. Manuel Cano y Doña María Francisca Fernandez Justinhno, su difunta consorte, viuda que era de D. Francisco de Llanos y'S. Gines, conde de Torre-Alegre, para que por sí ó por sus representantes comparezcan con los documentos justificativos en la junta general de acreedores que se ha de celebrar él 24 del…</t>
  </si>
  <si>
    <t>Cano, Miguel Martínez</t>
  </si>
  <si>
    <t>Miguel Martínez Cano</t>
  </si>
  <si>
    <t>…ia tuvo también la honra de presentarse á S. M. y besar se Real mano y la de los Sermcs. Sres. Infantes D. Carlos y D. Antonio, uña diputación de la villa del Toboso, compuesta de D. Miguel Martínez Cano, caballero profeso del hábito de Calatrava; del Dr. D. Mariano Rufi no González, corregidor por S. M. de la villa de Tarazona de la Mancha, y de D. Manuel Maria González, vecino de la expresada villa del Toboso; el primero de los quales dirigió á S. M. el dis…</t>
  </si>
  <si>
    <t>Canse, José Fermín Diez</t>
  </si>
  <si>
    <t>José Fermín Diez Canse</t>
  </si>
  <si>
    <t>…lderón , D. Juan de Dios Ararno , D. Francisco Antonio Gómez , .Don Juan Manuel de La-Puente y Bustamante, D. Mariano Espiel , D. Gabriel Sánchez Corbacho, D. Carlos Diez Canseco, D. José Fermín Diez Canse?co y D. Juan Isidro Peña. En el de León de Huanuco, de infantería urbana, subtenencias á Don Lúeas Caballero y D. Pedro Guerrero.</t>
  </si>
  <si>
    <t>Canseco, Carlos Diez</t>
  </si>
  <si>
    <t>Carlos Diez Canseco</t>
  </si>
  <si>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infantería urbana, subtenencias á Don Lúeas Caballero y D. Pedro Guerrero.</t>
  </si>
  <si>
    <t>Cantero, Domingo</t>
  </si>
  <si>
    <t>Domingo Cantero</t>
  </si>
  <si>
    <t>…ico del partido de Bejar, en dicho obispado de Plasencia: para una capellanía, vacante en Ja Real capilla de Sresí Reyes’ nüevcs dé Toledo &lt;por muerte de D. Barto lomé-de Cañas, á D. Domingo Cantero: para otra, capellanía de la misma Real capilla de Sres. Reyes nuevos-de ^Toledo, vacante por fallecimiento de D. Miguel Marrinez Lugarnuevo , á D. Manuel Castaño Asemio, capellán del regimiento dé'1 infantería i.° de^líñéa1 de* León ;~y para el beneficio sim…</t>
  </si>
  <si>
    <t>Cantero, Nicolás</t>
  </si>
  <si>
    <t>Nicolás Cantero</t>
  </si>
  <si>
    <t>…éstamete de Zarzuela en la misma diócesis, vacantes todas por promoción de.D. Do mingo Cantero á una capellanía de la Real capilla de Sres. Reyes nuevos de la ciudad de Toledo , á D. Nicolás Cantero. , ■ . 51 . . , En atención á los méritos y sérvicióé dé D. Guillermo Hualde , presbí tero de la orden de Santiago y capellán ele honor,' ha venido S. M. en con cederle la jubilación de procurador general que era de las'qüatro* Órdenes militares, con los hono…</t>
  </si>
  <si>
    <t>Capdevila, Sebastian</t>
  </si>
  <si>
    <t>Sebastian Capdevila</t>
  </si>
  <si>
    <t>96</t>
  </si>
  <si>
    <t>…Josef María Cortés, encargado interinamente del estado mayor de la brigada, por el tino y serenidad con que comunicó sus órdenes, cruzando continuamente ios fuegos enemigos; y al capitán Don Sebastian Capdevila y teniente D Víctor Fabrat, que hallándose casual mente en aquel punto para pasar la revista dé comisario de Enero, acom pañaron al brigadier durante la acción. =;E1 ayudante general gefe de esta-’ do mayor = JF. AT. Gabanes. Idem En este quartel general se h…</t>
  </si>
  <si>
    <t>Capelle</t>
  </si>
  <si>
    <t>…aza , haciendo in útiles los socorros que llegaban á eLla 24 horas después, y hallaron ya la ciudad ocupada po* el enemigo ; hemos decretado y decretamos lo siguiente: art. i.° El barón Capelle, prefecto del departamento de Lemman , queda suspenso. 2,u Será entregado á una comisión para que lo juzgue. 3.0 Núes-</t>
  </si>
  <si>
    <t>Capelleñ, Vande</t>
  </si>
  <si>
    <t>Vande Capelleñ</t>
  </si>
  <si>
    <t>207? El Excmó. Sr. barón Vande Capelleñ acaba de participar de oficio'á to dos los intendentes de marina que en virtud de ordenes que el gobierno ingles ha comunicado á todos los puertos de sus estados &gt; los buques de la Bélgica' que naveguen bajeo el pabellón holandés disfrutarán de las mismas ven…</t>
  </si>
  <si>
    <t>Capi, Jacinto Díaz</t>
  </si>
  <si>
    <t>Jacinto Díaz Capi</t>
  </si>
  <si>
    <t>…onferido el Rey el Gobierno políuco y militar de Orihuela al Coronel D. Pedro Fermín de Iriberri, Capitán de la brigada de Cara bineros Reales; y el de Melilla al Teniente Coronel D. Jacinto Díaz Capi lla, Sargento mayor de la misma plaza; habiéndose dignado S. M. conferir Ja Sargentía mayor de la de Madrid al Teniente Coronel D. Estanislao Guizaburuaga, Ayudante primero de Ja misma. Aviso á los subscriptores de la gaceta. Los que tengan que reclamar algun…</t>
  </si>
  <si>
    <t>Capo</t>
  </si>
  <si>
    <t>…de-Taxis; el príncipe Ernesto de Hesse, gene ral del exército ruso; el conde de Loevenhiid, enviado de Suecia en la cqr, te de Rusia, y sq consejero de embaxada Mr. de Brandel; el conde Capo de ..Istria, enviado de Rusia en Suecia; Vech, diputado de Zurich; Zeriende, diputado de Berna, y otros. Antes de ayer asistieron SS. MM. los soberanos extrangeros, acompaña dos de las principales personas de so comitiva, al teatro de la puerta de ^Carintia,,…</t>
  </si>
  <si>
    <t>Car</t>
  </si>
  <si>
    <t>196</t>
  </si>
  <si>
    <t>…JEsjjoz y D. Salvador QampUlo*; tí : • -n ; . . n El dia 7 del presente,mes los Sres. D:. Juan Nepomuceno de;Magati y Pacheco, guardia de Corps de menor edad, agraciado por $• M, D. Car los iv, D. Martin de Uriarte, D. Josef de'Trespuentes^j^, Josef E^ymun do de Náxera y D. Juan Antonio Pendaríes, dicípulos de la. academia pu blica de matemáticas,; que con iare atiprobácio ti^hageoch p años se, halla .esta blecida en está corte baxo la direc…</t>
  </si>
  <si>
    <t>…, D. Felipe de Paz, Príncipe de Anglona, D. Juan Senen de Coimeras, D. Felipe KeatingRoche, y D. Francisco Cabrera. A mariscales de campo á los brigadieres D. Miguel de los Ríos , D. Car los de Gunchi, D. Bartolomé Georget, el barón de la Barre , D. José Fal ques, D. Manuel María Prosterla, D. José Bucareli, D. Nazario de Fguía, I). Raymundo Ferrer, D. Isidoro del Saso, D. Pedro de Oiedo, D. Mi guel Ignacio Mari mon, D. Pedro Dávalos Santa Ma…</t>
  </si>
  <si>
    <t>…peramos, pues to que con prodigios y portentos extraordinarios le ha conducido á esté suelo la divina Providencia.” En los mismos términos felicitaron á los Sermos. Sres. Infantes D. Car los y D. Antonio. El 28 del mismo tuvieron igualmente la honra de cumplimentar á S. M. en nombre de la sociedad patriótica de la Rioja los Sres. conde de Murillo y de Bornos, D. Ignacio de Marrón, D. joaquin de Osma y D. Pedro Gon zález Robles; diciendo el pr…</t>
  </si>
  <si>
    <t>Carabaño, Cristóbal Roxo y</t>
  </si>
  <si>
    <t>Cristóbal Roxo y Carabaño</t>
  </si>
  <si>
    <t>…or haber logrado la ia^ decib.e dicha de disfrutar de la presencia del mejor de los Soberanos por es* pació de quatro horas y media. ■ r ■. t ; 1 ' ' ' i El dia 28 de Julio último D. Cristóbal Roxo y Carabaño, D. Felipe Pa reja iy.D^ Juan Santana, comisionados por ria villa de Brihuega, del partido de Alcalá, en la*provincia de Toledo, tuvieron5el honor de cumplimentar á $. M. ; con cuyo motivo el prinierode ellos dixo : * í ,,Señor: D. Cristóbal dlbxo y Carabaño…</t>
  </si>
  <si>
    <t>Carabantes, Carlos</t>
  </si>
  <si>
    <t>Carlos Carabantes</t>
  </si>
  <si>
    <t>…ablo Blanco Caballero: para el corregi miento de Calahorra á D. Francisco Fabian: para el corregimiento de Es^ ¿epa á D. Manuel Valdes; y para que sirva interinamente el de Jaén á Don Carlos Carabantes, comandante de armas de aquel rey no. También se ha servido nombrar S, M. para la capitanía general del prin*cipado de Cataluña, con la presidencia de su audiencia, al teniente general marques de Campo Sagrado: para la de Castilla (a Vieja al teniente general…</t>
  </si>
  <si>
    <t>CarasaV, Manuel María Rodríguez de</t>
  </si>
  <si>
    <t>Manuel María Rodríguez de CarasaV</t>
  </si>
  <si>
    <t>…día t9 de Mayo dirimo tuvieron la honra dé besar la manó a S. M. en Calidad de. diputados de lá santa iglesia metropolitana de Sevilla el limo* . Sr. comisario general de cruzada, D. Manuel María Rodríguez de CarasaV D. Nicolás Luis Lezo y Garro, y D. Nicanor María de l&amp;tóry Buruiga,. los dos primeros canónigos, y los segundos racionero* de /a misma santa! iglesia; el primero de los quaíés habló en estos términos: „Señor: el cabildo metropolitano de Sevilla se postra por medio de si…</t>
  </si>
  <si>
    <t>Caraveo, José Rafael</t>
  </si>
  <si>
    <t>José Rafael Caraveo</t>
  </si>
  <si>
    <t>296</t>
  </si>
  <si>
    <t>…O. En el batallón de infantería de Castilla fixo de Campeche se ha servido la Regencia del Reyno conferir los empleos siguientes: * «Compañía de granaderos al capitán de fusileros D. José Rafael Caraveo; esta resulta. aL ayudante D. José Villanueva ; la ayudantía que este dexa al teniente de granaderos D. José Luis de Medina; esta vacante al de fusile ros D, Narciso Arascct; tenencia de fusileros ai subteniente de granaderos ' D. Francisco Rodríguez; esta re…</t>
  </si>
  <si>
    <t>Cárdenas, Francisco María de</t>
  </si>
  <si>
    <t>Francisco María de Cárdenas</t>
  </si>
  <si>
    <t>…trucción púb i a de todo su partido, censor de toda la provincia, é indivi duo de la Real academia latina matritense, acompañado de los diputados y censores de la mi mi 1 &gt;s Sres. D. Francisco María de Cárdenas , presbítero, y D. Blas Sánchez Puertas, tuvo el hon &gt;r el día it del corriente de telxci— tar á S. M., y besar su Red mano, pronunciando el discurso siguiente: ,, Señor : la Real academia latina matritense, extinguida casi en la des graciada época de vuestro…</t>
  </si>
  <si>
    <t>Cárdenas, José Miguel de</t>
  </si>
  <si>
    <t>José Miguel de Cárdenas</t>
  </si>
  <si>
    <t>…ndante del esquadron de dragones de Amotape. En las compañías sueltas de Truxillo empleo de capitán al teniente de granaderos D. Miguel de Cortabarría; y subtenencias de bandera á D. José Miguel de Cárdenas y D. José Gabriel del Risco. En el regimiento de Lambayeque compañía al teniente D¿ Antonio Agustiot. v. En el de Urubamba el empleo de teniente coronel al sargento mayor del propio cuerpo D. Miguel Espinosa. ^ E-n ei de Aragón de Jauja el empleo de coronel 3 D. Marcelo Grana…</t>
  </si>
  <si>
    <t>Cárdenas, Juan Nepojnuceno de</t>
  </si>
  <si>
    <t>Juan Nepojnuceno de Cárdenas</t>
  </si>
  <si>
    <t>…a tuvo también la honra de ser presentado á cumplimen tar á S. M. y besar su Real mano á nombre de la provincia de Yucatán , de su capitán general y cuerpos militares, el teniente coronel D. Juan Nepojnuceno de Cárdenas, 'gobernador militar y político' de Bacalar, en la. mis ma provincia; con cuyo motivo dirigió á S. M. la arenga siguiente: „Señor: ía provincia de Yucatán transmitirá siempre gustosa á la me moria de los siglos la envidiable gloriá de haber jurado la primera…</t>
  </si>
  <si>
    <t>Cários</t>
  </si>
  <si>
    <t>…los auxilios que necesite para lle varla felizmente á cabo, ha resuelto también S. M. que la citada empresase ponga baxo la inmediata protección y autoridad de los Sres. Infantes Don Cários y D. Antonio, sus augustos Hermano y Tio , de cuyo zelo y deci dido amor al bien común debe prometerse la nación el mejor resultado, tan* to en el desempeño de este encargo, cómo en el de otros objetos de felicidad pública, de que no se desentienden SS. A A., imitando ei…</t>
  </si>
  <si>
    <t>CarlcJtom.'r</t>
  </si>
  <si>
    <t>…el Henry^.deL!2ri.“JL.Quarta,co¿ 1 um fia, del 44Í0, goo; granaderos y • cazadores -'deba 1V0 y 200; d&lt;¿l Rea],,óoo.i total 1100 ¿ á las del brigadier general Gorp, y dci téniente coronel CarlcJtom.'r&lt;.r Total de las rp ¡ «o 1 fuerzas.395Pi</t>
  </si>
  <si>
    <t>Carleton</t>
  </si>
  <si>
    <t>…uego que hacían desde las casas, como por la pérdida de un destacamento del primer regimiento de las Guardias, que habiendo sido en viado para ver si se podía socorrer al teniente coronel Carleton, y asegurar se de la puerta de Ainbéres, fué cortado después de la defensa mas obstina da , que costó la vida á varios oficiales de mérito. Al amanecer volvió contra nosotros el enemigo so artillería, y tirando á las tropas de descubierta en las murallas y á…</t>
  </si>
  <si>
    <t>…y ocupamos algunas casas, desde las quales podía el enemigo incomodarnos, envié una fuerte patrulla hacia el punto por donde habian entrado el mayor general Skerret y el teniente coronel Carleton, y al mis mo tiempo destaqué al teniente coronel Clifton con una partida deiGuardias del primer regimiento para asegurar la puerta de Ambéres,¡y ver si podría adquirir noticias del teniente coronel Morrice. El teniente coronel Clifton llegó á la puerta, pero…</t>
  </si>
  <si>
    <t>…se, y que marchaba con escolta á la ciudad. También supe la suerte del destacamento del teniente coronel Clifton , del mayor general Skerret, dei mayor general Gore y del teniente coronel Carleton , y que las tropas que mandaba habian padecido mucho, y habian sido rechazadas de los pumos avanzados en lo largo de la muralla adonde habian penetrado. Como yo estaba convencido de que prolongando el combate sacrificavia in útilmente muchos hombres, y no ten…</t>
  </si>
  <si>
    <t>Carleton, Jorge</t>
  </si>
  <si>
    <t>Jorge Carleton</t>
  </si>
  <si>
    <t>…retardo considerable, y asi esta columna no llegó á la muralla hasta las n y media de la misma noche. Entretan o la pérdida irreparable del brigadier general Gore y del te niente coronel Jorge Carleton y la herida peligrosa del mayor general Sker ret, habiendo privado á la columna de la derecha de sus importantes servi cios, se puso esta en desorden, y experimentó una pérdida considerable en muertos, heridos y prisioneros. Habiéndose visto obligada la colum…</t>
  </si>
  <si>
    <t>Carlos</t>
  </si>
  <si>
    <t>123</t>
  </si>
  <si>
    <t>…e Soult han marchado para León , y otra para lo interior de la Francia: han sido reemplazadas por conscriptos. Han faltado en Bayona los tres correos últimos de París. Idem 24. El general D. Carlos de España se halla en este quartel general, y á pe sar de que no está todavía restablecido de sus heridas, se cree no tardará en pasar á Francia á encargarse del mando de su división. Según las voces que circulan 450© hombres son los que pisan ya el ter ritorio francés…</t>
  </si>
  <si>
    <t>Gazeta de la Regencia de las Españas n.º 48 (extraordinaria)</t>
  </si>
  <si>
    <t>…érclto ha dirigido al secretario interino de Estado y del despacho de la Guerra el parte siguiente: „S. M. el Sr. D. Fernando vn, Rey de las Españas,'y los Sertnos. Sres. Infantes D. Carlos y D. Antonio gozan de la mas perfecta salud, y hoy salen S. M. y AA. de esta plaza con di rección á la provincia de Valencia para continuar el viage á la cor te___Tengo el honor de acompañar á S. M. hasta la población de S. Carlos, término del distrito de mi mando. Lo que…</t>
  </si>
  <si>
    <t>Cárlos</t>
  </si>
  <si>
    <t>…a plaza, el general Witingham con su estado mayor, y otros mu chos personages distinguidos , todos á caballo. S. M. venia acompañado, en el carro triunfal, de S. A. el $r. Infante D. Cárlos y de los generales duque de San Cárlos y D. José de Palatox. . Los triunfos de ios emperadores romanos y de los conquistadores dexaban en ,sü‘carrera impresas las huellas de la ambición y del orgullo de todas las pasiones; pero esta entrada triunfante en Zara…</t>
  </si>
  <si>
    <t>…ste dulce placer, acompañado de todas las ¿tropas, que en seguida se retiraron á sus quarteles. Zaragoza 12 de Abril. Ayer á fas siete de la mañana 'salió S. M: y S. A. el Infante D. Carlos de esta capital para ia de Valencia entre las bendiciones de uñ pueblo que lé desea Ihs I mas completas felicidades y acierto en su reynado: á ellas se ha hecho acreedor por su porte en los dias que se ha tenido Ja dicha de po~ seei lo. Al respeto, y; magesta…</t>
  </si>
  <si>
    <t>…capitán gt&amp;dúadó de teniente eóironel D. Juan Aquavera. Gomo á uha hora 4istúitte de ^erona arrisaron los batidores-dei Rey se aristabael coche ^'^ué^vénia S.riAy íL elr. Inlan te D. Carlos,, y al lle gar á su inmediacioíi^ apeándose 'S.lMi y ambos Sres. Infantessfc abrazaroa tiernamente* ou ■ . • &gt;ó-.h</t>
  </si>
  <si>
    <t>…á la casa de su habitación , en la qual recibió al señor embaxador de Inglaterra'y á los Sres encargados de Negocios de Portugal y de Austria. En el 18 S M. y el Senno. Sr Infante D. Carlos salieron á pie por la carrera, adornada de antemano con toda magnificencia y gusto, y por la noche tuvieron la bondad de asistir con el Sermo. Sr. Infante D. An tonio á un magnífico bayle, que en obsequio de S. M. tuvo el distinguid® cuerpo de la Maestranza:…</t>
  </si>
  <si>
    <t>…revenido en el artículo 215 de la Constitución po lítica de la monarquía Vas Cortes decretan lo siguiente: i.° Se asigna para alimentos de cada uno de los Sres. Infantes de España D. Carlos y D. An tonio la cantidad anual de ciento cincuenta mil ducados. 2.0 Estas quotas se satisfarán por la tesorería general. = Lo tendrá entendido la Regencia del Reyno, y para su cumplimiento lo mandará publicar y circular en la forma ordinaria. == Dado en Madrid á 19…</t>
  </si>
  <si>
    <t>…res. Madrid jo de Junio. La solemnidad del dia de ayer se aumentó con la angosta presencia de S. M., que se sirvió asistir á la procesión, acompañado de los Sermos. Sres. Infantes D. Carlos y D. Antonio, de los grandes de España, gefes de pa lacio, generales, tribunales y demas autoridades de la capital. S. M. dió el mas distinguido exemplo de su piedad religiosa, grangeándose mas y mas el amor de los españoles, que cifran su principal gloria en el brillo y…</t>
  </si>
  <si>
    <t>…del d^sppxho de Estado me dice con fecha de 8 del actual lo. que sigue: - ■ _,,Excmo. Sr.: quando por las tristes ocurrencias del año de 1808 tuvie ron SS.. AA. los Srcs. Infantes D. Cárlos, D. Francisco de Paula, D. An tonio y D. Cárlos Luis, Rey de Etruria , que ausentarse de España, dexaron encomendada la administración de sus bienes y encomiendas á sus res pectivos secretarlos,4e cámara, lo's ¿que continuaron . én su «administración y en la…</t>
  </si>
  <si>
    <t>Cárlós</t>
  </si>
  <si>
    <t>…por la Junta central, por las Regencias del reyno y por las Cortes, que tengan relación con la dirección * adminhtf ación y distribución de jas en comiendas de los Sres. Infantes D. Cárlós, D. Fi;antrÍ5cq de Paula ,.'I&gt;. An tonio y D. Carlos Luís,Jtey de. Etturia ; habiendo determinado igualmente fque se reintegre á SS. A A. en el gobierno, adn&gt;inistrácioji y goce, de dichas encomiendas, sus frutos y rentas, en quanto no estén derogados por las…</t>
  </si>
  <si>
    <t>…n esta última guerra y en todas épocas desde sa creación mi brigada de Carabineros, y queriendo atender á la inclinación y deseos que me ha manifestado mi amado Hermano el Infante D. Carlos de servir militarmente á la frente de ella; en justa correspondencia del amor, consuelo,,exemplar fidelidad, y servicios que le he debido, acompañándome en las privaciones y trabajos de mi lar«go cauti verio, y en honor, y parte de recompensa de aquella, é ig…</t>
  </si>
  <si>
    <t>I sor honorario de S. My en ejercicio del Sermo. 5r. Infante D. Carlos, el mariscal de campo de los reales exércitos D. José Duran y Barazabal , y Don Domingo BalmasedaAmaestrante de Ronda, comisionados por el ayunta miento de la M. N. y L. ciudad de Soria para felicitar á S. M. y AA. por su regreso al trono, tuvieron el honor d…</t>
  </si>
  <si>
    <t>…S. muchos años. Madrid 6 de Julio de 1814. El dia 5 de este mes dispensó el Rey á la Academia de S. Fernando la honra de pasar á visitarla acompañado de SS. AA. los Sres. Infantes D. Cárlos y D. Antonio. Sentados S. M. y AA. debaxo del dosel recibió el secre tario de manos del protector el Excmo. Sr. duque de S; Carlos, y leyó en alta voz la real orden, por la que deseando el Rey acreditar el,distinguido aprecio que le merecen las nobles artes por lo mucho,q…</t>
  </si>
  <si>
    <t>…o la Real orden si guiente í ~ „ Por Real resolución de i.° del corriente mes tuvo á bien S. M. crear una Junta de Generales, baxo la inmediata presidencia del Sermo. Sr. In fante D. Cárlos,, para tratar de los puntos concernientes á dar una Consti tución al Exército, qual le convenga asi al estado de paz como al de guer ra , de *u instrucción, establecimiento de Colegios militares,. premios, reti ros , y quanto se créa necesario á organizarlo e…</t>
  </si>
  <si>
    <t>964</t>
  </si>
  <si>
    <t>…do expuestos, á medida de la confianza que me han merecido, y de los Singulares servicios que me han hecho, procurando mi alivio y el de mis muy amados Hermano y Tio, los Infantes D. Carlos y D. Antonio, com pañeros inseparables mios ert mis desgracias; sus privaciones, y el doloroso estado de sus desamparadas familias, han conmovido la sensibilidad de mi co razón, y me han excitado á que remunere tan estimables sacrificios por quantos medios me dicte mi pat…</t>
  </si>
  <si>
    <t>…ación, han de celebrarse los examenes. Colección selecta de las producciones poéticas, que con motivo del feliz arri bo á Zaragoza de nuestro adorado Monarca Fernando vn é Infante D. Carlos, se han compuesto para cantar en los carros triunfales y coliseo, y para fixarse en las fachadas de las parroquias y magníficos altares que han dispuesto algunos gremios de esta ciudad: un qua ierno en 8.°, á 20 quartos. Se hallará en dicha ciudad en las libr…</t>
  </si>
  <si>
    <t>Gaceta de Madrid n.º 119</t>
  </si>
  <si>
    <t>973</t>
  </si>
  <si>
    <t>…a 17 del corriente dispensó S. M. á so Rea! colegio de cirugía médica de S. Carlos de esta corte ia singular honra de pa&lt;ar á visi tarle, acompañado de SS. A A. los Sres. Infantes D. Carlos y D. Antonio. Concurrieron á tener el honor de recibir á S. M. y AA. al apearse del co che un lucido y numeroso concurso de personas de 1a primera distinción, de oficiales ¿y generales; los individuos de la Real ¡unta de hospitales, y l os ca tedráticos y dependientes del…</t>
  </si>
  <si>
    <t>1007</t>
  </si>
  <si>
    <t>…. Fernando vi á cargo de D. Pedro Di*z dle Mendoza el manejo y dirección de dicho ramo ; enérgica con-uIra que á su consecuen cia hizo el mi Consejo, y Real resolución dada por ei Sr. D. Carlos nr, mi augusto Abuelo, en el añ© de 176a, declarando que todos los’ i'rv pios dei Reyno- habían de correr baxó la inspección del mi Cornejo, encargan,*dole muy particularmente que tomase conocimiento de ellos, dv sus valores y cargas, y que con arreglo á la i…</t>
  </si>
  <si>
    <t>…or parte de los cantones. ESPAÑA. Madrid 12 de Setiembre,. El día 30 del mes de Agosto último á las seis de la tarde el Rey nuextro Señor, acompañado de los Sermos. Sres. Infantes D. Carlos y D. Antón»</t>
  </si>
  <si>
    <t>…y nuestro Señor se ha servido expedir el decreto siguiente; Condeccendiendo con las insinuaciones que me ha hecho la Junta de Ge nerales presidida por mi amado íjermano el Infante D. Carlos para que concediese un indulto á favor de todos les desertores sin circunstancia agra vante por el plausible motivo de mi llegada á estos Reynos á ocupar el tro no de mis mayores, y teniendo al mismo tiempo presente lo que sobre el particular me ha consultado…</t>
  </si>
  <si>
    <t>…M.. los muchos años que le desean todos, sus fieles vasallos.” En el mismo dia tuvo también la honra de presentarse á S. M. y besar se Real mano y la de los Sermcs. Sres. Infantes D. Carlos y D. Antonio, uña diputación de la villa del Toboso, compuesta de D. Miguel Martínez Cano, caballero profeso del hábito de Calatrava; del Dr. D. Mariano Rufi no González, corregidor por S. M. de la villa de Tarazona de la Mancha, y de D. Manuel Maria González, vecino de l…</t>
  </si>
  <si>
    <t>…mientras permaneciese en la Corte, á no tener en ella empleo ó domicilio fixo: cuya providencia, dictada por primera vez por el Sr. Rey D. Fernando vi en 1753, fue renovada por el Sr. D. Carlos ni en Diciembre de 1759, y ex tendida posteriormente en 1784, aun á aquellos Eclesiásticos que se hallasen fuera de su residencia en comisión de su misma Iglesia, á quienes se mandó que no pudiera consultarse hasta que evacuada su comisión, hubieren residi do…</t>
  </si>
  <si>
    <t>…os decretos siguientes : i,° En mi Real resolución de i.* de Julio próximo pasado tuve á' bien cre .r una Junta de Generales baxo la Presidencia de mi muy amado Hermano el Infante D. Carlos, y en Real decreto de 7 del mismo mes de clarar los objetos á que debia extender sus ideas y trabajos la propia Junta; pero como por algunos délos que se me han presentado he advertido que^</t>
  </si>
  <si>
    <t>…París 24 de Setiembre. Copia de una carta inserta en algunos periódicos de esta capital. Roma &amp; de Setiembre. ,,No pudiera vrnd. formarse una idea de la aflic ción que le causa al rey Cárlos iv su posición actual. Este buen anciano so lo desea vivir eon quietud, y no pvídrá lograrlo mientras el príncipe de la Paz permanezca cerca de su persona. Ya sabe vmd. quan grande ha sido siempre el influxo de Gpdoy con la Reyna: ahora, pues , se vale de él…</t>
  </si>
  <si>
    <t>…a el de la plaza de'Cartage-na á D. Juan de Dios Topete: para el de Tortosa 4 D. Francisco Marcó del Pont: para el de Barcelona á D. Andrés Perez Herrasti: para el de Tarraigona á D. Carlos de España: para el de las quatro villas de Santander 4 vD. Vicente Quesada; y para el de Lérida á D. Francisco Fulgosio. Igualmente se ha servido nombrar S. M. par-a la regencia del consejo djs Navarra á D. Juan Garrido López: para una plaza de oidor nacional del rtirm…</t>
  </si>
  <si>
    <t>2053</t>
  </si>
  <si>
    <t>…mbién lo es que haciéndose cargo los licenciados de que tan útil era en aquel tiempo el dinero como los hombres, dexaron mas de 120® reales en metálico para equipar la división de D. Carlos España. ,,Tales son, Señor, los servicios de vuestra villa de Laseca, que se pre senta hoy á prestar sus homenages y respetos al mejor délos Reyes, al Rey mas deseado, al sucesor de S. Fernando, á quien el cielo prospere en com pañía de sus augustos Tio y Hermano pa…</t>
  </si>
  <si>
    <t>…mar, que habita también en el palacio. Antes de ayer llegaron también á esta capital los lores Valetort y Apsley, el conde Quadt Isny, el conde de Schladen, chambelán prusiano, el príncipe Carlos, príncipe heredero de Lourenstein-Werthem-Freudemberg7 y el barón de Ende. BELGICA. Br us élas s_9 de Setiembre. S. A. R. el príncipe soberano, después de haber visitado á Mastrlcht, Hasselt y una parte de la orilla izquierda del Mosa, llegó el 26 á las 12 de…</t>
  </si>
  <si>
    <t>…emente se lo ruegan.” ARTICULÓ DÉ OFICIO. ' ' ' ' 1 1 : “ Ayer 2 f del corriente á las die'z de'la mañana S. M. el Rey nuestro Se» ñor, acompañado de SS. £A*. Sermas. los lníantes D. Carlos y-D.’Antonio*</t>
  </si>
  <si>
    <t>…l día 14 de este mes, de vuelta de paseo, se dignó el Rey nuestro Se ñor pasar á visitar los estudios de la Real academia de S. Fernando, acom pañado de los Sermos. Sres. Infantes D. Carlos y D. Antonio, consiliario* de la misma. El Excmo. Sr. duque de San Carlos, protector de la academia, había salido al encuentro de S. M. y A A. en el paseo, y los Sres. vice protector, consiliarios y secretario tuvieron la honra de recibirlos al pie de la escalera; habiend…</t>
  </si>
  <si>
    <t>…a , á costa de todo género de sacrificios , y Ja decadencia y minoración considerable que han padecido sus rentas, no me permiten variar la Real re solución de mi Augusto Padre el Sr. D. Carlos iv, tomada por el Decreto de 30 de Noviembre de 1792, reduciendo la parte concedida solo á la décima; cuya exacción, administración y efectiva aplicación es la que encargo y co meto al expresado Colector general, para cuyo desempeño podrá nombrar los Subdeleg…</t>
  </si>
  <si>
    <t>…orster, acusado de haber faltado á la subordinación al Gobernador de la plaza de Ciudad-Rodrigo D. Francisco Dionisio Vives, y al segundo Co mandante general de Castilla la Viej*a D. Carlos España siendo Comandan te de Artillería de aquella Plaza; se ha servido S. M. declarar, conformán dose con el parecer del Consejo Supremo de la Guerra, que no hubo moti vo justo para h formación de la referida causa, en la qual por lo tanto debe sobreseerse , absolv…</t>
  </si>
  <si>
    <t>Cárlos, D-</t>
  </si>
  <si>
    <t>D- Cárlos</t>
  </si>
  <si>
    <t>…la única ocupación que tenían todos era el objeto de esta jornada. Todas las gentes se habian pues to los vestidos mas luxosos con proporción á los medios de cada uno. SS. MM. el Sr. D- Cárlos iv y su augusta esposa, la reyna de Etruria y el infante D. Francisco salieron por la mañana, acompañados de su comi tiva, á esperar á S. S. á la casa de campo llamada Ja Justiniana, en donde 5, S. debía descansar algún tiempo. f Luego que llegó el coche del…</t>
  </si>
  <si>
    <t>Carlos, Duque de San</t>
  </si>
  <si>
    <t>Duque de San Carlos</t>
  </si>
  <si>
    <t>…mbre próximos , restable cer la Superintendencia general de este ramo en el mismo pie que lo esta ba el año de 1898 &gt; á cuyo efecto se sirvió nombrar por Superintendente al Excmo. Señor Duque de San Carlos, como primer Secretario ,de Estado; y S. E. tuvo á bien elegirme á mí, con aprobación del Rey, por Subdele gado general de Bienes Mostrencos, Vacantes y Abintestatos. En este concepto , y para que se verifique el cumplimiento de la enunciada Real Cédula, inst…</t>
  </si>
  <si>
    <t>Carlos, Infante O.</t>
  </si>
  <si>
    <t>Infante O. Carlos</t>
  </si>
  <si>
    <t>…á besar la mano de S. M. los diputados de ia provincia de Truxillo del Peni el Dr. D. Blas Ostolaza , capeliiii de honor de S. M., su confesor honorario, y en exercicio del Sermo. Sr. Infante O. Carlos; el Dr. D. Pedro García Coronel, párroco del pue blo de Ayabaca, y D. José Gavino Ortega, párroco del pueblo de Paiian^ el primero de los cuales pronunció el discurso siguiente: ,,Señor: los diputados de la provincia de Truxillo del Perd tienen él* honor ce h…</t>
  </si>
  <si>
    <t>Carmen, María del</t>
  </si>
  <si>
    <t>María del Carmen</t>
  </si>
  <si>
    <t>…Bernardo de Iparraguirre, cura párroco del Quintanar del Rey , y conducto del señor mayordomo mayor, 20© rs. vn. para ocurrir á las presentes urgencias del estado. Doña Joaquina, Doña María del Carmen", Doña Teresa y Doña Ber narda López Val verde han hecho cesión á S. M. de 137 25 rs. vn. que im portan sus haberes de la pensión que disfrutan. Don Francisco Antonio Sobron ha ofrecido á S. M. 3© rs. que entregó en calidad de empréstito al ayuntamiento de Mi…</t>
  </si>
  <si>
    <t>Carminad, Francisco</t>
  </si>
  <si>
    <t>Francisco Carminad</t>
  </si>
  <si>
    <t>…aoiz, cuyó gefe las participa en oficio de 2j del corriente desde su quartelgeneral de Tepecuacuilco• Excmo. Sr.: á mi salida para Tasco dexé mandando en Tepecuacuilco al teniente coronel D. Francisco Carminad, recomendándole al capitán co— mandante del esquadron del Sur D. Manuel del Cerro, cuyos conocimien tos prácticos sobre el terreno que ocupa la división podían ser de mucha utilidad, encargándole que me diese prontos avisos de qualquiera ocur rencia. iEl dia…</t>
  </si>
  <si>
    <t>Carmona, Juan Antonio Salvador</t>
  </si>
  <si>
    <t>Juan Antonio Salvador Carmona</t>
  </si>
  <si>
    <t>…por Don Fernando Sdina, copia del célebre quadro de Rafael de Urbino, conocido con el nombre de el Pasmo de Sicilia, y otras dos de S. Juan Bautista y Sto. Tomas apóstol, obras de D. Juan Antonio Salvador Carmona, en tod2s las qbales fué de admirar la entera perfección y exactitud del* estampa do, cosa que no se consigue si no se hermanan la perfección de la máquina con la destreza del operario. Asi lo conoció S. M., y para dar un testimonio de lo satisfecho que había…</t>
  </si>
  <si>
    <t>Carnerero, Mariano</t>
  </si>
  <si>
    <t>Mariano Carnerero</t>
  </si>
  <si>
    <t>…illa de Elche, en elfeynó'tfé'.Vfcléiieia, se*servirá avisarlo a su hermana Sor Josefa Antonia'Sánchez 7 Ruiz, religiosa en el monasterio'dé Elche. Artículo escrito en Londres por D. Mariano Carnerero., y publicado ¡en el Ti mes, periódico bien acteditadonde aquella ciudad ,:el 28 de Julio del presente año, luego que en aquella corte se recibió el decreto deyS. M. Católica el Sr. D. Fernan do vii del 4 de Mayo. Se hallará cU la. librería dc Castülo, frente…</t>
  </si>
  <si>
    <t>Carnicero, Fernando</t>
  </si>
  <si>
    <t>Fernando Carnicero</t>
  </si>
  <si>
    <t>…soldados. Laredo 2 de Marzo de 2814.zzjuan Doz. = Fs copia. zzFrsyrz, ‘ : - :'vj' La Regencia del Reyno se ha s&amp;r.vido promover á teniente en el cuerpo de ingenieros de exército á D. Fernando Carnicero, subteniente del mismo; y á este último empleo'al subteniente de infantería D. Josef Fernandez del Pozo. &gt; — -• ¡ : ~ •; ‘ :: ; ;, --------------------------- U.------- ^ 4—t - r * ----------- — — U íí -.1? .&lt; .¡4— —-■ Por providencia del FraíicLiCG Assin, Ju…</t>
  </si>
  <si>
    <t>Carnicero, Manuel</t>
  </si>
  <si>
    <t>Manuel Carnicero</t>
  </si>
  <si>
    <t>…á D. Fermín Francisco S. Juan, canónigo de la misma: para el arciprestazgo de Santa Olalla , en el arzobis pado de Toledo , vagante por fallecimiento de D. José López de Perea, á D. Manuel Carnicero: para el beneficio simple servidero de la iglesia parro quial de la villa de Moron , en el arzobi pado &lt;le Sevilla, vacante por muer te del expresado D. José López de Perea, á D. Francisco Antonio Gonzá lez del Campillo: paraje! beneficio de la parroquia de S…</t>
  </si>
  <si>
    <t>Caro, Francisco Xavier</t>
  </si>
  <si>
    <t>Francisco Xavier Caro</t>
  </si>
  <si>
    <t>…, Fiscal. = D. Estéban Varea, Secre tario-= Sala segunda de Gobierno. = D. Pedro Aparíci. = Conde de TorreMuzquiz. = D. Ignacio OmulrriannD. Cayetano Urbina. = D. Juan Ro bledo. = D. Francisco Xavier Caro. = D. Josef Aycinena. = D. Antonio Cal derón , Fiscal. = D. Silvestre Collar, Secretario. = Sala tercera de Justician D. Ramón de Posada.s= Di Francisco Josef Viaña. =D. Joaquín Mosque ra, =D. Antonio Salcédon Conde de Vista-Florida. Contador general* que no…</t>
  </si>
  <si>
    <t>Carrasco, Gregorio Antonio</t>
  </si>
  <si>
    <t>Gregorio Antonio Carrasco</t>
  </si>
  <si>
    <t>…o de congra tular á S. A. ha Regencia del Rey no por su feliz traslación á esta, capital, nombró al Dr. D. Antonio Alonso, cura de la parroquial de S. Esteban, y abad del clero; á D. Gregorio Antonio Carrasco, de la de S. Nicolás el Real; á D'. Lu is Batanero, de la de Sta. María la Mayor, y á D. Manuel Gregorio Beleña, beneficiado de la expresada Sta. María,’ para el desempe ño de tan honrosa comisión; lo que verificaron el día 19 del pasado, ha biendo dicho seño…</t>
  </si>
  <si>
    <t>…eron admitidos este mismo dia á cumplimentar á S. M. por su feliz arribo á la capital una diputación del cabildo de curas y bene ficiados de la ciudad de Guadalaxara, compuesta de D. Gregorio Antonio Carrasco, cura de S. Nicolás el Rea), abad del cabido; del Lie. D Manuel Gregorio de Beleña, beneficiado de la parroquia de Santa María U Mayor; dei Dr. D. Antonio Alonso, beneficiado de la de S. Estéban, secretario del cabildo, y de D. Luis Batanero, cura de la expre…</t>
  </si>
  <si>
    <t>Carrasco, Leoncio</t>
  </si>
  <si>
    <t>Leoncio Carrasco</t>
  </si>
  <si>
    <t>…a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 consejo de Hacienda, es la de antigüedad del mismo tribunal, entendiéndose desdeT.° de Abrí! último. El Rey nuestro Señor, á consulta de la junta del Crédito…</t>
  </si>
  <si>
    <t>Carrera, Santiago</t>
  </si>
  <si>
    <t>Santiago Carrera</t>
  </si>
  <si>
    <t>…Mas ía idea formada del valor de esos dignos compatriotas le¿h,ace espe-j rar grandes, cosassiéndole muy'lisonjero al mistnó tiempo; queV,. E. dis pusiese dedas tropas al mando de D. Santiago Carrera. Si las nuevas ocur-&gt; rendas de Montevideo no hubiesen obligado á variar el plan, de nuestras operaciones, saldrían inmediatamente hasta 500 veteranos que ya estuvieron destinados al auxilio de ese estado. Sin embargo, nuestra situación militar nos hace temer…</t>
  </si>
  <si>
    <t>Cárrere</t>
  </si>
  <si>
    <t>…s; 5.0 Obra reis bren si hicieréis publicar y fixár los dos documentos tádjuntós. Como la presente carta os debe servir de poder, os autorizo para hacerla publicar, listad seguro, Sr. Cárrere, de mi estimación. Vuestro apasionado — Luis Antonio.'ss En él palacio re*ál de Burdeos á 13 de Marzo de '1814.” r . Cumplimiento de ¡a orden anterior. y;Nos Josef María de Carrere, nombrado prefecto del departamento de las Latidas: ■ r „ Vista la carta que n…</t>
  </si>
  <si>
    <t>Carreréí</t>
  </si>
  <si>
    <t>…cia de 1814 , y décimonon© de nuestro rey nado. = Lws. = Por mandado del rey = Blacas D* Aulps” Carta del duque de Angulema nombrando prefecto del departamento de las Latidas / Í, Sr. Carreréí habiendo sido ayer aquí reconocida la autoridad del rey con públicas aclamaci ’hes, y enarbolada la bandera blanca, tomé posesión del gobierno en*nombre de S M», en virtud de los poderes que tuvo á bien conloarme, y de qué remito adjunta una copia impresa , é…</t>
  </si>
  <si>
    <t>Carrero, Antonio</t>
  </si>
  <si>
    <t>Antonio Carrero</t>
  </si>
  <si>
    <t>716</t>
  </si>
  <si>
    <t>…y, se hace saber á ios inte resados á fin de que acudan á su albace3 el capitán D. Fernando de la Puente, en Florida , para tratar sobre estos pagos. Se desea saber el paradero de D. Antonio Carrero, secretario interino que fué de la dirección general de provisiones del reyno en Cádiz en el año próximo pa sado de 18 ro , para comunicarle asuntos que interesan. Se dará razón en Madrid en casa de D. Manuel de Uiierte, plaza Mayor, esquina á la calle de la…</t>
  </si>
  <si>
    <t>Carrero, José Morales y</t>
  </si>
  <si>
    <t>José Morales y Carrero</t>
  </si>
  <si>
    <t>…de la santa iglesia metropolitana de Santiago; para el arcedianato de Niebla, dignidad de la santa Iglesia metropolitana de Sevilla, vacante por muerte de D. Francisco Venegas, á D. José Morales y Carrero, canónigo de la iglesia catedral de Mondoñedo ; para una canongía de la iglesia catedral de Cala horra , vacante por fallecimiento de D. Manuel Ruiz de Bravo, á D. Fer nando de San Martin; para una ración de la misma iglesia, vacante por muerte de D. Diego La…</t>
  </si>
  <si>
    <t>…de Setiembre de 1814. El Rey se ha servido nombrar para el arcedianato de Niebla , dignidad* de la iglesia metropolitana de Sevilla, vacante por muerte de D. Francisco Venegas, á D. José Morales y Carrero, canónigo de la iglesia catedral de Mondoñedo: para una canoagía de la iglesia catedral de Calahorra , vacante por fallecimiento de D. Manuel Roiz de Bravo, á D. Fernando San Martin: para una ración de la misma iglesia , vacante por muerte de D. Diego Landiva…</t>
  </si>
  <si>
    <t>Carrillo, Francisco</t>
  </si>
  <si>
    <t>Francisco Carrillo</t>
  </si>
  <si>
    <t>…r de ser presentados á S. M, para cnmr plimentarie por su restitución al trono y besar su real mano en nombre de la villa de Cadahalso en la provincia de Toledo el alcalde de ella D. Francisco Carrillo y D. Salvador Sánchez de Toledo; con cuyo motivo dixo aquel: 1 ,, Señor: el alcalde de la villa de Cadahalso, una de las primeras de Casti\ Ha la Nueva, que en Setiembre de 1808 tuvo la gloria de proclamar á V. M. por Rey de España y de las Indias, rinde hoy á nombre de todos sus con vecino…</t>
  </si>
  <si>
    <t>Carrillo, Gonzalo María del Rio y</t>
  </si>
  <si>
    <t>Gonzalo María del Rio y Carrillo</t>
  </si>
  <si>
    <t>…D. Juan José Díaz Franco: para el beneficio simple de la parroquia de la villa de Arcos de la Frontera, diócesis de Sevilla, vacante por fallecimiento de D. José Ortiz Sandoval,á D. Gonzalo María del Rio y Carrillo: para la prestamera deTrebugena, en la misma diócesis , vacante por muerte de D Gerónimo Manuel de Céspedes, á D. Gerónimo de Godoy y Quintana3y para la prestamera de Texada,en</t>
  </si>
  <si>
    <t>Carrillo, Ignacio</t>
  </si>
  <si>
    <t>Ignacio Carrillo</t>
  </si>
  <si>
    <t>…riano Rodríguez. En el de León* de Huanuco empleos de portaestandarte á D. José Isi dro Baldizan y I&gt;. José Cós. En las compañías sueltas de Santa empleos de capitanes al ayudante Don Ignacio Carrillo y al teniente D. José Félix Muñoz. En el regimiento de milicias disciplinadas de dragones de Lima el em pleo de teniente coronel ai comandante de esquadron D. José Antonio de trrea: esta resulta al coronel conde de Villar de Fuentes, capitán de gra naderos de…</t>
  </si>
  <si>
    <t>Carrillo, José María</t>
  </si>
  <si>
    <t>José María Carrillo</t>
  </si>
  <si>
    <t>…,co&lt;r mandante general de la quarta división, brigadier, del e$j:adpr;mayor. ©on Pedro.Mendez de Vigo, gefe de la primera brigada de ]a división,proyisig^ nal, coronel de.Oviedo. D. José María Carrillo, gefe de ¡a primpra¡ j}rig^||£ de la quarta división, coronel del a.^de Asturias. D. Joaquia V,eja^cqfl. £f.-j eretario de S. É., teniente de la Princesa. D.,feernando.^e;J.a^enríat.gapitagi de ingenieros. D. José. Ortega, teniente coronel , ayudare ¡ .secund…</t>
  </si>
  <si>
    <t>Carrillo, Juan Antonio</t>
  </si>
  <si>
    <t>Juan Antonio Carrillo</t>
  </si>
  <si>
    <t>…ampománes, D. Andrés Lasauca,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t>
  </si>
  <si>
    <t>…........................... Madrid. ^ ' Sí. D. Francisco Arjona Solsoria, Urgel, Tarazón a y Bar• • . i-.:-- -¿u" •/ bastro. . Sr. D. Miguel Alfonso Villagomez... Canaria y Ceuta. Sr. D. Juan Antonio Carrillo............. Cuenca) Badajoz y Plasencia. Sr. D. Tomas Moyano......... Córdoba) Valencia, Segorbe y Ori; huela. Sr¿ D. Juan Antonio de Inguanzo.... Burgos y Santander. Sr. D. Benito Arias de Prada.. .......... Cartagena, Segovia y Osma. Sr. D. Gerónimo Diez..…</t>
  </si>
  <si>
    <t>Carrillo, Juan Antonio González</t>
  </si>
  <si>
    <t>Juan Antonio González Carrillo</t>
  </si>
  <si>
    <t>…a da en Madrid á 25 de Julio de 1&amp;4.SYO EL REY. = Yo D. Juan Igna cio de Ayestarán, Secretario del Riey nuestro Señor, lo hice escribir por su mandado. = El Duque del Infantado. = D. Juan Antonio González Carrillo. s= D. Nicolás María de Sierra. = D. Sebastian de Torres. = D. Luis Melendez y Bruna. = Registrada, Fernando de Iturmendi. = Teniente de Canci ller mayor, Fernando de Iturmendi. El Rey nuestro Señor en consideración á los distinguidos servicios y di* latado m…</t>
  </si>
  <si>
    <t>Carrillo, Vicente María</t>
  </si>
  <si>
    <t>Vicente María Carrillo</t>
  </si>
  <si>
    <t>…opolitana de Valencia , por muerte de D. Vicente Blasco; y para el arcedianato de S. Felipe de Xátiva, dignidad de la misma santa iglesia de Valencia, vacante por fallecimiento de D. Vicente María Carrillo, á D. Sebastian del Aguila y Ulloa. El cabildo de la santa iglesia de Tarragona, que quando la horrible en trada de los enemigos en aquella desgraciada ciudad perdió quanto le que daba, á pesar de los donativos y préstamos hechos á favor de la justa causa, y…</t>
  </si>
  <si>
    <t>Carrol, Guillermo Parker</t>
  </si>
  <si>
    <t>Guillermo Parker Carrol</t>
  </si>
  <si>
    <t>…D.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Francisco D’IIautregard, D. José</t>
  </si>
  <si>
    <t>Carruana, José Vocina y</t>
  </si>
  <si>
    <t>José Vocina y Carruana</t>
  </si>
  <si>
    <t>…Enero de 18 10 se remitieron á Cádiz por el correo disde Valencia quatro vales reales, creación de i.° de Mavo, de á 600 pesos, con los números 399334» 400388,401580 y 402488 , á D. José Vocina y Carruana, á quien estaban endo sados; y no habiendo llegado á sus manos, se suplica al que los tenga los entre gue en Valen ia á D. Miguel Royo, de aquel comercio, y en Madrid á D. Julián Hernández Campo, que vive en la costanilla de los Desamparados en el corralón. R…</t>
  </si>
  <si>
    <t>Carta, Diego</t>
  </si>
  <si>
    <t>Diego Carta</t>
  </si>
  <si>
    <t>…la mañana; lo que se hace saber á dichos acreedores para que concurran á ella, en tendidos que de no hacerlo les parará el perjuicio que haya lugar. Sí desea saber el paradero de D. Diego Carta, teniente coronel del regimien to i.° voluntarios de Murcia, y antes espitan del regimiento infantería de Toledo, que habiendo quedarlo prisionero en Febrero de s8op en la rendición de la ciudad de Zaragoza , en su tránsito para Francia se quedó enfermo en el…</t>
  </si>
  <si>
    <t>Cartagena, José de</t>
  </si>
  <si>
    <t>José de Cartagena</t>
  </si>
  <si>
    <t>…eal mano la carta del cabildo. El dia 2 del corriente fué asimismo admitida á felicitar á S. M. una di putación del ayuntamiento de la ciudad de Vailadolid, compuesta del alcal de D. José de Cartagena, del regidor D. Frambco Fernandez Santos, y del procurador síndico D. Rafael Masas; el primero de los quafes arengó á S. M. en los términos siguientes: ,, Señor: fe ciudad de Vailadolid , representada .por ia diputación de su ayuntamiento tiene la satisfacció…</t>
  </si>
  <si>
    <t>Carvajal, Ciríaco González</t>
  </si>
  <si>
    <t>Ciríaco González Carvajal</t>
  </si>
  <si>
    <t>…ñores que se denotan al margen. = Lie. Fernandez. 3.a Sentencia pronunciada por el mismo supremo tribunal en sala primera. SEÑORES DE SALA PRIMERA# D. Antonio Ignacio Cortavarría. D. Ciríaco González Carvajal. D. Vicente Fita. D. Miguel Alfonso Vilhgomez. ; D. Toribio Ugarte, adjuntó se confirma con costas la sentencia pronunciada por la sala segunda de este síupremo tribunal, en quanto revocó como injusta la del tribunal espe cial creado por las Cortes generales…</t>
  </si>
  <si>
    <t>Carvajal, José Marta de</t>
  </si>
  <si>
    <t>José Marta de Carvajal</t>
  </si>
  <si>
    <t>…ámon de Alós, D Pedro Ignacio Correa, D. José de Zarauz* D. Francisco Salinas de Moñino, D. José del Pozo y Sucre, conde de Bel— bedel , D. Cárlos O’Doneli, D. Bernardo de Acuña , D. José Marta de Carvajal, el marques de Zayas, D. José María de Alós , D. Felipe de Paz, Príncipe de Anglona, D. Juan Senen de Coimeras, D. Felipe KeatingRoche, y D. Francisco Cabrera. A mariscales de campo á los brigadieres D. Miguel de los Ríos , D. Car los de Gunchi, D. Bartolomé…</t>
  </si>
  <si>
    <t>Carvajal, Vicente</t>
  </si>
  <si>
    <t>Vicente Carvajal</t>
  </si>
  <si>
    <t>…Ramón Gastellá; id. de id. D. Ramón Collast, subteniente de id. D. José Ordoñez, id. de id. D. Pedro Mateo Olorn, sargento mayor del i.° Cántabro. Don Juan Suarez, capitán de id. D. Vicente Carvajal, id. de id. D. Juan Piñal, teniente de id. D. Francisco Mediavilla, id de id. D. Ramón de Arribas, subteniente de id. D. Silvestre Hidalgo, teniente coronel del de Laredo. D. Bernardino García, capitán de id. D. Antonio González Villamil, ayu dante de id. D.…</t>
  </si>
  <si>
    <t>Cas</t>
  </si>
  <si>
    <t>…corporarse en Ciudad-Rodrigo con las compañías de granaderos del mando del comandante Castañeda; hallóse en 16 de Mayo de 1808 en el ataque de la ciudad de Cascante y retirada del general Cas taños, pasando entonces á la ciudad de Sigíienza; y como desde esta época no se haya vuelto á tener noticias de él, se suplica al que las tenga se sirva comunicar las en Madrid i JD. Anselmo García, plazuela de ia Cebada, núm. 1 , frente á la parroquia de S.…</t>
  </si>
  <si>
    <t>Cas, Francisco</t>
  </si>
  <si>
    <t>Francisco Cas</t>
  </si>
  <si>
    <t>…Juan Tomas Marín son el consultor D. Antonio de Denláfen, el primer ayudante D. Rafael Genebriera, el segundo habili tado5 D. Antonio Briart ,. y el físico del batallón de marina D. Francisco Cas ero. Los capellanes D. José Miranda y D. Francisco Varela son también dig nos de recomendación por Iá caridad que han empleado en la asistencia es piritual de los heridos. Mis ayudantes de campo los capitanes D. Manuel del Pozo y D. Antero Henriquez , el teni…</t>
  </si>
  <si>
    <t>Cas, Ignacio García del</t>
  </si>
  <si>
    <t>Ignacio García del Cas</t>
  </si>
  <si>
    <t>…llecimiento de D. Manuel García Serrano , á D. Bartolomé Vi vas y Romero; para el beneficio simple servidero de la parroquia de Tarancon, diócesis de Cuenca, vacante por muerte de D. Ignacio García del Cas tillo, á D. Marcos Ponce de León ; y para el beneficio curado de la villa de Andoain , diócesis de Pamplona, vacante por fallecimiento de D. Juan Bau tista de Barberena, á D. José Oyen.¡rte, teniente de cura de la parroquia de S. Vicente.de la ciudad de S. Se…</t>
  </si>
  <si>
    <t>Cas, José de</t>
  </si>
  <si>
    <t>José de Cas</t>
  </si>
  <si>
    <t>…de D. Antonio Ladero, á D. Manuel de Cos, medio racionero de la propi i iglesia; para otra canongía de la iglesia colegial de Tala-era, dió cesis de Toledo, vacante por muerte de D. José de Cas ro, á D Sebastian Nicanor Sánchez; para una media ración de la iglesia catedral de Córdoba, vacante por fallecimiento de D. Manuel García Serrano , á D. Bartolomé Vi vas y Romero; para el beneficio simple servidero de la parroquia de Tarancon, diócesis de Cue…</t>
  </si>
  <si>
    <t>Casado, Tomas de</t>
  </si>
  <si>
    <t>Tomas de Casado</t>
  </si>
  <si>
    <t>…gón; D................ secretario del Real consejo de las Ordenes; D. Manuel Gamboa, teniente mas antiguo de corregidor de Madrid; D. Sebastian Sal cedo, secretario y contador; y D. Tomas de Casado, tesorero interino ; y habiéndose reunido la primera vez el dia 4 del corriente, se avisa al público de orden de la misma para su inteligencia, y que los interesados puedan acudir con sus solicitudes al secretario contador, calle depreciados, núm. 17, &lt;5 al t…</t>
  </si>
  <si>
    <t>Casals, Francisco Planas y</t>
  </si>
  <si>
    <t>Francisco Planas y Casals</t>
  </si>
  <si>
    <t>…id, en 18 de Junio de este año remitió por el correo un vale de 600 pesos de la creación de Mayo, número 4; 0477 , encabezado á D. Domingo de Zuazagi, y con esta firma lo endosó á Don Francisco Planas y Casals, de Barcelona, que escribe no haberle recibido. Suplica á la persona á quien haya ido á parar lo entregue en Barcelona ai citado D. Fran cisco Planas y Casals, y en Madrid al citado Ameller. Segundo quaderno ó continuación de la escuela completa de música: si…</t>
  </si>
  <si>
    <t>Casas, Manuel de</t>
  </si>
  <si>
    <t>Manuel de Casas</t>
  </si>
  <si>
    <t>…ra que llegando á noticia de estos interesados, se presenten por sí, ó por medio de apoderado, en dicha villa de Osu na á los albaceas de la Doña Ana de Ayllon, que lo son el Lie. D. Manuel de Casas, abogado de los reales consejos, y D. Arcadio Benitez; pu;’s no haciéndolo ú Ja mayor brevedad, procederán según lo dispuesto por la testadora. En la parroquial de la villa de Haro, provincia de Rioja, se halla vacante la plaza de tenor, cuya dotación son och…</t>
  </si>
  <si>
    <t>Cascos, Juan Ignacio</t>
  </si>
  <si>
    <t>Juan Ignacio Cascos</t>
  </si>
  <si>
    <t>…las gracias, y sé anuncie al público por medio de la gaceta. Los subscriptores á la ob»a intitulada Geografía universal, escrita en ingles poe Guil iermo Grutrie, y traducida por D. Juan Ignacio Cascos, acudirán á la libre ría de Gómez, calle de las Carretas, á recoger el tomo 13 , &lt;jue contiene la conti nuación de los Estados-Unidos del Sur, la América española oriental y occidental, Nueva-Espana, las islas occidentales españolas, inglesas, francesas, hola…</t>
  </si>
  <si>
    <t>Casimiro</t>
  </si>
  <si>
    <t>su cuerpo, el cbmandahte dé artillería coronel D. Casimiro “Valdés, el co mandante del batallón del centro D. Sebastian Benavente', cTcorohel de ca ballería D. Jorge Baiüvian, el comandante dél esqüadroa de dragones par tidarios D. Saturnino Castro, el de los mismos de infantería D. Ramón Aquenza, el de cazadores D.…</t>
  </si>
  <si>
    <t>Caso, Antonio García</t>
  </si>
  <si>
    <t>Antonio García Caso</t>
  </si>
  <si>
    <t>* 22§4 ESPAÑA. Madrid 19 de Diciembre. El Dr. D. Antonio García Caso, profesor público de humanidades por S. M., catedrático de elocuencia de la ciudad de Loja, director de la ins trucción púb i a de todo su partido, censor de toda la provincia, é indivi duo de la Real academia latina matritense, acompañado de los diputados y…</t>
  </si>
  <si>
    <t>Caso, José Sánchez del</t>
  </si>
  <si>
    <t>José Sánchez del Caso</t>
  </si>
  <si>
    <t>…vacantes D. To mas Aparicio Santin, deán y canónigo de la iglesia catedral de CiudadRodrigo, D. Juan Losada y Calderón, canónigo fabriquero, D. Vicente Ruiz Albilios, doctoral, y D. José Sánchez del Caso, canónigo , comisiona dos todos por el cabildo de la expresada iglesia; de los quales el primero dixo el discurso siguiente: „ Señor: el cabildo de la santa iglesia catedral de Ciudad-Rodrigo, cons tante por principios en los sentimientos de respeto, de obedi…</t>
  </si>
  <si>
    <t>Castán, Joaquín</t>
  </si>
  <si>
    <t>Joaquín Castán</t>
  </si>
  <si>
    <t>…na comisión V compuesta de los Sres. D. Manuel Abella, ca ballero pensionado de la Real y 'distinguida orden española de Carlos' nr, oficial de la primera secretaríaqde Estado; de D. Joaquín Castán, capellán de altar de S. M. 4 y. del Dr. D. Mariano Gastillon, colegial del mayor de S Vicente de la ciudad, de, Huescay catedrático de prima de canon es-en su universidad; los quales. habiendo sido admitidos á felicitar i S. M. el 26 del mes próximo pasado*…</t>
  </si>
  <si>
    <t>Castañeda</t>
  </si>
  <si>
    <t>…ldivieso, jurisdicción de Víllarcayo, provincia de Burgas, que adió de su patria en Junio de 1802 para incorporarse en Ciudad-Rodrigo con las compañías de granaderos del mando del comandante Castañeda; hallóse en 16 de Mayo de 1808 en el ataque de la ciudad de Cascante y retirada del general Cas taños, pasando entonces á la ciudad de Sigíienza; y como desde esta época no se haya vuelto á tener noticias de él, se suplica al que las tenga se sirva comunicar…</t>
  </si>
  <si>
    <t>Castañeda, Juan</t>
  </si>
  <si>
    <t>Juan Castañeda</t>
  </si>
  <si>
    <t>…quía.” El dia 12 del mismo fue igualmente admitida á besar las reales manos dt S. M. y AA una comisión del cabildo déla santa iglesia catedral de Orihuela de Segura , compuesta de D. Juan Castañeda, caballero de la real y distingui da orden de Carlos m , arcediano de Alicante, dignidad de dicha Iglesia, y D. José A4iralles, canónigo penitenciario de la misma; y llevando este la pa labra , pronunció el breve discurso siguiente: ,, Señor: el cabildo de la…</t>
  </si>
  <si>
    <t>Castaño, José Agustín</t>
  </si>
  <si>
    <t>José Agustín Castaño</t>
  </si>
  <si>
    <t>2°2? pado de Sevilla, vacante por fallecimiento de D. José Agustín Castaño, á D. Ramón de Arrióla. Animismo se ha servido S. M. nombrar para la canongía que debe va car en la iglesia de Calahorra por promoción de D. Fermín Francisco San Juan á la dignidad de arcediano de Bsrberiego, en la misma catedral, á D. Matías Antonio Gómez, e…</t>
  </si>
  <si>
    <t>Castañon, José</t>
  </si>
  <si>
    <t>José Castañon</t>
  </si>
  <si>
    <t>…oluntarios.de la Carona, D.*Mapuel José Pii^a, teniente de id. D. Francisco Ajan &gt; subtenienteid., D^Jos# Moreno, ayudante del de Oviedo. D. Pedro María Fernandez/ teniente de id. D. José Castañon, subteniente de ud. D. José Gómez, s.uStjménte.;dé Laredo. D. Leonardo Sicilia, coronel de tiradores de Cantabria. .©..Pascual Perez Lazarraga, teniente de id. - , . , . r3 ' ... ■ . Heridos. ' \ El teniente general D. Gabriel de Mendizabal. D.. José | ,co&lt;r…</t>
  </si>
  <si>
    <t>Castañon, Vicente</t>
  </si>
  <si>
    <t>Vicente Castañon</t>
  </si>
  <si>
    <t>…élná ¿-subteniente de id. D. Ramón de Muniz, sargento mayor ac Oviedo. D. Alberto Rodríguez, capitán de id. D. Fermín Rol dan^ teniente de id. D. José Morrillo, subteniente de id. D. Vicente Castañon, capitán del i.° Cántabro D. Bernardo Alvarez Vega, capitán del idé Laredo. D. &lt;3ábriel González Llanos , capitán de id. D. Alberto Rozas, teniente dé tiradores de Cantabria. D. Pedro Villanueva, subteniente de id. Quártef general de Croix-Dorade 11 de Abril…</t>
  </si>
  <si>
    <t>Castaños</t>
  </si>
  <si>
    <t>…santa iglesia de Osma, que en el mes de O tubre-de 1808 salió de la villa del Burgo de Gima, incorporado á la división del general Cuesta, y que. habiéndo se unido al exército del general Castaños , filé destinado ai regimiento de Campomayor," en el que parece se halló incorporado en la batalla de Medeliin, sin que después se hava tenido noticia cierta de su paradero. La persona, pues, que tuvie re noticia de él, se servirá comunicarla á D. Clemente de…</t>
  </si>
  <si>
    <t>…enemigos: de las inmensas contribuciones y castigos que ha sufrido por su constante amor á V. M. y á sus valerosos defensores, conducidos por el inmortal marques de la Romana y el general Castaños: por el alistamiento de toda la juventud de este pueblo, manteniendo un cre cido cuerpo de caballería en las banderas de la patria ; y por haber sido el primer fuego eléctrico que en la Extremadura imitó gloriosamente al de la ciÍKiad de Sevilla. ,, En recomp…</t>
  </si>
  <si>
    <t>Castaños, Francisco Xavier</t>
  </si>
  <si>
    <t>Francisco Xavier Castaños</t>
  </si>
  <si>
    <t>$&gt;20 , ritos D. Francisco Xavier Castaños, á cuyo conocido- talento y acertadas disposiciones sedebió tan gloriosa jornada ; he .venido en concederle plaza en elCónsejo de Estado con el sueldo, casa dé aposento y demas emolumentos correspondientes, releyándolé dlel pago de la media anata. Tendráse en…</t>
  </si>
  <si>
    <t>…s dos mundos á una sola familia y un mismo interes/’ Asimismo en este dia se presentaron á S. M., como comisionados de la villa de Bilbao,, los Excmos. Sres. D. Juan de Escoiquiz, D. Francisco Xavier Castaños y D. Francisco Ramón ¿e Eguía, para cumplimentarle so bre su feliz regreso á España ; explicando el primero, que llevó la palabra, los sentimientos de aquel leal vecindario. en los términos-siguientes: „Señor: la villa de Bilbao nos ha confiado la honrosa comisión de que á nombre…</t>
  </si>
  <si>
    <t>…del mismo el Excmo. Sr. marques de Sta. Cruz, en representación de la Excma. Sra. condesa de Benavente y duquesa de Arcos, su madre po lítica, y acompañado del Excmo. Sr. capitán general D. Francisco Xavier Castaños , tuvo la honra dejponer en manos del Rey nuestro Señor una re presentación de 1a villa de Casares, felicitándole por su restablecimiento en el trono y derechos de su soberanía, y acompañando tres exemplares im presos del expediente en que se recopilan los es…</t>
  </si>
  <si>
    <t>Castell, Manuel Ramón</t>
  </si>
  <si>
    <t>Manuel Ramón Castell</t>
  </si>
  <si>
    <t>…. D. Alexandró: Larrüa, teniente de id. D. Manuel Rodríguez, subteniente de vo luntarios de Asturias. D. Ramón Solís, teniente de la Corona. D. Antonio María de Castro, id. de id. D. Manuel Ramón Castell, id. de id. D. An drés Gayoso,, subteniente de id. D. Pedro Cid, id. de id. D. Lorenzo As ease) ¿ teniente coronel del de Ribero. D. Bartolomé Sotelo, capitán de id. D. Joaquín Zarráélná ¿-subteniente de id. D. Ramón de Muniz, sargento mayor ac Oviedo. D. Alb…</t>
  </si>
  <si>
    <t>Castell, Martafio</t>
  </si>
  <si>
    <t>Martafio Castell</t>
  </si>
  <si>
    <t>…eniente de Id. D. Benito Martínez, id. de Id. D. Juan Guillen, subteniente de id. D. Francisco Quiroga, id. de id. D. Juan Cancela, id- de id. D. Bernabé de las Pallas, id. de id. D. Martafio Castell, teniente coronel, sargento mayor de la Corona. D. Tomas Noriega, teniente de id D. Mariano Canalls, subteniente de id. D. Ventura Noguérra, id. de id. D. José María Falcon, sargento mayor del de Ri bero. D. Ramón de Castro, capitán de id. D. Pedro Neyra, ten…</t>
  </si>
  <si>
    <t>Castellanos, José</t>
  </si>
  <si>
    <t>José Castellanos</t>
  </si>
  <si>
    <t>…citada presidencia al brigadier D. Igna cio Balanzat, con quien podrán entenderse los sugetos que tengan asuntos pendientes en el referido tribunal. Se desea saber el paradero de D. José Castellanos, natural de Valdeolivas, sol dado distinguido del batallón voluntarios de Guadalaxara, de la división de Don Juan Martin (alias el Empecinad©), que fué hecho prisionero el año de 18 11 en e! robledal de Siguenza , y conducido á Francia, donde quedcS enfermo e…</t>
  </si>
  <si>
    <t>Castellar, José</t>
  </si>
  <si>
    <t>José Castellar</t>
  </si>
  <si>
    <t>…orete, D. Repulido 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 Laserna , D. Felipe de Sesma, Don Antonio Tomas, el barón de Biure, D. Gaspar de Roeabjruna, D. José Ma ría de Torrijos, D. Gaspar Dirwe…</t>
  </si>
  <si>
    <t>Castiereagh</t>
  </si>
  <si>
    <t>…entiñque con el de la Europa. Idem 25. Anteayer hubo una junta general y extraordinaria de los embaxadores y plenipotenciarios extrangeros, residentes en esta corte, en la casa de lord Castiereagh: se hallaron presentes los embaxadores ruso, turco, español y portugués, y M. H. Fagel, en calidad de embaxador holandés. Se junta ron á las once, y estuvieron conferenciando hasta las dos. Concluida la jun ta. el enibaxador ruso y lord Castiereagh tuvieron a…</t>
  </si>
  <si>
    <t>…contra rusos y prusianos cer ca, de Montmirail, y ha cogido io cañones, io banderas y io© prisio neros (i).” El 17 de este mes salió de aquí un correo de gabinete con pliegos para lord Castiereagh; pocos dias antes habla sido despachado otro. Sabemos que nuestro gabinete ha resuelto proseguir vigorosamente la guerra en territorio francés mediante la mas estrecha unión con la Rusia, la Prusia y el Austria. Pueden considerarse ya como acabadas las negoci…</t>
  </si>
  <si>
    <t>Castíereagh</t>
  </si>
  <si>
    <t>…e Inglaterra y de las potencias aliadas para ocupar en su nombre la isla y for taleza de Corfú conforme al artículo 3.° del tratado, firmado en París el 23 dfe Abril último por el lord Castíereagh y el príncipe de Benevento. En vir tud de esto, tanto la isla como la fortaleza de Corfú se entregarán a las tro pas británicas al paso que las francesas se vayan embarcando en la esquadra que ha llegado de Francia. ITALIA. Roma 25 de Junio. El cardenal Julio…</t>
  </si>
  <si>
    <t>Castigo, Ignacio García del</t>
  </si>
  <si>
    <t>Ignacio García del Castigo</t>
  </si>
  <si>
    <t>…de Iturmendi. = Teniente de Canciller mayor, Eernando de Iturmendi. El Rey se ha servido nombrar para una canongía de la iglesia catedral de Segovia, vacante por fallecimiento de D. Ignacio García del Castigo, á D. Manuel Martin Mauriz, racionero mas antiguo de la misma catedral: pa ra la ración que resultará vacante "por promoción de dicho Mauriz a Don Laureano González Mendizabal: para el arcedianato de Madrid, dignidad de la santa iglesia primada de Toledo, vac…</t>
  </si>
  <si>
    <t>Castilla, Joaquin Mercadillo y</t>
  </si>
  <si>
    <t>Joaquin Mercadillo y Castilla</t>
  </si>
  <si>
    <t>…e de los Tintes á Puerta Cerrada. Se desea saber ó descubrir por qué casa de giro ó por qué otro conducto se pu sieron en esta corte el año de 1808 unos i82&gt; rs., pertenecientes á D. Joaquin Mercadillo y Castilla, vecino que era y ganadero en la villa de Barcarrota, en la provincia de Extremadura; y como de esta noticia depende la existencia ó total ruina de un hombre de honor y su familia, se suplica i la persona que pudiese co municar alguna luz sobre este asunto se…</t>
  </si>
  <si>
    <t>Castilla, Sancho de</t>
  </si>
  <si>
    <t>Sancho de Castilla</t>
  </si>
  <si>
    <t>…ose entonces á discurrir por las calles, que tedas estaban rica y-suntuosamente adornadas. '• : A las 7 de la noche del propio ¡día se sirvió en Jos, salones de la casa llamada de D. Sancho de Castilla, que je hallaban decorados ricá y magní/idamente, un delicado y abundante reireico , alique asistieron el R. obispo, el ayuntamiento , el intendente , el cabildo catedral, los geffcs y oficiales.mi litares, .los comisarios'ingleses J los empleados y muchas pe…</t>
  </si>
  <si>
    <t>Castillo, Evaristo del</t>
  </si>
  <si>
    <t>Evaristo del Castillo</t>
  </si>
  <si>
    <t>…to mayor á D. José Ignacio Urquidi; á teniente de granaderos á D. Miguel de la Ve ga ; ídem de fusileros á D. José Tellez y D. Matías de la Torre ; á subte nientes dé granaderos á D. Evaristo del Castillo y D. Martin Salazar, y á subtenientes de bandera á los cadetes D. Santiago de Castro , D. Manuel García y D. Francisco Geltz de la Luz, y á los sargentos primeros D- José • Trejo y D. Juan Planearte. Con la de 5 de Mayo de 811 , á subteniente de bar dera al cadete D. Luis Urruti…</t>
  </si>
  <si>
    <t>Castillo, Florencio</t>
  </si>
  <si>
    <t>Florencio Castillo</t>
  </si>
  <si>
    <t>876</t>
  </si>
  <si>
    <t>…e Goatemala los seño res D Mariano Robles Domínguez de Mazariegos, canónigo de la santa iglesia de Ciudad Real, y D. Fernando Antonio Dávila, diputados por la provincia de Chtapa, D. Florencio Castillo, presbítero, diputado por la pro vincia de Costa-Rica, D. José Antonio López de la Plata, diputado por la provincia de Nicaragua, y D. Francisco Morejon y D. Santiago Milla, di putados por la provincia ae Honduras; y el primero arengó á S. M. en los términos…</t>
  </si>
  <si>
    <t>Castillo, Francisco del</t>
  </si>
  <si>
    <t>Francisco del Castillo</t>
  </si>
  <si>
    <t>…, 100: Pablo Rin conada, 50: José Milano Yepes, 40: D. Jacinto Milano, presbítero, 66 y 18 maravedises : Narciso Orejón, 40: Juan Orejón j 40: Ramón Blanco, 40: Feiipe Verde, 40: D. Francisco del Castillo, presbítero, una fanega de trigo: Feliciano Sastre seis arrobas de aguardiente: Tomas García Benito, 60 reales: Pablo Riaza Sanz, 8•: Manuel Vería, 8 : Francisco Rebollo, 20: Pedro Aguilar, 30: Alfonso Utrera, 8: Francisco Milano Reidero, 20: Melchor Milano,…</t>
  </si>
  <si>
    <t>…ez de Córdoba. También se ha servido nombrar. S. M. para quatro plazas de oidor de ía chancillería de Granada á B. Andrés Subiza, D. Mateo Bautista del Cerro, D. Fe mando Carvia y D. Francisco del Castillo. Y para siete plazas de al caldes del crimen de la misma chancillería á D. Manuel de Viiches, D. An tonio Lorenzo Martínez del Pozo, D. Matías Herrero Prieto, D. Manuel Martin Berna!, D. Maurteio Baradat, B. Ignaro Martínez de Torres y D* Anacleto Fagoaga. El…</t>
  </si>
  <si>
    <t>Castillo, Ignacio García del</t>
  </si>
  <si>
    <t>Ignacio García del Castillo</t>
  </si>
  <si>
    <t>2C r9 para el beneficio simple servidero de la parroquia de Tarascón, diócesis de Cuenca, vacante por muerte de D. Ignacio García del Castillo , á D. Mar cos Ponce de Leen: para el beneficio curado de la villa de Andoain , dióce sis de Pamplona, vacante por fallecimiento de D. Juan Bautista Barberena, á D. José Oyenarte, teniente de cura de la parroquia de S. Vicente de ú ciudad de S. Sebastian. Par…</t>
  </si>
  <si>
    <t>Castillo, José Miguel del</t>
  </si>
  <si>
    <t>José Miguel del Castillo</t>
  </si>
  <si>
    <t>…de la Concordia; D. Francisco Valdivieso y D. Dionisio Inca Yupanqui, diputados por Lima; D. Gregorio Guinea, deán de la Sta. iglesia deTruxiiio; D. Agustín Fernandez de Córdoba, D. José Miguel del Castillo, dipu tados por Truxillo; D. Antonio Navarrere, diputado por Puira; D. Juan Antonio Andueza, diputado por Chachapoyas; D. Tadeo Gárate, goberna dor, electo intendente de la provincia de Puno, diputado por la misma; D. Martin Muxica, diputado por Guamanga; D.…</t>
  </si>
  <si>
    <t>Castillo, Juan</t>
  </si>
  <si>
    <t>Juan Castillo</t>
  </si>
  <si>
    <t>788</t>
  </si>
  <si>
    <t>…. M. ofreciéndole su homenage.” Asimismo en este dia se presentó á S. M. una diputación del ayuntamiento de Ciudad-R •drigo, compuesta de los regidores D. Manuel Cabeza de Va ca y D. Juan Castillo, á quienes acompañó por comisión de dicho ayunta miento el marques de Espeja, que habló á S, M. en los términos siguientes: ,,Señor: la feliz llegada de V. M. á España después de tan largo cauti verio, volviendo á ocupar el trono de sus augustos predecesores/…</t>
  </si>
  <si>
    <t>Castillo, Tomas</t>
  </si>
  <si>
    <t>Tomas Castillo</t>
  </si>
  <si>
    <t>…de Velasco 10: D. Manuel Ages ta y Otamendi 40: D. Diego Ovanguren 12 : D. Juan Baptista Echegaray,, administrador de tabacos, 6: D. José Ncdar 12: D. Santiago Chaves y Villota 6: D. Tomas Castillo 6; y D. José Antonio Salamanca, cura vi cario de Puquina, 12. Total 1126 pesos. Real cédula de S. M. y señores del Consejo, por la qual se sinre aprobar el re glamento propuesto y formadlo para el reintegro de los bienes confiscados per el gobierno intruso, c…</t>
  </si>
  <si>
    <t>Castle-</t>
  </si>
  <si>
    <t>…neral Kosiusko, bien co nocido por su amor á la patria y por los nobles sacrificios que constante mente ha hecho, en su favorAyer fué presentado al Príncipe Regente, por medio del lord Castle-4 reagh, y acc;. (-fiado de Mr. Chester, teniente de maestro de ceremonias/ el conde de.Chatre, embaxador de S. M. Crsriarí.sima Luis xvm. En se guida tuvo S. E. una audiencia particular del Príncipe Regente, en la qual recibió muestras de la mas sincera amist…</t>
  </si>
  <si>
    <t>Castlercagh</t>
  </si>
  <si>
    <t>…wartzemberg al conde Platow que marche sobre Se* zanne. En su marcha ha tomado ya el pueblo de Arey y la guarnición fram cesa que la ocupaba. Tengo la honra fkQt~JBurgfars¿t*zz Al vizconde Castlercagh &amp;c.</t>
  </si>
  <si>
    <t>Castlereagb</t>
  </si>
  <si>
    <t>…a á recibirá S. M. I. Continúa asegurándose que el rey de Prusia tomará el título de rey de Prusia y de Saxonia. PAISES B A XOS. J5 r usé las 22 dé Agosto. Acaba de llegar aqui el lord Castlereagb, ministro de S. M. Británica. A su paso por Gante tuvo una larga conferencia con los enviados america nos de los Estados-Unidos, comisionados para tratar de la paz de aquellos paises con la Gran Bretaña, en virtud de la qual disueltas, según se dice, las difi…</t>
  </si>
  <si>
    <t>Castlereagh</t>
  </si>
  <si>
    <t>…diligencia, habiendo pasado el 10 por Hannóver, don de el duque de Cumberland estaba pasando revista á las tropas. $e su péne que dichos pliegos son de mucha importancia, pues el lord Castlereagh pasó inmediatamente á dar cuenta de ellos á S. A. el Príncipe Regente; en con secuencia se ¡untó el consejo de gabinete ¿ las 2 , y á las $ todavía duraba la conferencia. ESPAÑA. Santa Marta 26 de agesto. El 6 del corriente se presentaron á la vista' de esta…</t>
  </si>
  <si>
    <t>…a un donativo voluntario de 20$ florines. Se es pera que otras personas pudientes imiten esta generosidad. GRAN BRETAÑA. Londres gi de Diciembre. El 27 por la noche partió de aquí lord Castlereagh para Holanda. Aun que Bonaparte extendió que debía haber 'ün congreso ten Manheim, no se trasluce que haya cosa alguna convenida sobre el particular, y al contrario se cree que el lord se encamina á Francfort con el objeto de impedir que Bo naparte obtenga de…</t>
  </si>
  <si>
    <t>…la que se dice que el enemigo sufrió una pérdida considerable ; pero los partes oficiales de estas acciones no han llegado todavía. = Tengo el honor de ser &amp;c.= Cathcart.^a Al viz conde Castlereagh. Basilea 14 de Enero. Milord: las columnas de los exércitos aliados si guen avanzando por todas partes. El quartel general del mariscal príncipe Schwartzemberg estaba el 12 en Vesoul, é iba á pasar adelante. Los habitantes hicieron fuego á las tropas mandadas…</t>
  </si>
  <si>
    <t>202</t>
  </si>
  <si>
    <t>…recibieron á cañonazos, haciéndole retroceder legua y medía. El duque de Tarento lle¿o á Chalons, y marchó al punto contra aquella división. El conde Stadion, el conde Rascmouski, lord Castlereagh y el barón de Humboldt llegaron-el 4? á Chatillon del Sena, donde, se hallaba ya el duque de Vicenza. Se vEsitarbtí íiíutuaiúente, y el mismo día comenzaron las con ferencias de los plenipotenciarios.; i GRAN BRETAÑA. ¿,!/i ípndres io de Febrero. .. Se asegur…</t>
  </si>
  <si>
    <t>227</t>
  </si>
  <si>
    <t>…s armas contra su voluntad: todos ellos vuelven ya al seno de sus fa milias bendiciendo al feld- mariscal. Patis 10 de Febrero• Ayer pasó por esta capital un correo despachado por lord Castlereagh, él qual se encamina á Londres por Calais. Jodos los correos del ministro ingles tomarán el mismo camino mientras duren las negociaciones. Ayer salió de aqui un número considerable de tropas con destino al exército grande. Idem 11. Un correo ingles, procedent…</t>
  </si>
  <si>
    <t>…es, que por orden suya se habían provisto de víveres , á entregarlos, distribuyéndoles por ellos la misma ración que á ia tropa. Al salir el correo último, que vino enviado por el lord Castlereagh, es taba para partir de Chatillon dicho lord á cumplimentar á los emperadores de Rusia y Austria y al rey de Prusiá. El correo no vino por París, como te dixo, sino por Rheims y Cambray. Con motivo de los pliegos que traxo, hubo consejo de Estado, pero nada s…</t>
  </si>
  <si>
    <t>…rd : tengo la honra de remitir á V. E. varios partes que he recibi do del coronel Lowe acerca de las operaciones del exército del mariscal Blucher. ,, Quedo &amp;c. = C. Stewart. = Al vizconde Castlereagh.” i.° ,, Un ayudante de campo que acaba de llegar aquí , ha traído al feld mariscal Blucher las llaves de los pueblos de Chalons y Vitry con el águila y la bandera de la guardia nacional del departamento del Marne. „E1 general York atacó ayer á Chalons, y des…</t>
  </si>
  <si>
    <t>…o. Quedo &amp;c. = Xow* Idem 8. Anoche se ha publicado por orden del gobierno el siguiente boletín.— Departamento de negocios extrangeros 7 de Marzo de 1814.-—Han llega do pliegos del lord Castlereagh con fecha en Chajjmont el 3 del corriente. Después de la retirada del príncipe Schwartzenberg de Troyes , el ma riscal Blucher fué atacado por un considerable cuerpo enemigo en Merry: habiéndose prendido fuego casualmente en un barrio dei pueblo que ocupa ba…</t>
  </si>
  <si>
    <t>…her y Sácken derrotaron á Napoleón, quien se retiró sobre la derecha de París. GR A N BRETAÑ A. Londres 8 de Marzo, SECRETARIA DE NEGOCIOS EXTRANGEROS. Partes de lord Burghersh al vizconde Castlereagh. 1.® Después del ultimo oficio que tuve 4a honra de dirigir á V. E., el</t>
  </si>
  <si>
    <t>…ado de las fuerzas aliadas, está pronto á partir para Inglaterra. El general pide instrucciones para su embarque, que se cree sea en el Garona. Mr. Robinson , que ha estado con el lord Castlereagh en calidad de se cretario durante su permanencia en el continente, ha llegado á esta capi tal, y ha tenido una audiencia del Príncipe Regente; después de la quaí pasó el mismo Robinsoq: á/vqr al conde de -Liv.erpoo(. El 17 de este mes se embarcaron en Píimour…</t>
  </si>
  <si>
    <t>…de Austria para caballero de da misma órden, dispensándole las formalidades de instalación; y á continuación se leyó otro que declaraba electos caballeros al conde Liverpool y al vizconde Castlereagh: entraron ambos en la sala del capítulo, y recibieron la investidura— Leyó el canciller otro estatuto, que declaraba no habría elección alguna de subditos, á no ser de sangre real, hasta que hubiese alguna vacante, pues d número de caballeros de esta dase est…</t>
  </si>
  <si>
    <t>…or, por espacio de más de tres horas, los cumplimientos de las personas mas ilustres de la capital. A la hora y media llegó el Príncipe Regente acompañado del duque de Yorck y del lord Castlereagh, con uni forme de feld-mariscal, y con las insignias de las órdenes de la Jarretiera y de S. Andrés. El emperador fué á recibir al Príncipe á la escalera : los de mas personages le fueron presentados por su gentilhombre y por su embaxador. Qüando se retiró el…</t>
  </si>
  <si>
    <t>…ascasas están iluminadas con un gusto y profusión de que no hay exempio. GRAN BRETAÑA. Londres 2d? Julio. ' El cardenal Gonsalvi, nuncio de S. S. , ha sido introducido Jhoy por el vizconde Castlereagh á la presencia de S. A. R. el Príncipe Regente, quien lo ha recibido con la mayor afabilidad. En esta primera audiencia ha entre gado sus credenciales. .Asimismo han sido hoy admitidos á entregar también' sus‘.credenciales el barón de Doeuíberg, ministro extr…</t>
  </si>
  <si>
    <t>…uque america* no era superior en cañones y tropa. El Reinderer se defendió hasta el últi mo extremo, y quedó tan derrotado, que después de apresado fue preciso •charlo á pique. El lord Castlereagh ha participado hoy de oficio á Mr. Jeningham, se cretario de los católicos ingleses, que Luis xvm acababa de restablecer de nuevo los establecimientos que había en Francia para educación de los ingleses é irlandeses, restituyéndoles sus rentas y propiedades,…</t>
  </si>
  <si>
    <t>…da para Dowres con ei objeto de em barcarse para Ostende. Ayer mañana llego á esta capital el príncipe Federico de Orange, acom pañado del mayor Iroy; y poco después fué á casa de lord Castlereagh, quien le presentó al Príncipe Regente.</t>
  </si>
  <si>
    <t>…tes: SS. AA. RR. los duques de York, de Clarence y de Cambridge, los condes de Chatham y de Westmoreland , el duque de Beaufort, el marques de Hertford, el conde de Liverpool y el vizconde Castlereagh. Habiendo ocupado sus asientos los caballeros, leyó el canciller de la orden un nuevo estatuto para la elección de S. M. C. Fernando vi*i, Rey de España ; y á consecuencia se declaró á S. M. debidamente elegido; siendo el primer Rey de España en quien ha re c…</t>
  </si>
  <si>
    <t>…de América, que aquel mismo dia habian recibido sus pleni potencias, y celebraron la primera sesión. GRAN BRETAÑA. *- f. . : r. . . Lóndres 13 de Agesto. Mañana debe salir de aqui lord Castlereagh para Viena, en donde asistirá al congreso. También saldrá de aqui para el mismo destino lord Stewart, que se halla en el dia en Irlanda,y que en breve debe llegar aqui. Por las gacetas de la Jamayca, que se recibieron aqui el dia 9, y que al canzan hasta el 3…</t>
  </si>
  <si>
    <t>…. S. M. hará prontamente saber las alteracioner que haga en los estatutos de la orden, y entretanto autoriza ¿ los individuos de ella para que lleven las insignias. Se asegura que lord Castlereagh debe llegar al fin det mes a esta capital» y que después de haber pasado en ella algunos días irá con el príncipe Metternich á Varsovia, donde se espera para mediados de Setiembre aí em perador de Rusia y al rey de Prusia. Se. había divulgado la noticia de la…</t>
  </si>
  <si>
    <t>1044</t>
  </si>
  <si>
    <t>…mero de las tropas nacionales. Gante de. Agosto. Tndo parece que se combina favorablemente para que se restablezca la paz entre la Gran Bretaña y los Estados-Unidos americanos. El lord Castlereagh á so paso por aquí trató largamente con los comisionados america nos, de cuya resulta Dallas, uno de los secretarios de esta legación, salió precipitadamente con despachos para su gobierno, y aunque se ignora el contenido de ellos, todos aseguran que contiene…</t>
  </si>
  <si>
    <t>…ido en mer cado------Los Soberanos entran de incógnito, excepto el emperador de Ru sia, que hará su entrada solemne. El congreso empezará el i.° de Octu bre; y según la opinión de lord Castlereagh no durará mas de seis semanas: tendrá sus sesiones en la cancillería secreta, donde habita el ministro prínci pe de Metternich. El hijo del barón de Sturmer, internuncio de Austria, que llevó á Constantinopla la primera noticia del tratado de paz concluido en…</t>
  </si>
  <si>
    <t>…ro Genz está nombrado para redactar las sesiones del congreso. Como el io de Noviembre próximo debe abrirse en Londres el parla mento, en donde es tan interesante la presencia del lord Castlereagh, que por otra parte importa tanto á su corte que se halle aquí en las sesiones del congreso, todo el mundo espera con ansia ver el partido que toma. Una porción de señoras de esta capital se han convenido en adoptar un trage particular para el dia en que se c…</t>
  </si>
  <si>
    <t>2184</t>
  </si>
  <si>
    <t>…á bordo de la St iíira. Ei mayor general Grant debe mandar ia caballería 9 con quien mar charán algunos otros oficiales generales. Siendo tan necesaria en Londres la presencia del lord Castlereagh para la abertura del parlamento, se supone que las principales conferencias del congreso se tendrán antes de aquella época» aunque ño falta quien diga que el congreso se diferirá hasta Enero» y que entre tanto lord Castlereagh ven drá á Inglaterra, y Mr. de T…</t>
  </si>
  <si>
    <t>Gaceta de Madrid n.º 160</t>
  </si>
  <si>
    <t>…dé la Gallitzu1 occidental. Ademas de esto, la Prusia se exten derá por la Saxonia hasta Saale, y se adelantará hasta las . (ron tecas de Weimar: r &gt; ' ■ ¡ : ¡ , . Parece qtie el lord Castlereagh y el conde de Munster no han podido conseguir que se agregasen al nuevo reyno de Hannóver algpnos distritos que solicitaban, entre ellos los estados de Oldemburgo, á cuyo soberano ofrecían ricas indemnizaciones en la orilla izquierda del Rhinj y que este&gt; con…</t>
  </si>
  <si>
    <t>…ya es tiempo apaciguar. . &gt; ;: Hace dias que se sostiene la voz de que después de haberse recibido un correo de Italia, el príncipe de Metternieh tuvo una conferencia larga con el lord Castlereagh,y que el consejo de Guerra,en seguida, había dado or den á tres generales austríacos de marchar inmediatamente á Padua, en don de recibirían órdenes del feld- mariscal conde de Bellegarde. Lo que hay de cierto es que el ministro, sir Sydney-Smith, que había i…</t>
  </si>
  <si>
    <t>…Siguen las firmas.) GRAN BRETAÑA. Londres 26 de Noviembre» ' &gt; - , . • El 24 del corriente se convocó el consejo de gabinete, en virtud de ha ber llegado un correo con pliegos dél lord Castlereagh y del duque de Wellingiron. Se asegura estar ya decidido que el mayor general sir Jorge Murray máte,hará á América. Este oficial era quartel-maestre- general en el exército del duque de Wellington , en el qual hizo en todas ocasiones muy buenos servicios.: •…</t>
  </si>
  <si>
    <t>…ea no hace mención de sus miras con respecto á la futura constitución de Alemania y á la confederación germánica. * Hace algún tiempo que se hablaba de una nota muy importante del lord Castlereagh . remitida al conde de Nesselrode, sob&lt;e los asuntos de Polo nia, la qual se ha comunicado á todos los ministres de las otras potencias. Aunque no se saben los pormenores de la nota, no se duda deque condene quejas graves sobre la demora; que guarda la Rusia…</t>
  </si>
  <si>
    <t>Castrejon, Manuel</t>
  </si>
  <si>
    <t>Manuel Castrejon</t>
  </si>
  <si>
    <t>…Gándara , y son: el teniente de cazadores Don Bernardo Collantes, del batallón del Sur; el de la misma clase de fusileros D. Manuel Gordiano, el comandante de patriotas de Huizuco D. Manuel Castrejon, los subtenientes del expresado batallón D. Bernabé Villanueva y D. Justo Romero, el de patriotas de dicho pueblo D, Francisco Carrion; y se han singularizado de un modo distinguido los cabos de patriotas Ma tías Carranco y Josef María Ramírez, y del batallón…</t>
  </si>
  <si>
    <t>Castrillo, Luis Gregorio López de</t>
  </si>
  <si>
    <t>Luis Gregorio López de Castrillo</t>
  </si>
  <si>
    <t>…fical el limo. Sr. D. Atanasio Puyal, auxiliar de Madrid, y teniente de capellán mayor de dicha Real iglesia, electo obispo de Cala horra; y predicó las glorias de la Santa el Dr. D. Luis Gregorio López de Castrillo, canónigo de la misma. El inmenso y lucido concurso quedó admi rado y edificado de la compostura y devoción de S. M. y ÁA. El día 14 de Julio ú!timo tuvo el honor de felicitar á S. M. y besar su Real mano una diputación de los ayuntamientos de las Nuevas Pobl…</t>
  </si>
  <si>
    <t>Castro</t>
  </si>
  <si>
    <t>…ito, de los conocimientos que pude adquirir del de los insurgentes, y de mis ideas con respecto de ambos. El mismo 27, á poco de haber despachado el correo, recibí el del teniente coronel Castro, comandante del esquadron de partidarios, situado en Pequereque, comunicándome que con sujeción á mis instrucciones había ata cado y destrozado en Aneacato ua cuerpo como de 2400 hombres, indios y cechabambinos, que se reunieron en aquel punto de orden de Bel…</t>
  </si>
  <si>
    <t>Castró, Antonio José de</t>
  </si>
  <si>
    <t>Antonio José de Castró</t>
  </si>
  <si>
    <t>…sido extraídas dé París por orden de Bonaparte. También se han recobrado los diamantes y otras alhajas de la corona. PORTUGAL. Lisboa iH1 ■ - • de« Abril. * ■ • El limo.¡y Excmo. Sr. D. Antonio José de Castró ^oriundo por baro nía de la casa de los condes de Resende , monge de la orden de $. Bruno» obispo de Oporto, del consejo de S. A. R.» patriarca efecto de Lisboa, y uno de ios gobernadores de Portugal falleció en'el palacio de la Mitra, en el arrabal de Marvil…</t>
  </si>
  <si>
    <t>Castro, Antonio María de</t>
  </si>
  <si>
    <t>Antonio María de Castro</t>
  </si>
  <si>
    <t>…D. Rafael Martínez, ayudante de Marina. D. Alexandró: Larrüa, teniente de id. D. Manuel Rodríguez, subteniente de vo luntarios de Asturias. D. Ramón Solís, teniente de la Corona. D. Antonio María de Castro, id. de id. D. Manuel Ramón Castell, id. de id. D. An drés Gayoso,, subteniente de id. D. Pedro Cid, id. de id. D. Lorenzo As ease) ¿ teniente coronel del de Ribero. D. Bartolomé Sotelo, capitán de id. D. Joaquín Zarráélná ¿-subteniente de id. D. Ramón de Mun…</t>
  </si>
  <si>
    <t>Castro, Castor García de</t>
  </si>
  <si>
    <t>Castor García de Castro</t>
  </si>
  <si>
    <t>…V. M., ofreciéndole su homenage.” En este mismo día la rea! maestranza de caballería de Granada, repre sentada por sus individuos el marques de la Regalía, el conde de Polentinos, D. Castor García de Castro y D. Miguel Calderón de la Barca, cum plimentaron á S. M.; dirigiendo el primero la palabra en estos términos: „Señ&gt;r: la real maestranza de caballería de Granada, representada por esta comisión, tiene el alto honor de ponerse á L. R. P* de V. M., y feli citarle por su regreso al…</t>
  </si>
  <si>
    <t>Castro, Fructuoso' de</t>
  </si>
  <si>
    <t>Fructuoso' de Castro</t>
  </si>
  <si>
    <t>…ión alusiva á la virtud y ai mérito, que, como norte fixo, debería guiar á los discípulos de tan en vidiable escuela. Los que 'obtuvieron este premio fueron D. Diego Gires N iéto, D. Fructuoso' de Castro, D. José Aiatienzo, D. Vicente Aguado, D. Antonio Rodrigufez y D. Severiano García.' Los deinas discípulos fueron obiéqiítedo^'cop libros, cortaplumas y otros agasajos, por haberles conside rado a téáos dignos de prertiio; Por último él procuradorJsíndico D.…</t>
  </si>
  <si>
    <t>Castro, Gregorio López de</t>
  </si>
  <si>
    <t>Gregorio López de Castro</t>
  </si>
  <si>
    <t>…José Zamora, á Don Juan López Pelegrin , con retención de la capellanía de honor que sirve en la Real capilla; para otra canongía de la iglesia catedral de Tarazona, por muerte de D. Gregorio López de Castro, á D. Policarpo Romea ; para uní ración de la catedral de Sigíienza, vacante por fallecimiento de D. Santiago Fernandez de Buínez, á D. Alexandro Bernardo Beltran , medio racionero de la misma iglesia; para el beneficio simple de S. Pedro de Huete, vacante po…</t>
  </si>
  <si>
    <t>Castro, Joaquin González de</t>
  </si>
  <si>
    <t>Joaquin González de Castro</t>
  </si>
  <si>
    <t>…ofesores acreditados de esta corte. En virtud de providencia del Sr. D. Francisco Assin, del consejo^ de S. M., y teniente de corregidor, fecha 31 de Octubre último, refrendada de D. Joaquin González de Castro, escribano del número, se ha señalado el domingo 27 del cor riente á las ocho y media de la mañana en casa de dicho señor juez para junta gene ral de acreedores á los bienes quedados por fallecimiento de D. Luis Perez Pemielas; lo que sé anunci'3 al público á…</t>
  </si>
  <si>
    <t>Castro, José</t>
  </si>
  <si>
    <t>José Castro</t>
  </si>
  <si>
    <t>…nte de bar dera al cadete D. Luis Urrutia. Con la de 20 de Julio del mismo, á teniente de la sexta del primero á D. Martin Salazar; á subteniente de fu sileros al sargento primero D. José Castro, y á subtenientes de bandera á los cadetes D. Juan de Dios Fuertes y D. Pab¡o Molina. Con la de 24 de Octubre del miuno año, á espitan á D. Miguel Santos; á ayudante mayor á D. Miguel de la Vega; á teniente de granaderos á D. Miguel Piñeyro ; á subtenientes d…</t>
  </si>
  <si>
    <t>Castro, José de</t>
  </si>
  <si>
    <t>José de Castro</t>
  </si>
  <si>
    <t>…nio Lade ro, á D. Manuel de Cos, medio racionero de la propia iglesia: para otra canongía de la iglesia colegial de Taiavera de la Reyna, dicce is de Toledo, vacante por muerte de D. José de Castro, á D, Sebastian Nicanor Sánchez: para una media ración de la iglesia catedral de Córdoba, vacante por falle cimiento de D. Manuel García Serrano, á D. Bartolomé Vivas y Romero:</t>
  </si>
  <si>
    <t>Castro, José Ignacio de</t>
  </si>
  <si>
    <t>José Ignacio de Castro</t>
  </si>
  <si>
    <t>…á subteniente de bandera al cadete D. Francisco Elouza. Con la de 24 de Setiembre de 814, á capitán á D. Bartolomé Guilloto ; á ayu dante mayor á D José Benigno Cepero; teniente á D. José Ignacio de Castro; subteniente de granaderos á D. Jo é Romero, y á subteniente de bandera á D. Pedro de la Paz Acosta. Asimismo ha comedido S. M. el 3 dd corriente en el batallón veterano infantería de Valdivia, vireynató del Perú, retiro con agregación á aquella plaza al sarg…</t>
  </si>
  <si>
    <t>Castro, Juan Antonio de</t>
  </si>
  <si>
    <t>Juan Antonio de Castro</t>
  </si>
  <si>
    <t>…re trato de S. S. en el lugar correspondiente á su alta dianidad. La música de da santa iglesia catedral estaba en el templo, y otra militar en sus puertas. Celebró la misa el Dr. D. Juan Antonio de Castro, dignidad de chantre de da misma iglesia, y pronunció en ella una brillante oración el Dr. D. Miguel García de Pisa , canónigo lectoral de la misma &gt; todos individuos capitulares de la mencionada venerable congregación. Jívila 10 de Julio* El cabildo de esta…</t>
  </si>
  <si>
    <t>Castro, Juan de</t>
  </si>
  <si>
    <t>Juan de Castro</t>
  </si>
  <si>
    <t>…ta , teniente de ¡d. IX Ramón Nuñez, id de id D. José Villamil, subteniente de id. D. Manuel Uznia, id. de id. D. Pedro Ovalle&gt; id. de id., D. Juan Canal, capitán del de Santiago. D. Juan de Castro, teniente de Id. D. Benito Martínez, id. de Id. D. Juan Guillen, subteniente de id. D. Francisco Quiroga, id. de id. D. Juan Cancela, id- de id. D. Bernabé de las Pallas, id. de id. D. Martafio Castell, teniente coronel, sargento mayor de la Corona. D. Tomas…</t>
  </si>
  <si>
    <t>Castro, Juan Zacarías Torres de</t>
  </si>
  <si>
    <t>Juan Zacarías Torres de Castro</t>
  </si>
  <si>
    <t>…á cumplimentar y besar la real mano de S. iVÍ. una diputación del ayuntamiento de la muy antigua, M. N. y L. ciudad de Piasencia de la provincia de Extremadura, compuesta del Lie. D. Juan Zacarías Torres de Castro, abogado de los rea les consejos y regidor de la misma, y del procurador dei común D. Juan Barrado; el primero de los qiiales arengó á S. M. en los términos siguientes: ,,Señor: vuestra M. N. y L. ciudad de Piasencia, representada por una diputación de su ayu…</t>
  </si>
  <si>
    <t>Castro, Luis de</t>
  </si>
  <si>
    <t>Luis de Castro</t>
  </si>
  <si>
    <t>…n graduado de teniente coronel D. Jt sé Rafael Carabeo; capitán de granaderos á D. Angel de Tozo; teniente de granaderos á D. Eduardo Ló pez ; idem de fusileros D. Laureano Muñoz, D. Luis de Castro y D. José Orruyrinez; subteniente de granaderos i D. Juan Nepomuceno Lavalle, y subtenientes de bandera á D. Pedro Benitez y D. Francisco Calderón. En el de infantería de Valdivia sargento mayor á D. Lucas Ambrosio de Molina; capitanes á D. Diego Adriarola y D. Esteban de Albarra…</t>
  </si>
  <si>
    <t>Castro, Manuel de</t>
  </si>
  <si>
    <t>Manuel de Castro</t>
  </si>
  <si>
    <t>…. Joaquín.Palacios y Goúy, á X&gt;. José María de Tinco, y al mar ques de Vista florida. Mayordomos de semana. A D. Juan Obando, marques de Santa Coloma, I&gt;. Melchor de Mon— toya , y D. Manuel de Castro. Cruces pensionadas de la Real y distinguida orden española de Cárlos III, Al conde de Viílapaterna, mayordomo de semana; D. Manuel de Pa lomera , secretario de la mayordomía mayor; D. Domingo Ramírez de Aieiláno, y D. Isidoro Montenegro^ gentileshombres de c…</t>
  </si>
  <si>
    <t>Castro, Pedro de</t>
  </si>
  <si>
    <t>Pedro de Castro</t>
  </si>
  <si>
    <t>1014</t>
  </si>
  <si>
    <t>…n, de profundo respeto, de amor y gratitud á la silla romana , heredado de su célebre fundador, orácnlo del siglo xvi en España, el limo, venerable arzobispo de Granada y Se villa D. Pedro de Castro v y que ha crecido á proporción de la suma benefi* cencía y liberalidad de los soberanos Pontífices para con ella, dándola cier ta relación íntima coa el Pastor supremo del rebaño de Jesucristo, hacen que</t>
  </si>
  <si>
    <t>Castro, Ramón de</t>
  </si>
  <si>
    <t>Ramón de Castro</t>
  </si>
  <si>
    <t>…to mayor de la Corona. D. Tomas Noriega, teniente de id D. Mariano Canalls, subteniente de id. D. Ventura Noguérra, id. de id. D. José María Falcon, sargento mayor del de Ri bero. D. Ramón de Castro, capitán de id. D. Pedro Neyra, teniente de id. XX Ruperto Otero, id. de id. D. José Sousa, subteniente de id. D. Mi guel Santos, id. de id. D. Tomas Nogueyra, id. de id. D. Francisco Villariño, id. de id. D&gt; Francisco Rúa, teniente del de Oviedo. D. Ramón Ga…</t>
  </si>
  <si>
    <t>Castro, Santiago de</t>
  </si>
  <si>
    <t>Santiago de Castro</t>
  </si>
  <si>
    <t>…dem de fusileros á D. José Tellez y D. Matías de la Torre ; á subte nientes dé granaderos á D. Evaristo del Castillo y D. Martin Salazar, y á subtenientes de bandera á los cadetes D. Santiago de Castro , D. Manuel García y D. Francisco Geltz de la Luz, y á los sargentos primeros D- José • Trejo y D. Juan Planearte. Con la de 5 de Mayo de 811 , á subteniente de bar dera al cadete D. Luis Urrutia. Con la de 20 de Julio del mismo, á teniente de la sexta del pr…</t>
  </si>
  <si>
    <t>Castro, Saturnino</t>
  </si>
  <si>
    <t>Saturnino Castro</t>
  </si>
  <si>
    <t>…Casimiro “Valdés, el co mandante del batallón del centro D. Sebastian Benavente', cTcorohel de ca ballería D. Jorge Baiüvian, el comandante dél esqüadroa de dragones par tidarios D. Saturnino Castro, el de los mismos de infantería D. Ramón Aquenza, el de cazadores D. Pedro Antonio de Okñeta, el de las guerri llas D. Manuel-Valle, y todos los oficiales hasta el último soldado han cum plido en sus respectivos destinos de una maneta que no hay voces con que…</t>
  </si>
  <si>
    <t>Castro, Victoriano</t>
  </si>
  <si>
    <t>Victoriano Castro</t>
  </si>
  <si>
    <t>…se presentaron á cumplimentar á S. M. á nombre de la villa de Laseca en Castilla la Vieja el Exemo. Sr. D. Pedro de Macanaz, se cretario del despacho de Gracia y Justicia, el Lie. D. Victoriano Castro, y el Dr. D. Manuel Martin Bayon, corregidor de la villa de Arévalo; y to mando la palabra el Exemo. Sr. D. Pedro Macanaz dixo: ,, Señor: la villa ds Laseca, su cabildo secular y eclesiástico y demas ha bitantes de ella nos comisionan para felicitar á V. M. p…</t>
  </si>
  <si>
    <t>Castro’, José Bermudcz de</t>
  </si>
  <si>
    <t>José Bermudcz de Castro’</t>
  </si>
  <si>
    <t>…les permiten tomen el partido que les acomóde. Per maneció como tres horas, y en seguida pasó,.al quártef general del Lord, acompañándole el aytrdante 'segundo des;estado-** mayor D. José Bermudcz de Castro’, que v i no . con éL desde el sitip desdicha plaza. '*• &lt; Ayer emprendimos la marchá desde ^íFoíXj con dirección á Muret, para pasar«ei Garona ; pero esté rio va anohdq^y-élvhaber pocas barcas impidió se echase el puente , por lo, que sobre la^marclia se* nos…</t>
  </si>
  <si>
    <t>Castülo, Benito del</t>
  </si>
  <si>
    <t>Benito del Castülo</t>
  </si>
  <si>
    <t>…493O y 54524; por *o que se sup.it ca á !;* persona que sepa de su paradero les mande entregar en Madrid á O. Andrés de Angulo, baxada de Sta. Cruz, núm. 5, y en Arcentales á dLko D. Benito del Castülo. Se halla vacante en la jurisdicción de Vaidaliga, inmediata á las villas de Saít Vicente de la Barquera y Comillas, en las montañas de Santander, la plaza de mér dtco, con dotación de io® rs. vn. que contribuyen sus vecinos, y pagará el a un tamiento en terc…</t>
  </si>
  <si>
    <t>CastUreagh</t>
  </si>
  <si>
    <t>…dos fio han ccédido á u&amp; armis ticio. Esto indica que no hay todavía cosa fixa acere&lt; del congreso de Maaheim, como tampoco en orden'á las bas s p&lt; eliminares; y tal vez la ida de lord CastUreagh á Fran fort no tiene otro objeto que el de impedir qué Bonopa? té'negocie con alguna potencia , á ñu de atajar los progresos de lot aliados , tener tiempoí-dé téünir fiíérzai&gt; y aplacar el deicqmeutó de los franceses/ El capitán de un buque americano, que ha…</t>
  </si>
  <si>
    <t>Cath</t>
  </si>
  <si>
    <t>…ébloniáy y gozará de todos los derechos políticos. GRAN BRETAÑA. Londres 2$ de Enero. SECRETARIA :DE NEGOCIOS EXTRANGEROS. ; . Hoy ha llegado Mr. Addington con pliegos del general vizconde Cath« cart, de sir C. Stewart y del caballero Eduardo Thofaton, cuyo conteni do es el siguiente.</t>
  </si>
  <si>
    <t>Cathcart</t>
  </si>
  <si>
    <t>65</t>
  </si>
  <si>
    <t>…oalición contra el empera dor Bonaparte serán conducidas á los estados de sus soberanos, cuyas ór denes obedecerán. (Los otros artículos son de mera fórmula.) Según los oficios de lord Cathcart, su fecha en Francfort á 12 de di ciembre, S. M. I. de Rusia no ratificó esta capitulación, mandando que se volviese á emprender el sitio de Dantzick hasta que la guarnición se rindiese prisionera de guerra. El 20 dei corriente se han recibido periódicos de H…</t>
  </si>
  <si>
    <t>…tan considerables, que bien pronto estará Ambéres enteramente cercada. GRAN BRETAÑA. Londres 26 de Enero. SECRETARÍA. DE NEGOCIOS EXTRANGEROS. Oficios del lord Bttrghersh , y del vizconde Cathcart. i.® Milord: tengo la honra de participar á Y. S. que el general Bubna</t>
  </si>
  <si>
    <t>…cado antes que SS. MM. los siguientes personages : el príncipe Henrique de Prusia, los príncipes de Metternich y ae Wolchousíy, el conde Platpsv, el general Barclay de Tolly, y el lord Cathcart. El feld-mariscal Blucher acompañó desde Boloña á su soberano. Lord Yarmouth, lord C. Bentink y el conde de Rosslyns recibieron á los soberanos y los conduxeron á casa de Mr. Factor. La guardia de honor de SS. MM. se componía de dos regimientos de infantería.…</t>
  </si>
  <si>
    <t>…l palacio imperial; igualmente han llegado en estos dias los Sres. Jacobi-Cioest, ministro de Estado de Pruna; el conde de Tutzow, chambelán y ministro de Austria en Dinamarca; el lord Cathcart, ministro de Inglaterra en la corte de Rusia; el general Doctorof; el consejero de Estado Verneguer; los condes de Linange, de Sickingen y de Salm-Dyk; el príncipe Guillermo de Hesse; el príncipe here dero de Hesse' Rumpeheim; lord Stewart, embaxador de Ingla…</t>
  </si>
  <si>
    <t>Cathcart, Guillermo Shaw</t>
  </si>
  <si>
    <t>Guillermo Shaw Cathcart</t>
  </si>
  <si>
    <t>…de la Escocia en la cámara alta, caballero de su,muy antigua :-ytmiiy noble orden del Cardo, su embaxador extraordinario y plenipotenciario cerca de S. M. I. y R. Apostólica.' El Sr. Guillermo Shaw Cathcart, vizconde .deit ¡Cathcart, barón de Cathcart y de Greenock, consejero dé la dicha Magestacf éñ su consejo pri vado, caballero de la orden del Cardo , y de hs órdenes de Rusia s general de sus exércitos , y su embaxador extraordinario y plenipotenciario cerca:…</t>
  </si>
  <si>
    <t>Catnpesinoy-GHerra, Ignacio</t>
  </si>
  <si>
    <t>Ignacio Catnpesinoy-GHerra</t>
  </si>
  <si>
    <t>Gazeta de la Regencia de las Españas n.º 51</t>
  </si>
  <si>
    <t>' El señor’ juez de primera instancia D. Ignacio Catnpesinoy-GHerra tiéne-mandído se cite, llame y emplace por los papeles públicos de diario y gaceta a los pa rientes y.demas personas que presuman tener derecho a los bienes que; hayan quedado por ei fallecimiento abintestato de D. José María de Villodas v Leal del Cas tillo,…</t>
  </si>
  <si>
    <t>Caulincourt, Castiereagh y</t>
  </si>
  <si>
    <t>Castiereagh y Caulincourt</t>
  </si>
  <si>
    <t>…cabadas las negociaciones de Chatilion , y no habrá transacción alguna diplomática hasta que los aliados se apoderen de París. Se sabe positivamente que en los banquetes dados por lord Castiereagh y Caulincourt no se ha adelantado un paso en favor de las negociaciones. Parece que Bonaparte está resuelto á no ceder en los puntos siguientes: ,,Que se reconozca y asegure la soberanía de Francia en su casa, y que la Francia, asi en su territorio interior como exterior,…</t>
  </si>
  <si>
    <t>Caulincourt, Ney y</t>
  </si>
  <si>
    <t>Ney y Caulincourt</t>
  </si>
  <si>
    <t>…anto el mariscal Marmont abandonóá Napoleón el 3 de Abril, lleván dose consigo su exército, que se componía de 10® hombres, y parece que los demas generales han hecho lo mismo. El mariscal Ney y Caulincourt, después de haber conseguido que Napoleón abdicase, trataron de persuadir á los aliados que consintiesen en el establecimien to del gobierno en su hijo, siendo ciertos mariscales los que formasen la Regencia, lo que fue rehusado; y parece que todos declararon…</t>
  </si>
  <si>
    <t>Cavanes, Francisco Xavier de</t>
  </si>
  <si>
    <t>Francisco Xavier de Cavanes</t>
  </si>
  <si>
    <t>…za, y Don Mariano de Peñafiel. A 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 Laserna , D. Felipe de Sesma, Don Antonio Tomas, el ba…</t>
  </si>
  <si>
    <t>Cavanillas, José</t>
  </si>
  <si>
    <t>José Cavanillas</t>
  </si>
  <si>
    <t>…rnador de la sala de alcaldes de Casa y Corte á 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t>
  </si>
  <si>
    <t>Cavia, Alfonso</t>
  </si>
  <si>
    <t>Alfonso Cavia</t>
  </si>
  <si>
    <t>…itador eclesiástico de Madrid; de D, José García de la Torre, oidor de esta real audiencia; D. Lorenzo Hernández Alba, canóni go magistral de la santa iglesia primada de Toledo, y D. Alfonso Cavia, fiscal de artillería. El primero, como mas antiguo, pronunció e! discurso si guiente : „ Señor: la universidad de Toledo, que en el año de 1808 á la impe riosa voz de patria esclava.... Soberano cautivo.,., formó de todos sus alum nos el regimiento que ha si…</t>
  </si>
  <si>
    <t>Cavia, Clemente de</t>
  </si>
  <si>
    <t>Clemente de Cavia</t>
  </si>
  <si>
    <t>…e halló incorporado en la batalla de Medeliin, sin que después se hava tenido noticia cierta de su paradero. La persona, pues, que tuvie re noticia de él, se servirá comunicarla á D. Clemente de Cavia, apoderado del ca.bildo de dicha santa iglesia en esta corte, que vive calle de Fucncarrai, m'im. 13, quarto principal, frente á los Agonizantes. Se desea tener noticia de Agustín Ibañez López, natural de Medinasídónía:, ar tillero volante de la primera compa…</t>
  </si>
  <si>
    <t>Cavia, Juan de</t>
  </si>
  <si>
    <t>Juan de Cavia</t>
  </si>
  <si>
    <t>911</t>
  </si>
  <si>
    <t>…quín Carrillo Mayoral, á D. Pedro Inguanzo, canónigo doctoral de la iglesia catedral de Oviedo; para el de Osma, vacante por fallecimiento del limo. Sr. D. José Antonio Garnica, á D. Juan de Cavia, canónigo Iectoral de la santa iglesia metropolitana de Toledo; y para el de Segorve, vacante por fallecimiento del limo. Sr. Don Lorenzo Gómez de Haedo, al limo. Sr. D. Fr. Lorenzo Alaguero, obispo de Jaca. J El cabildo de la santa iglesia catedral de Osma,…</t>
  </si>
  <si>
    <t>Cean, Manuel</t>
  </si>
  <si>
    <t>Manuel Cean</t>
  </si>
  <si>
    <t>…vacante por muerte del Sr. cardenal duque de Yorck, á D. Salvador Galiano; y para la medu préstamera de Sm'ucar de Barratneda én la misriia diócesis, vacante por fallecimiento de D. Manuel Cean .Rermudez, á D. Juiiaa Antonio Campelo. Habiéndose dignado S. M-&gt; restablecer-, á consulta del Consejo, el colegioj"universidad dé Qñate, se avisa al público que el 18 del presente mey de iOcfubre se dará principio á ¡a enseñanza en la misma forma que se exec…</t>
  </si>
  <si>
    <t>Ceballos</t>
  </si>
  <si>
    <t>…expresar la con fusión de la Guayra. El ^muelle, las calles y las plazas estaban llenas de equipages, mugares , hombres, niños en la mayor consternación. Según noticias de Coro el Sr. Ceballos, que salió el 22 del pasado de Siqoisiqui, entraría el 27 en Barquisimeto, cuyo punto, S. Carlos y los demas hasta Valencia abandonaron los enemigos el 19. Se avisa asimismo que el Sr. Cagigal, Calzada y Salomen con cerca de 3® hombres de los disper-; sos y d…</t>
  </si>
  <si>
    <t>…s que se les han unido. Sobre Barcelona 2®, al mando de D. Antonio Martínez. Sobre Valencia el exército del Sr. Cagigal de 3®. Otro cuerpo considerable en Barquhimeto al mando del Sr. Ceballos. En S. Fernando de Apure hay una fuerte reserva, y otras divisiones en Barinas. En la batalla de la Puerta ademas de los oficiales muertos en la acción, hizo Boves prisioneros 5 coroneles y 48 de otras graduaciones, que fueron pasados por las armas. Entre los…</t>
  </si>
  <si>
    <t>Ceballos, Luis Ventura</t>
  </si>
  <si>
    <t>Luis Ventura Ceballos</t>
  </si>
  <si>
    <t>…la iglesia catedral de Sigiienza. Asimismo se ha servido S. M. nombrar para el priorato de la iglesia co legial de Santilíana, diócesis de Santander, vacante por fallecimiento de Don Luis Ventura Ceballos, á D. Manuel de la Portilla, prebendado de la mis ma iglesia: para una canongía de la iglesia colegial de Xerez de la Frontera, diócesis de Sevilla, vacante por muerte de D. Antonio José de Menchaca, á D. José Lorenzo Berroudez: paTa una ración de la iglesia…</t>
  </si>
  <si>
    <t>Cebian, Juan</t>
  </si>
  <si>
    <t>Juan Cebian</t>
  </si>
  <si>
    <t>…, fuegos é iluminaciones, en las quales no pocos se esmeraron con una profusión sin límites, hasta arrojar cantidades considerables de dinero, entre los quales merece nombrarse el capitán Don Juan Cebian , de este comercio. ¡Gloria al Dios omnipotente que asi nos fa vorece! ¡gloriad la España madre que nos ha procurado este beneficio!</t>
  </si>
  <si>
    <t>Cebrian, Lorenzo</t>
  </si>
  <si>
    <t>Lorenzo Cebrian</t>
  </si>
  <si>
    <t>…al amanecer de hoy, dis puse que á esta hora lo executasen los cazadores al mando de su coronel co mandante D. Antonio Cano por el vado de la Isleta, y la primera brigada, al del brigadier D. Lorenzo Cebrian, á la izquierda de estos, por el de Cabarra: asi que la tropa entró en el rio, al que se arrojó decididamente en colima cerrada el reoimiento de León, seguido del de la Union y Legión, hicieron los enemigos algún fuego; pero los cuerpos marcharon con paso ace…</t>
  </si>
  <si>
    <t>Cebrian, Visitación</t>
  </si>
  <si>
    <t>Visitación Cebrian</t>
  </si>
  <si>
    <t>…sa de Uxola , y uno por la señora baronesa de Antelia , y los restantes 47 por la sociedad; habiendo cedido la parte pecuniaria del premio Doña Tomasa Bonet, Doña Joaquina Merita, Doña Visitación Cebrian y Doña María Desamparados Artaiejo. Concluida la repartición, el joven premiado D. Antonio Nas-Ji recitó una oda, dando gracias á nombre de todos sus compañeros, y D ñ* Tomasa Bonet dixo otra á nombre de las niñas. Continuó el P. Rafael del Angel Custodio, rector de las escuelas pías, leyendo…</t>
  </si>
  <si>
    <t>Cejrv.era, Pedro Juan</t>
  </si>
  <si>
    <t>Pedro Juan Cejrv.era</t>
  </si>
  <si>
    <t>…sin incluir la plata labrada. J " Madrid 23 de Setiembre. El 17 de Julio último tt^vferop el honor de .presentarse áS. M. y AA. los comisionados del cabildo eclesiástico de Cádiz D. Pedro Juan Cejrv.era , ar¿ cediano de Medina, y D. Manuel de Cos, prebendado de aquella iglesia, después de haber llegado á esta cqtteéLdia 5, del mismo mes, habiendo sido la noche antes asaltados de dos ladrones, robados y estropeados, el primero con una herida grave debaxo dé'J…</t>
  </si>
  <si>
    <t>Celas, José María</t>
  </si>
  <si>
    <t>José María Celas</t>
  </si>
  <si>
    <t>…ta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 histórico del emperador Trajano, á que siguieron la palabra de…</t>
  </si>
  <si>
    <t>Celis, Antonio Posada Rubín de</t>
  </si>
  <si>
    <t>Antonio Posada Rubín de Celis</t>
  </si>
  <si>
    <t>…rzas del enemigo, y de la ventaja de su posición para atacar y cortar el puerto. Íin e! año de 1810 obligó el gobierno intruso al canónigo de la iglesia de S. Isidro de esta corte D. Antonio Posada Rubín de Celis á que anun ciase al pueblo la amnistía que aquel habia concedido por los triunfos gana dos err las Andalucías, previniéndole que ala lectura del decreto acompaña ra una oración análoga á las circunstancias , y conforme á las instrucciones que le daría el cond…</t>
  </si>
  <si>
    <t>Celis, Isidoro de</t>
  </si>
  <si>
    <t>Isidoro de Celis</t>
  </si>
  <si>
    <t>…r de este arzobispado de Toledo por lo «correspondiente á Madrid y su partido ; para el de Segovia, vacante por fallecimiento del limo. Sr. D. Jo sé Saenz de Santa María, al R. P. D. Isidoro de Celis, lector Jubilado en sagrada teología, árbitro y secretario general de la congregación española de Clérigos Reglares Ministros de los enfermos; para el de Zamora, vacan te por fallecimiento del limo. Sr. D. Joaquín Carrillo Mayoral, á D. Pedro Inguanzo, canóni…</t>
  </si>
  <si>
    <t>Celis, Isidoro Perez de</t>
  </si>
  <si>
    <t>Isidoro Perez de Celis</t>
  </si>
  <si>
    <t>…ión del mundo entero.” Al dia siguiente tuvieron igualmente el honor de besar la mano y cumplimentar á S. M., á nombre de las villas de Potes y S. Vicente de la Barquera, el llmo. Sr. D. Isidoro Perez de Celis, obispo electo de Segovia, y D. Juan Antonio deNoreña; el priinero de los quales dixo: ,, Señor: ei ayuntamiento de vuestra villa de Potes, capital de la pro-</t>
  </si>
  <si>
    <t>Centeno, Feliciano</t>
  </si>
  <si>
    <t>Feliciano Centeno</t>
  </si>
  <si>
    <t>…rregimiento de Molina de Aragón á Don Francisco Estéban y Ranz: para la vara de Osuna á D. Juan Antonio Del gado: para la de Don Benito á D* Eusebio Lampie: para la de Medellin á •D. Feliciano Centeno: .para Ja de Guadalaxara á D. Estéban Rodríguez Ga llego: para la de Laseca á D. Pablo Blanco Caballero: para el corregi miento de Calahorra á D. Francisco Fabian: para el corregimiento de Es^ ¿epa á D. Manuel Valdes; y para que sirva interinamente el de Jaén…</t>
  </si>
  <si>
    <t>Cepeda, Luís</t>
  </si>
  <si>
    <t>Luís Cepeda</t>
  </si>
  <si>
    <t>20 : José de Aguado* del ayudante primero D. Luís Cepeda, del segundo Don Manuel Bausa, y del capiran ingles D. Jorge Hiller, del estado mayor del general Hill. Son igualmente recomendados muchos soldados y sargentos, y entre estos el segundo de ia Union Flario Barral, que por si solo hizo 14 prisioneros, y el de i…</t>
  </si>
  <si>
    <t>Cer, Juan de Exargue y</t>
  </si>
  <si>
    <t>Juan de Exargue y Cer</t>
  </si>
  <si>
    <t>…eneral dél ¿puartó exército'de operaciones, con dimision del‘.beneficio pré tamo de Lpjgf8saa, cjue obtiene en ej obispado de-Piasencía : para la¡ expresada canongía, de Córdoba á D. Juan de Exargue y Cer rera, capellán párroco del exército; y para el referido beneficio préstamo de Lcgrosan , que resulta vacante por pr.p.mocion del D. Josef de Urrutia, á D. Juan Manuel López de Ontiyeros, vicario y juez eclesiástico del partido de Bejar, en dicho obispado de P…</t>
  </si>
  <si>
    <t>Ceravignac</t>
  </si>
  <si>
    <t>…el mas difícil de transitar que jamas he visto, y lleno de casas de campo. Al amanecer del 17 principió el ataque: el regi miento número 3.0 de italianos, mandado por el teniente coronel Ceravignac, atacó vivamente una altura enfrente del fuerte Tecla, arrojó al enemi go, y tomó tres cañones de montaña. Una parte de este regimiento marchó por la altura contra el fuerte Richelieu mientras que el teniente coronel Travers, baxando del Monte-Fascia con los…</t>
  </si>
  <si>
    <t>Cerezo, Andrés</t>
  </si>
  <si>
    <t>Andrés Cerezo</t>
  </si>
  <si>
    <t>…ego Antonio Ramos Aparicio, catedrático actual de historia eclesiástica ; los Dres. D. Andies Aransai, D, Agustín Librero y D. Fernando Velez, capellanes de honor de S. M.; el Dr. D. Andrés Cerezo; los Sres. Dres. D. José Coba y Sai o y D. Francisco Crespo Rascón, del consejo de S. M., y el Dr. D. José Ca— franga, oficial de la secretaría de Gracia y Justicia. Habiendo el Excmo. Sr. duque de S. Carlos presentado la universidad á S. M. y A A., el diputa…</t>
  </si>
  <si>
    <t>Ceronilos, Nicolás</t>
  </si>
  <si>
    <t>Nicolás Ceronilos</t>
  </si>
  <si>
    <t>…al de la segunda brigada de la quinta división del quarto exército, y del sitio de Santoña y Laredo, y el comandante del fuerte el capitán del 6.° de infan tería de línea italiana D. Nicolás Ceronilos, que autorizaron para el efecto, el primero al teniente coronel de los exércitos nacionales D. Juan Doz , gefe del estado mayor del sitio, y el segundo al teniente del 6.° regimiento de infantería de línea italiana D. Geininiano Bergaminy ; les que después de…</t>
  </si>
  <si>
    <t>Cerragería, Francisco Antonio</t>
  </si>
  <si>
    <t>Francisco Antonio Cerragería</t>
  </si>
  <si>
    <t>…Enero, números 24^458 y 258345, sin mas endosos ene e! de Udneta á Dallares; y no habiendo llegado estos á Barcelona, se suplica al que los tenga se sirva entregarlos en Madrid á D. Francisco Antonio Cerragería y compañía, que vive en el portal de Santa Cruz, y en Guadalaxara al expre sado D. Antonio Pablo de Udacta. Una de las dos plazas de médico titular de la villa de la Nava del Rey, parti do de Medina dei Campo, que coásta de 8.00 vecinos, se halla vacante por…</t>
  </si>
  <si>
    <t>Cerro, Manuel del</t>
  </si>
  <si>
    <t>Manuel del Cerro</t>
  </si>
  <si>
    <t>…uacuilco• Excmo. Sr.: á mi salida para Tasco dexé mandando en Tepecuacuilco al teniente coronel D. Francisco Carminad, recomendándole al capitán co— mandante del esquadron del Sur D. Manuel del Cerro, cuyos conocimien tos prácticos sobre el terreno que ocupa la división podían ser de mucha utilidad, encargándole que me diese prontos avisos de qualquiera ocur rencia. iEl dia 5 del corriente á las nueve deja noche recibí un oficio de Car minad, participándo…</t>
  </si>
  <si>
    <t>Cerro, Mateo Bautista del</t>
  </si>
  <si>
    <t>Mateo Bautista del Cerro</t>
  </si>
  <si>
    <t>…á;y para la de Fregenal á D. José de Zayas Fernandez de Córdoba. También se ha servido nombrar. S. M. para quatro plazas de oidor de ía chancillería de Granada á B. Andrés Subiza, D. Mateo Bautista del Cerro, D. Fe mando Carvia y D. Francisco del Castillo. Y para siete plazas de al caldes del crimen de la misma chancillería á D. Manuel de Viiches, D. An tonio Lorenzo Martínez del Pozo, D. Matías Herrero Prieto, D. Manuel Martin Berna!, D. Maurteio Baradat, B. Ign…</t>
  </si>
  <si>
    <t>Ceruelo, Gregorio</t>
  </si>
  <si>
    <t>Gregorio Ceruelo</t>
  </si>
  <si>
    <t>…. = Lázaro Fernandez Blazquez.” El 18 tuvieron asimismo la honra de besar la mano á S. M. y cumpli mentarle á nombre del Rev. obispo y cabildo de la iglesia catedral de Paten cia, D. Gregorio Ceruelo, dignidad de Chantre, y D. Juah Nepomuceno S. Juan, canónigo de aquella santa iglesia, pronunciando el primero el dis curso siguiente: ,,Señor: el obispo y cabildo catedral de Patencia, siempre fieles y cons tantes en el amor á su legítimo Soberano, no han ce…</t>
  </si>
  <si>
    <t>Cerue’o, Gregorio</t>
  </si>
  <si>
    <t>Gregorio Cerue’o</t>
  </si>
  <si>
    <t>…teresantes servicios que han hecho con el estableci miento de la fábrica de fusiles en Pontevedra. S. M. ha concedido honores del tribunal de la Rota de la Nunciatura Apostólica á D. Gregorio Cerue’o de la Fuente, chantre de la catedral de Paleneia; y á D. Bonifacio Tosantos, lectoral de Ja de Sto. Domingo de la Calzada, en atención á sus relevantes méritos y circunstancias. Deseando S. M. extender sus paternales desvelos á todos los ramos de utilidad púb…</t>
  </si>
  <si>
    <t>Cervileon, Pedro</t>
  </si>
  <si>
    <t>Pedro Cervileon</t>
  </si>
  <si>
    <t>…s de capitanes á los tenientes D. Pedro Manuel Escobar y D. José Ramírez Xarámillo: tenencia de granaderos al teniente D. Francisco de Torres: empleos de tenientes á los alféreces Don Pedro Cervileon , D. Francisco Castriilon y Taboada, D. José Antonio de la Vega, D. Manuel Vigil, y al teniente agregado D. Ignacio Cabero: empleos de alféreces á los cadetes D. Andrés Truxillo y D, José Pió San tiago; y de portaguiones á los de la propia clase D. José Torre…</t>
  </si>
  <si>
    <t>Cevalb, José del Rivero</t>
  </si>
  <si>
    <t>José del Rivero Cevalb</t>
  </si>
  <si>
    <t>…o de esta me dará avi o. Dios guarde á V. muchos años. Madrid 29 de Noviembre de 1814. El Rey nuestro Señor en consideración á los distinguidos méritos y ser vicios patrióticos de D. José del Rivero Cevalb s, contador general de la Real lotería, se ha dignado concederle los honores de ministro del tribunal de la contaduría mayor de cuentas. El limo. Sr. D. Bernardo de Riega y Solares, del consejo y cámara de S. M. en el supremo de Castilla, co no ae&lt;or de la Re…</t>
  </si>
  <si>
    <t>Cevalfos, Ü. Pedro de</t>
  </si>
  <si>
    <t>Ü. Pedro de Cevalfos</t>
  </si>
  <si>
    <t>885 cLL Excmo. Sr. Ü. Pedro de Cevalfos, y de los Sres. D. Antonio de la. Cuesta y D. Gabriel de Hoyos y ’Velarde, quienes tuvieron ei honor de bear la real mano de S. M. y la de SS. AA., después de haber pronunciado el primero de ellos el siguiente difcurío: ,,Señor: la junta general de los repres…</t>
  </si>
  <si>
    <t>Cevalios, Pedro</t>
  </si>
  <si>
    <t>Pedro Cevalios</t>
  </si>
  <si>
    <t>…ra del Excmo. Sr. D. Juan Escoiquiz, titulada Idea sencilla de las razones que motivaron el viage del Rey Fernando vn á Bayona. Dedícalas á sus compatriotas el consejero de Estado D. Pedro Cevalios; segunda edición, á beneficio de los reales hospitales General y Pasión de esta corte* Vén dese á 5 rs. en la librería de Ibarra, calle de la Gorguera. ■------------------------------ ------------------------------■ —— _ -•—^ EN LA IMPRENTA REAL.</t>
  </si>
  <si>
    <t>Cevallos</t>
  </si>
  <si>
    <t>…los calabozos, cuya orden parece no haberse cumplido, aunque se habían cometido ya infinitas atrocidades. El 26 de Setiembre habia salido de Coro una división nuestra ai mando del señor Cevallos, compuesta de noo hombres, y se le reunía mucha gen te, aunque falta de armas. Estas tropas se adelantaban para operar de co mún acuerdo con los 1200 hombres llegados de España últimamente, que del 12 al 14 de Octubre debían salir de Puerto-Cabello engrosados…</t>
  </si>
  <si>
    <t>…avisado ios resultados, que tendré el honor de comunicar á V, S. luego quedos reciba. La derrota de Marino fue en los campos de S. Carlos, adonde se habia replegado el comandante general Cevallos, habiéndole sido forzoso abandonar el sitio de Valencia después de quatro dias de trabajos y fatigas, y teniendo brechas abiertas de quadras enteras y cortada el agua, por no tener mas que seis cartuchos por plaza, y los enemigos bien fortificados y municiona…</t>
  </si>
  <si>
    <t>Cevallos, Francisco Xavier</t>
  </si>
  <si>
    <t>Francisco Xavier Cevallos</t>
  </si>
  <si>
    <t>…intian, á D. José Ignacio Cortázar, cura propio de la iglesia matriz de Guayaquil. El Rey nuestro Señor sé ha dignado admitir al teniente del regimiento de infantería de la Corona D. Francisco Xavier Cevallos la cesión que, pe netrado de las urgencias del estado, ha hecho de todas sus pagas devenga das durante el tiempo que estuvo prisionero en Francia, importantes 4942 rs. 17 mrs. vn.; mandando S. M. que en su Real nombre se le den las gracias, y se publique en l…</t>
  </si>
  <si>
    <t>Cevallos, José</t>
  </si>
  <si>
    <t>José Cevallos</t>
  </si>
  <si>
    <t>…D. Juan Manuel Cagigal con copia del oficio. Los asuntos militares y políticos de e‘tas provincias están en este dia con el aspecto mas lisonjero, pues después de haber batido el coronel D. José Cevallos, comandante general del exército, al insurgente gefe principal de Oriente Santiago Marino, que desde Cumaná y Nueva-Barcelona vino á-au xiliar con 4® hombres al gefe principal de los cabecillas Simón Bolívar, es tá el exército fiel sobre Valencia, la que está…</t>
  </si>
  <si>
    <t>Cevallos, Mariano</t>
  </si>
  <si>
    <t>Mariano Cevallos</t>
  </si>
  <si>
    <t>…ilicias urbanas de infantería de Abancay el empleo de sar gento mayor al capitán de granaderos D. José Santos; y compañías á los tenientes D. Mariano González, D. Gregorio Alagon, D. Mariano Cevallos y D. José Fernandez Peredo. En el de Chachapoyas subtenencia de bandera al sargento primero Don Diego Roldan. En el de León de Huanuco compañía de granaderos al de fusileros Don Francisco Ingunza: compañías de fusileros á los tenientes D. Manuel Anto nio de la Mata y D. José Jorge Dura…</t>
  </si>
  <si>
    <t>Cevallos, Pedro</t>
  </si>
  <si>
    <t>Pedro Cevallos</t>
  </si>
  <si>
    <t>…a diputación de la real universidad de Valladolid, compuesta del Dr. D. José García Nie to, rector de ella, catedrático de cánones y canónigo de aquelia santa igle sia; del Excmo. Sr. D. Pedro Cevallos, del consejo de Estado y caballero gran cruz de la orden de Carlos m; del Excmo. Sr. D José Colon, ex rector y honorario del mismo consejo ; del limo. Sr. D. Francisco de Mier, ex-cafedrático y obispo de Almería , del consejo de S. M.; del limo. Sr. Don Berna…</t>
  </si>
  <si>
    <t>…xcmo. Sr. D. Juan Escoiquiz titulada Idea sencilla de las razones que motivaron el viage del Rey Fernando vn á Bayona* dedícalas á sus compatriotas.su autor el Consejero de Ésrado D. Pedro Cevallos: un quaderno en 8.° mayor. Se hallará á 4 rs. en la librería de Ibarra, calle de la Gorguera. Las obras de S. Cipriano obispo y mártir, traducidas al castellano, é ilustradas con notas, y la vida &lt;Ücl santo por el Dr. D. Joaquín Antonio del Camino yOrelIa, ca…</t>
  </si>
  <si>
    <t>Cevállos, Pedro</t>
  </si>
  <si>
    <t>Pedro Cevállos</t>
  </si>
  <si>
    <t>2168</t>
  </si>
  <si>
    <t>…mposibilitarse por esta causa , he venido en condescender con vuestros ruegos de que os exo nere del referido Despacho, y en su consecuencia he nombrado para que os suceda en él á D. Pedro Cevállos, de mi Consejo de Estado. Tendyeisio entendido , y-dispondréis lo 'necesario á su cumplimiento.’* Circulares del Ministerio de Guerra. x.a Queriendo el Rey.nuestro Señor dar tina prueba del aprecio que le</t>
  </si>
  <si>
    <t>CevAlos, Mateo de Obregpn</t>
  </si>
  <si>
    <t>Mateo de Obregpn CevAlos</t>
  </si>
  <si>
    <t>…canónigos y freylés dé Ja Real casa de S. Míreos de León, de la or den de Santiago, se presentaron á felicitar áS^M. eldia 28 de Agosto pró jimo pasado por medio de sus diputados D. Mateo de Obregpn CevAlos,.. capeüan de honor de S. M. ; D. Tomas Gentío, cura del Real sitio de Aran-r juez, y D, Antonio Villaroel, individuos de la misma. ReaLcasa; de los; qualcs el primero pronunció el discurso siguiente: - w Señor : los Reyes de Leen fueron los primeros que prot…</t>
  </si>
  <si>
    <t>Ch</t>
  </si>
  <si>
    <t>44 d'etes D. Rafael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 D. Juan ;Q'ues'adá y Vial, D. Juan Quesada Alaminos, D. Salvador Boner, D. Bruno Vali…</t>
  </si>
  <si>
    <t>Ch'c'hery, Guillermo</t>
  </si>
  <si>
    <t>Guillermo Ch'c'hery</t>
  </si>
  <si>
    <t>…sco Xavier Cornel, coronel agregado al 2° de Mallorca; •el dei de Rla-serícia ál coronel D‘. Rárnon Acedo Rico* teniente coronel con mando en comisioii del mismo; el del Inhestó á D. Guillermo Ch'c'hery, te : e! del de Voluntarios de Méridániente coronel a2regadoc- al de_ !á Princesa_ f al coronel D. Francisco de Paula Pavía, comandante de tropas ligeras, y el de] de Lena á D. Miguel-Perez Mozun, coronel en comisión del mismo. La Regencia del Reyno se ha ser…</t>
  </si>
  <si>
    <t>Cha, Francisco</t>
  </si>
  <si>
    <t>Francisco Cha</t>
  </si>
  <si>
    <t>…Josef Pumarejo y I). Carlos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-igual nombre D. Toaquin González -de Mench&amp;ca; el de‘ Cariñena al brigadier…</t>
  </si>
  <si>
    <t>Chacón, Salvador Mairía</t>
  </si>
  <si>
    <t>Salvador Mairía Chacón</t>
  </si>
  <si>
    <t>…, D. Francisco Vázquez dé Mondrngon, D. Francisco Xavier de triarte, D. José de Espinosa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</si>
  <si>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Chanove, Antonio Fernando del</t>
  </si>
  <si>
    <t>Antonio Fernando del Chanove</t>
  </si>
  <si>
    <t>…el-colegie universidad de ia villa de Oñate el ministro del consejo Real ‘ti/ Antonio Ignacio Cortabarría; Don R amon María de Adurríaga?i-,c,anqnigo de santa iglesia de Burgos, y Don Antonio Fernando del Chanove, inquisidor; el primero de los guales aren gó iá:S:iíMü:coi3»0 figbet ' i *U&gt; ; ' ,'r&gt; 4&gt;Sfeñ(or: la villa dé Oñate * en Iaf provincia de Guipúzcoa, y el gremio y claustro deisii universidad literaria nós hartebniisionado para tfibütar á V. Mí, I^s gracias po…</t>
  </si>
  <si>
    <t>Chapera, Luis</t>
  </si>
  <si>
    <t>Luis Chapera</t>
  </si>
  <si>
    <t>…os de la M. N y M. L. villa de Briones.” Asimismo en este dia tuvieron la honra de felicitar á S. M. una dipu tación de la real cabaña de carreteros, compuesta de sus comisionados Don Luis Chapera, D. Pió Mirón y D. Cosme de Miguel García; el primero de los quales dirigió á S. M. el discurso siguiente: „Señor: la real cabaña de carreteros del reyno, situada en la sierra que divide las dos provincias de Burgos y Soria, aunque casi anonadada por las crue…</t>
  </si>
  <si>
    <t>Chateau</t>
  </si>
  <si>
    <t>…y se apodera ron de las alturas de Perthe. El príncipe de Moskwa se puso al frente de seis batallones en columna cerrada, y avanzó contra el pueblo por el camino de Maizieres. El general Chateau, gefe del estado mayor del duque de Belluno, al frente de dos batallones, volvió á la derecha, y entró en el castillo de Brieñf e por él parque. En este momento hizo el emperador marchar una columna por el camino de Bar del Aube, que parecía ser el punto de r…</t>
  </si>
  <si>
    <t>Chaves, Felipe Sandovai y</t>
  </si>
  <si>
    <t>Felipe Sandovai y Chaves</t>
  </si>
  <si>
    <t>2046 El Rey se ha servido nombrar para la vara primera de Granada á Don Carlos Sofdevilia: para la segunda á D. Felipe Sandovai y Chaves: para que sirva interinamente el juzgado de letras de la ciudad de Larca á D. José Salustiano de Cáceres: para que continúe por ahora en el corregimiento de Lucena á E). Manuel Ortiz de Pinedo: para la vara de alcalde mayor, te niente primero de asistente de…</t>
  </si>
  <si>
    <t>Chaves, Manuel María Pantoja y</t>
  </si>
  <si>
    <t>Manuel María Pantoja y Chaves</t>
  </si>
  <si>
    <t>…juramentos, y pedirá constantemente al cielo bendiga los pasos de V. M., y dilate su preciosa vida para consuelo de sus leales vasallos.’' El 24 del mismo tuvo igualmente el honor D. Manuel María Pantoja y Chaves de dirigir á S. M. en nombre de los caballeros hijodalgos de la villa de Ribera del Fresno la arenga siguiente: ,,Señor: D. Manuel María Pantoja y Chaves, vecino de la villa de Ri bera del Fresno, en Extremadura, por sí yen nombre de todo el estado de hijodal…</t>
  </si>
  <si>
    <t>Chavier, Andrés</t>
  </si>
  <si>
    <t>Andrés Chavier</t>
  </si>
  <si>
    <t>…e Apodaca." Por decreto de este dia se ha servido S: M. conferir á D. Joaquín Elío y Jaureguizar la plaza de Ministro togado de la Cámara de Comptos, va caste por fallecimiento de D. Andrés Chavier. Real lotería moderna. En el sorteo noveno que se celebro el dia 14 de Setiembre salieron los premios mayores á los números siguientes: Números. Premios. Colecturías. 8458, 160000 rs. vn En Cádiz. 112*5. 80000 ídem. En idem; 12193, 40000 idem. En idem. n Mí 2…</t>
  </si>
  <si>
    <t>Cheza, José de Quevedo</t>
  </si>
  <si>
    <t>José de Quevedo Cheza</t>
  </si>
  <si>
    <t>…story. A g 'f s dé esqu tdra les brigadieres D. Salvador Mairía Chacón, D. Agustín de Figueroa, D. Juan Darrac, D. Bernardo Muñoz, D. José de Gardoqui, D. Ignacio María de Olaera, D. José de Quevedo Cheza, D. Tomas de Ayaide, D. Miguel Gasten,</t>
  </si>
  <si>
    <t>Chiavari, Nicolás Questa de</t>
  </si>
  <si>
    <t>Nicolás Questa de Chiavari</t>
  </si>
  <si>
    <t>…a trasladarse á esta capital. ITALIA. Gémva i$ de Octubre. Una desgracia últimamente acaecida acaba de llenar de luto á varias fa milias de esta ciudad y de Chiavari. Él barco del capitán Nicolás Questa de Chiavari, que habia salido de aqui la noche del martes último con un rico cargamento y mas de 41 pasageros, habiendo empezado á hacer mucha agua, naufragó anoche á la altura del pequeño promontorio de la Madona delle Grazie. El capitán, luego que vió el riesgo en que…</t>
  </si>
  <si>
    <t>Chigi</t>
  </si>
  <si>
    <t>…a mas y mas diariamente, y ninguno de los atacados escapa. J italía. ; ; !i ' Roma 3 t de Enero. v * . El 24 Instaló este gobierno provisional el general napolitano Lavauguyon. El príncipe Chigi ha sido nombrado prefecto de Roma : todos los puer tos de nuestros departamentos., do mismo que los del reyno de Ñápales, estan ya abiertos á las potencias neutrales y aliadas.— Han sido puestos en libertad todos los sacerdotes que se-hallaban presos ó destar…</t>
  </si>
  <si>
    <t>Chorroco, Pedro</t>
  </si>
  <si>
    <t>Pedro Chorroco</t>
  </si>
  <si>
    <t>…visto que no volvían á salir, aunque he esperado hasta media tarde, me he retirado con la pérdida de tres soldados heridos de ba yoneta y 12 de bala. El subteuiénte de granaderos D. Pedro Chorroco y tres sargentos han sido igualmente heridos, y quatro soldado muértos. De bo elogiar á V. S. la bizarría con que se han batido las indicadas fuerzas después de la resistencia que les ha opuesto el enemigo. Se lo comunico á V. S. para que le sirva de gobierno…</t>
  </si>
  <si>
    <t>Chotam</t>
  </si>
  <si>
    <t>66</t>
  </si>
  <si>
    <t>…de agosto en el estrecho de Bonifa cio. El capitán Elopkins, de la corbeta Helicón, apresó al corsario franges Revenant de St. Malo, de 14 cañones y 70 hombres de tripulación. El capitán Chotam, de la Madriada, apresó el 12 del corriente el cúter armado del Rey de Dinamarca el Abigaii, con 40 hombres. El almirante sir J. B. Warren ha remitido ia lista d&lt;e los barcos siguien tes apresados ó destruidos por la esquadra que tiene á sus órdenes; á saber:…</t>
  </si>
  <si>
    <t>Churruca, Pascual de</t>
  </si>
  <si>
    <t>Pascual de Churruca</t>
  </si>
  <si>
    <t>…ue obtiene en la misma iglesia, y dimisión del empleo de primer bibliotecario de aquella uni versidad: para una canongía de la iglesia catedral de Cartagena, vacante por muerte de D. Pascual de Churruca, á D. José Lledó, con calidad de que ha de servir sin sueldo la plaza de ministro del Consejo de Ordenes, pa ra que está nombrado; y para el medio pontifical de Coria, en el arzobis-</t>
  </si>
  <si>
    <t>Ciavarino, Domingo</t>
  </si>
  <si>
    <t>Domingo Ciavarino</t>
  </si>
  <si>
    <t>…fuego fuerte, que aterró á los rebeldes, se gún he visto por los resultados de hoy. Esta madrugada, permaneciendo aun el campamento enemigo, hice salir al sargento mayor de N. E. D. Domingo Ciavarino con un cuerpo de tropas, cuya disposición le tenia dada desde la noche anterior, á hacer un reconoci miento para dar el ataque general. Estas tropas se mantuvieron á su frente todo el tiempo necesario hasta verificar mi salida. Los rebeldes luego que vieron f…</t>
  </si>
  <si>
    <t>Cibat, Antonio</t>
  </si>
  <si>
    <t>Antonio Cibat</t>
  </si>
  <si>
    <t>…nseñanza empezará el dia i.° del próximo Octubre, dando lec ciones de 11 á 12 todos los dias que no sean feriados, con arreglo al trata do que de esta ciencia publicó años pasados D. Antonio Cibat; y para quo la falta de medios no sea un obstáculo para que todos disfruten de esta en señanza, la Junta dará exemplares de la obra de Cibat á los discípuros que no tengan medios de comprarla. Madrid 28 de Setiembre» El dia 18 de Julio próximo pasado tuvo ¡a…</t>
  </si>
  <si>
    <t>Cid, Pedro</t>
  </si>
  <si>
    <t>Pedro Cid</t>
  </si>
  <si>
    <t>…vo luntarios de Asturias. D. Ramón Solís, teniente de la Corona. D. Antonio María de Castro, id. de id. D. Manuel Ramón Castell, id. de id. D. An drés Gayoso,, subteniente de id. D. Pedro Cid, id. de id. D. Lorenzo As ease) ¿ teniente coronel del de Ribero. D. Bartolomé Sotelo, capitán de id. D. Joaquín Zarráélná ¿-subteniente de id. D. Ramón de Muniz, sargento mayor ac Oviedo. D. Alberto Rodríguez, capitán de id. D. Fermín Rol dan^ teniente de id…</t>
  </si>
  <si>
    <t>Cienfuegos, José</t>
  </si>
  <si>
    <t>José Cienfuegos</t>
  </si>
  <si>
    <t>…Francisco de Horcasitas. Por la Caballería..^ de i?ual cfase D Ju;m de H,nestrosa&gt; Por Ingenieros....... Al Mariscal de^Campo D. Manuel Zappino. Par Artillería,....... Al Tejiente general D. José Cienfuegos. Por Intendente...... D. Anselmo de Rivas. Por Togado..i........ D. Esteban Antonio de Orellana. Por Político........... Ai Coronel D. Francisco Antonio Diz. Fiscal militar........ Al Mariscal de Campo D. Martin González deMenchaca# JA D. Luis Bertrán, Oficia…</t>
  </si>
  <si>
    <t>Cieofuegos, José</t>
  </si>
  <si>
    <t>José Cieofuegos</t>
  </si>
  <si>
    <t>…. £f.-j eretario de S. É., teniente de la Princesa. D.,feernando.^e;J.a^enríat.gapitagi de ingenieros. D. José. Ortega, teniente coronel , ayudare ¡ .secundo,fju/,es-j tado mayor. D. José Cieofuegos, id. de id. D. Ramón Gqqzajez^J^pe i3. D. Santos San Miguel, teniente coronel deí 2.0 de Asturias. D. Jos&amp;M^íía Noroa , sargento mayor de id. D. Diego Quirós, capitán de id. D. Tomas Pastoriza , teniente de id. D. Gumersindo Muros, subteniente de id. D. Benit…</t>
  </si>
  <si>
    <t>Ciríaco</t>
  </si>
  <si>
    <t>…e se insertará en ei boletín de las leyes. ESPAÑA. Aléxico z de Enero. . i • ; . ‘ ** i' : !. i , . * Adas tres de esta tarde ha recibido el Excmo. Sr. Virey partes del bri gadier D. Ciríaco de ¡Llano, comandante general del exército del Norte» can fecha de 25 y 28 de Diciembre á las once y media de la noche, en que participa la completa derrota de Morelos y de todos los caudillos reunidos en aquella provincia, que por la premura de tiempo no pue…</t>
  </si>
  <si>
    <t>Cirios</t>
  </si>
  <si>
    <t>836</t>
  </si>
  <si>
    <t>…l decreto siguiente: ,,Pará evitar toda duda que so pueda suscitar acerca del método que ha de observarse en la correspondencia de oficio qne,ocurra á mi amado Her mano el Infante D. Cirios como Coronel de mi Brigada de Carabineros, si guiendo la práctica antigua guardada en mis Reynos, que concilia el deco ro y respeto debidos á su alta dignidad en ellos, he resuelto: 1. ° Que la correspondencia del Infante mi amado Hermano con los Mi nisterios…</t>
  </si>
  <si>
    <t>Cisneros, Alfonso Ximenez de</t>
  </si>
  <si>
    <t>Alfonso Ximenez de Cisneros</t>
  </si>
  <si>
    <t>…a de juez auditor de la Rota á D. Vicente Ruiz de Albillos. Asimismo ha concedido S. M. gracia de capellanes de honor á D. Ma tías Vinuesa López de Alfaro; á D. Blas Ostoiaza, y á D. Alfonso Ximenez de Cisneros. Los honores del consejo de Hacienda á D. Manuel López de Araujo, á D. Francisco González Estéfani, á D. Francisco Ortiz Taraa* co, á D. Nicolás Lamiel, y á D. José Teodoro Santos. Conformándose el Rey nuestro Señor con el parecer de su consejo supre mo de la…</t>
  </si>
  <si>
    <t>Cisneros, José de</t>
  </si>
  <si>
    <t>José de Cisneros</t>
  </si>
  <si>
    <t>…Cóntreras, á D. Cayetano de Campos, canciller deja inigne orden del Toyson de Oro y cura del Real palacio: para una ración de la iglesia cate dral de Málaga, vacante por muerte de D. José de Cisneros, á D. Juan Pedro Herrera: para otra ración de Ja misma iglesia, vacante por fallecí-</t>
  </si>
  <si>
    <t>Cisneros, Juan Shnchéz</t>
  </si>
  <si>
    <t>Juan Shnchéz Cisneros</t>
  </si>
  <si>
    <t>…m^ntaría de D? Manuel Carlos Bahamonde, que penden eii su juzgado, y escribanía de D. José Al vare z Perez. Lo$ subscriptores á las, ideas sueltas sobre la cleticia militar por él coronel Don Juan Shnchéz Cisneros, se servirán acudir á rebocar la obra 'én' .Valencia, casa de D. yicente Beneito, del comercio de "libros í fréhte la real audiencia, donde tam bféh’se halla de venta. Esta obra , qúe S. M. y :AA.! -sc-hán dignado admitir con su' real agrado, contiene muchos…</t>
  </si>
  <si>
    <t>Cisquero, Juan</t>
  </si>
  <si>
    <t>Juan Cisquero</t>
  </si>
  <si>
    <t>2o 06 pasimiro .de Lavadle, D. Juan Cisquero , D. Antonio Darcaurt, D, Fran cisco Fulgencio, D. Estéban Poriier, D- Antonio María de Mendoza, y Don Mariano de Peñafiel. A brigadieres á los coroneles D. Ramón de Figueroa, D. José de Morete, D. Repulido M.scdona!, D. José Martínez de San Martin, D. Cárlos…</t>
  </si>
  <si>
    <t>Clancarty</t>
  </si>
  <si>
    <t>…n parte de su estado mayor des de Utrech, donde tiene su quartel general: también vino el general Phfuí; y se espera por momentos al general Benkendorf.__ Aquellos dos genera les, lord Clancarty, el general Tavlor, ei teniente coronel Barclay, ios ofi ciales que acompañaron ai general Buiow, y varios caballeros dinamarque</t>
  </si>
  <si>
    <t>…el puerto unos 50 buques. Nuestra pérdida no ha sido tan considerable como era de temer. Tengo la honra &amp;c. = T. F. Freemantle. Idem 24. S. A. S. el príncipe de Orange y S. E. el lord Clancarty, coft una nu merosa comitiva, desembarcaron en Schevelíng el i.° del presente á las qua tro de la tarde. S. A. S. marchó inmediatamente al Haya. Quando el navio de S. M., que llevaba la bandera de Orange, se aproximó á la costa, la cer caron muchos barcos hol…</t>
  </si>
  <si>
    <t>…mbargó todo él exército sentirá la falta de tan bizarro, activo y distinguido oficial en esta situación importante. Idem 14. Se llan recibido también pliegos de sir Tontas Graham, lord Clancarty y del mayór Macdóriáld (i'): él primero relativo al bombardeo de Ambéres: el (O Estos oficios, con otros de igual importancia, se publicarán en las gacetas sucesivas.</t>
  </si>
  <si>
    <t>Clarke</t>
  </si>
  <si>
    <t>…será al príncipe que la nación francesa lla ma al t'rono de sus antecesores. Por mí y 'pdr mi estado mayor me adhiero á Jas actas del senado y á las del gobierno provisional.” El general Clarke , duque de Feltre, y todos ios generales y oficiales de Ja guardia y del exército h«n prestado juramento de ser fieles al rey. Habiendo reconocido á Luis xvin la ciudad de Dunquerque, y enarbo lado el pabellón blanco, el gobierno británico ha mandado levantar…</t>
  </si>
  <si>
    <t>Clastierfeagh</t>
  </si>
  <si>
    <t>…Bellegarde. Lo que hay de cierto es que el ministro, sir Sydney-Smith, que había ido á.visitar la aba día de Giosternemburgo con el príncipe Real de Prusia , recibió un correo del lord Clastierfeagh para que viniese; á; Viena, Se cree que el emperador de Rusia y el rey de Prusia marcharán á Ber lín después de la ceremonia del restablecimiento de la dignidad imperial de Alemania en la casa de Austria. Si no acontece alguna novedad, esta gran ceremonia se…</t>
  </si>
  <si>
    <t>Claud.ip.Saoz</t>
  </si>
  <si>
    <t>…Je D. Ventura Antonio Álvarez, 'escribano de su- número, cúmpiidó por el Sr. Doñ Francisco Assin , teniente de corregidor de esta vil.a, en auto’dé 21 del corriente* refrendado de D. Claud.ip.Saoz, escribano del número d¿ éílá, se cita, llama y em plaza por segundo y último;térmic a los acreedores á los bienes que quedaron por fallecimiento deiSD. Jüán ^ahü’d ^dé Aramburu , Vecino1 que fue-dé-dicha ciudad* para que dentro de tres meáés códíparczcart po…</t>
  </si>
  <si>
    <t>Clavarino, Domingo</t>
  </si>
  <si>
    <t>Domingo Clavarino</t>
  </si>
  <si>
    <t>…fuerte que aterró á los rebeldes, se gún he visto por los resultados de hoy. Esta madrugada, permaneciendo aun el campamento enemigo, hice sa lir al sargento mayor de Nueva-España D. Domingo Clavarino con un cuerpo de tropas, cuya disposición la tenia dada desde la noche anterior, á hacer un reconocimiento para dar el ataque general. Estas tropas se mantu vieron á su frente todo el tiempo necesario hasta verificar mi salida. Los re beldes luego que vieron…</t>
  </si>
  <si>
    <t>…fuertes emboscadas en las barrancas laterales de mi iz* quierda del camino. Para trastornar el plan de Morelos dispuse que una división de infante ría, al mando del sargento mayor D. Domingo Clavarino, atravesase las penosas barrancas de nuestra izquierda para sorprehender á los emboscados* que no podían ni siquiera rezelar el movimiento de Clavarino. En el ínterin yo con todo el resto del exército seguí mi marcha á aproximarme al ene migo. Desde una altur…</t>
  </si>
  <si>
    <t>Clemen, Domingo</t>
  </si>
  <si>
    <t>Domingo Clemen</t>
  </si>
  <si>
    <t>…avor de ¡una vigorosa salida pudieron los enemigos prote ger la retirada dé ?u débil guarnición á la plaza, según el parte que acabo de recibir del gefe que dexé en aquella ala el coronel D. Domingo Clemen te de Sierra. El enemigo ha dexado en dichas obras toda su artillería, de</t>
  </si>
  <si>
    <t>Cleve</t>
  </si>
  <si>
    <t>…de Prusia príncipe de Hardcmberg; el tenien te general prusiano Mr. de Knesebeck; el conde de Goertz, consejero ín timo de Saxonia; el príncipe heredero de Mecklemburgo Strelitz; lord Cleve; el príncipe de Wrede, y el comandante Ruffo, embaxador de Sicilia cerca de la corte de Austria. Pasan ya de 16© los extrangeros que han concurrido á esta capital con motivo del congreso; de suerte que muchas calles se han convertido en mer cado------Los Sobe…</t>
  </si>
  <si>
    <t>Clifton</t>
  </si>
  <si>
    <t>ha sufrido el exército con la muerte del teniente coronel Clifton, mandando las Guardias del regimiento i.°, y del teniente coronel James Macdonald , del mismo regimiento. Estos oficiales encontraron su muerte, con otros muchos, peleando en la puerta de Ambéres, conduciéndose con el mayor valor: el teniente coronel Jones, c…</t>
  </si>
  <si>
    <t>…nei Muller y las tropas de la puerta del Puerto se habian visto obliga das á rendirse, y que marchaba con escolta á la ciudad. También supe la suerte del destacamento del teniente coronel Clifton , del mayor general Skerret, dei mayor general Gore y del teniente coronel Carleton , y que las tropas que mandaba habian padecido mucho, y habian sido rechazadas de los pumos avanzados en lo largo de la muralla adonde habian penetrado. Como yo estaba convenc…</t>
  </si>
  <si>
    <t>Clinton</t>
  </si>
  <si>
    <t>36</t>
  </si>
  <si>
    <t>…ar el Adour en la misma noche. No quedan otros enemigos ála izquierda del rio que la división del ge neral París hácia St. Palaís. ' Según las noticias últimas que he recibido del general Clinton del 3 de este, el enemigo intentó otra sorpresa contra su posición del Ordal', pero con mal éxito. Dios guarde á V. E. muchos años. Quatrel general de S. Juan de Luz 19 de diciembre dé 1813. = Exorno. Sf.—Wellington, duque de Ciu dad-Rodrigo. = Exemo. Sr. D.…</t>
  </si>
  <si>
    <t>…entro del puen te, que tienen fortificado por ambas partes. El reconocimiento se hizo como se deseaba, y las tropas volvieron á Viilafranca, hallándose muy satisfecho el expresado general Clinton del valor y conducta de las de este exército^ y el Excmo. Sr. general e» gefe quiere hacer partícipes á todos sus indivi duos de la satisfacción que á S. E. cabe por ver aplaudidos los valientes, no dudando de que todos se esmerarán, en llegando el caso, para…</t>
  </si>
  <si>
    <t>…ta ques simultáneos que daba por nuestra izquierda ei general Ausofi con su brigada de la quarta división , y por la derecha el general Picton con la sexta división , al mando del general Clinton , y coa los restos de la tercera división, desalojaron al fin al enemigo, y nos dieron la victoria. ,,Entre tanto el general Hill habla forzado el paso del Gave por baxo de Ortés, y viendo ei estado de la acción, se puso en movi miento con la segunda división…</t>
  </si>
  <si>
    <t>…Clinton que con la sexta división atacase y doblase la derecha del enemigo, mientras que el general Híll atacaba la ciudad por el camino real de Vich de Bigorre. El movimiento del general Clinton fué ejecutado con mucha destreza, y tuvo un feliz resultado; la división ligera dei mando del general barón de Alten arrojó al enemigo de las alturas encima de Orlen, y habiendo atra vesado la ciudad el general Hiil, y dispuesto sus columnas para el ataque, s…</t>
  </si>
  <si>
    <t>…rante todo el dia- * No puedo- elogiar suficientemente la liabili-* dad y conducta-del mariscal Bere’sford durante todas las operaciones de éste día , la dél general Colfe, la déí general Clinton y-la de los mayores genera les Pack'y Lambert. El mariscal refiere particularmente la buena conducta del brigadier general d'Urban, quarteímaestre general , y la del mariscal de campo Brito-MosSinho, ayudante general del exército portugués. La quarta división…</t>
  </si>
  <si>
    <t>…n sincera mente la muerte del mayor general Hay, cuyos servicios y mérito he te ñid í frecuentes ocasiones de poner en noticia de V. E. Por uri oficio que he recibido del teniente general Clinton del 6 de este, he sabido que es-* taba próximo á executar mi orden del 4 de Marzo de retirarse de:Catalu*&gt; ñ.ien consecuencia de haberse disminuido allí las fuerzas del mariscal Such'et. 'Remito* á •WiE.'este t&gt;ficio ,con el capitán D. José Cacho, edecán del…</t>
  </si>
  <si>
    <t>Clinton, Henrique</t>
  </si>
  <si>
    <t>Henrique Clinton</t>
  </si>
  <si>
    <t>…ra de momentos por estas tropas del primer exército, sin embargo de que tuvieron que atacarlos en reductos. ,, A la derecha se hallaba el señor general en gefe del exército aliado Don Henrique Clinton con algunas tropas de su exército y las del general Sarsfield , las que tuvieron una parte muy activa, batiendo á los enemigos que se le presentaron. „ Crmo el objeto fué solo un reconocimiento, nos retiramos dexando ar diendo los reductos del enemigo, y tray…</t>
  </si>
  <si>
    <t>…extraordinario para que se sirva elevarlo al conocimiento de S. A., y al mis mo tiempo manifestarla que he hecho presente al señor general en gefe de las tropas de S. M. Británica D. Henrique Clinton , lo importante que es que se bloquee la plaza de Barcelona, á cuyo efecto le he suplicado apro xíme su exército, para que en unión con las fuerzas que pueda yo destacar de este de mi mando, logre verificarlo___ Me he aprovechado de la salida de tropas enemig…</t>
  </si>
  <si>
    <t>…secretario interino del despacho dé la Guerra el oficio siguiente: ’ „ Eterno- Sü. : conforme á las instrucciones que ha recibido del Excmo. Sr. duque de Ciudad-Rodrigo el Excmo. Sr. D. Henrique Clinton, general en gefe de las tropas británicas en ésta provincia, ha emprendido su retirada con.todas dias .para ios destinos que le han sido señalados, y ha quedado por disposición del mismo Sr Duque á mis órdenes una división del segun do exército y .la. divisió…</t>
  </si>
  <si>
    <t>Clinton, W.</t>
  </si>
  <si>
    <t>W. Clinton</t>
  </si>
  <si>
    <t>…ma5 aprecio y amor para su tio el ma riscal de campo D. José Obispo, que se hallaba en el consejo de generales de Córdoba quando ocurrió lá desgracia dé su sobrino, tuvo á bien el general W. Clinton mandar que se omitiese por entonces dar al público su nombre, con el fin de preparar primero al general Obispo por medio del Timo. Sr. obispo de aquelíá ciudad, como asi se hizo , igualmente que có» los padres del difunto, quienes se hallaban en Madrid. ; , '…</t>
  </si>
  <si>
    <t>Cliot</t>
  </si>
  <si>
    <t>…qual deberá ocupar un lugar distinguido en la futura organización de la Ale mania , y establecer de nuevo en ella* su residencia. Acaban de pasar por aqui con dirección á Viena el lord Cliot, el vice secretario ingles Cooke y el conde Munster, ministro dei rey de Inglaterra, por el país de Hasnóver.. Francfort 2 8. de Agosto. Ayer llegó aquí el general austríaco conde de Nogent, y pocos dias an tes habían llegado muchos militares ingleses, entre…</t>
  </si>
  <si>
    <t>Clivilles, Francisco</t>
  </si>
  <si>
    <t>Francisco Clivilles</t>
  </si>
  <si>
    <t>…. Ramón Martínez Montaos. En Bilbao........................... D. Francisco de la Mata. En Cádiz........................... D. Benito de la Piedra. En Cartagena................... D. Francisco Clivilles. En Ciudad- Real.............. D. Mateo Casao y Romero. En Córdoba........................ D. Rafael de Montis. En la Coruña,.................. D. Felipe Elorz. En Cuenca..........¡............... D. José Escolar y Noriega. En Canarias.......................…</t>
  </si>
  <si>
    <t>Cmtuno</t>
  </si>
  <si>
    <t>…enio con este Príncipe, el qual iba á ser ratificado por el Príncipe Real de Suecia, autorizado al efecto por el Rey. E te convenio es ventajoso y honorífico para ambos países. El príncipe Cmtuno abdica la corona y el gobierno de Noruega • en consecuencia las hostilidades han ce* sado en todos los puntos.’* ALEMANIA. Nuremberg 17 de Agosto, En la gaceta de esta ciudad se anuncia que SS. MM. el emperador de Rusia y el rey de Prusia llegarán á mediados…</t>
  </si>
  <si>
    <t>Coa</t>
  </si>
  <si>
    <t>…00 rs. ai que las comunica se, y encargando también í los mismos corresponsales que le diesen cuenta si se presentaba ó no algún sugeto que dixese y asegurase el paradero de didho D. Coa me,con el señalamiento de un término suficiente, pasado el qual, sin adquirirse semejante noticiarse le encargue la administración de jos bienes de 9u hermano; y que por providencia de * 1 del corriente se accedió á Ja pretcnsión del D. M^lquia^ des en los té…</t>
  </si>
  <si>
    <t>Coba, Manuel</t>
  </si>
  <si>
    <t>Manuel Coba</t>
  </si>
  <si>
    <t>…. • Entre los muertos se cuenta ai teniente coronel Aldao, con otro de la misma graduación, y aun se asegura cupo la misma suerte ai gefe de la expedición Valdés. También murió el capitán Manuel Coba, y el auditor y comisario , pues tenia ambos el licenciado Tomas Millano, con otros muchos oficiales de todas graduaciones, sin haber yo sufri do mas pérchela que la de dos muertos, uno de infantería y otro de caba llería, con seis soldados heridos y tres cab…</t>
  </si>
  <si>
    <t>Coca, Melchor Osorio de</t>
  </si>
  <si>
    <t>Melchor Osorio de Coca</t>
  </si>
  <si>
    <t>…re noticia de su paradero se servirá comu nicarls Á D. Ceferino Gutiérrez, que vive en la calle de Toledo, casa llamada de la Sal, núm. 7, quarto 2.* Se desea saber el paradero de D. Melchor Osorio de Coca, natural de Salaman ca, que en 2 1 de Diciembre de 1808 por una carta que escribía en Cuenca á su capitán D. Miguel Anlestia, que por casualidad vino i manos de su padre D. Do mingo Osorio, se sabe era soldado distinguido del regimiento de voluntarios de Lede…</t>
  </si>
  <si>
    <t>Cochrane</t>
  </si>
  <si>
    <t>…dás'e'n 12 dias y y dice que las*tropas de Burdéos , al mandó del general Ross, quedaban allí y debían salir de la islsi dos ó tres ¿fas después dé lar páriida^dél;mismo navio. El almirante Cochrane las seguirá de cerca. r r ■ El número de tropas que tenemos actualmente en el continente es mu cha mayor de lo qué comunmente se cree. Según cálculos hechos en Paris, en Bruselas y en otras vahas ciudades dé FráriciVy dé la Bélgica Ja manu tención diaria de d…</t>
  </si>
  <si>
    <t>…siderable-en ,uti ataque que intentó el d,ia 10 de S^tietnbre contra ¡P’att^bnrgo. Nue ira es.— quadrilla del lago Champaln ha sido atacada y entertmcnte apresada ó des truida. El almirante Cochrane, impidiéndole los vientos salir de ‘a bahía de Chesapeake, resolvió practicar un^tentítiva contra Baltimore, ciudad im portantísima, donde se fomenta el espíritu hostil contra la tng aterra; y con este designio la esquadra subd.por ei;?riq de Parapscot, con u…</t>
  </si>
  <si>
    <t>Coeneñ, Antonio</t>
  </si>
  <si>
    <t>Antonio Coeneñ</t>
  </si>
  <si>
    <t>400</t>
  </si>
  <si>
    <t>…los señores oficiales del exército, ú otra qualquier persona que sepa de él, lo avise en esta corte á D. Antonio Monge, boticario en la calle de la Cruz. Se desea saber si existen D. Antonio Coeneñ y D. Antonio Viguera y Artiaga , ó sus mugeresr hijos ó herederos, á los quales, teniendo que percibir algunos intereses, les dará razón de ellos D. Estanislao Godino y Muñoz, procurador del número de los tribunales superiores de la corte, que vive calle de las Fuentes, nú mero 6, quarto s…</t>
  </si>
  <si>
    <t>Coha, José de</t>
  </si>
  <si>
    <t>José de Coha</t>
  </si>
  <si>
    <t>…las plazas d,e oidores de ta chancillería de Valladojid, vacantes por haber sido ascendidos á regentes de Galicia y Canarias D. Manuel de Ileon Santos y D. Manuel Tadeo Delgado, á D. José de Coha y $aro y á D. José Reguera,,alcalde del crimen d la misma; y para sus resoltas á D. Juan Nepomuceno Vela y D. Esteban Moyano: para la vara de Montoro á B. Francisco Xavier Rincón : para la de Cabra á D. Vicente Ruiz Morquecho: para la de Bui¡trago á D. Estani…</t>
  </si>
  <si>
    <t>Coiborn</t>
  </si>
  <si>
    <t>…la división ligera , con el fin de atacar la izquierda de la altura, en que estaba situada la derecha enemiga. Este ataque, conducido por el regimiento 52.°, al mando del teniente coronel Coiborn, y sostenido por su derecha por las brigadas del general Birbraune , y del coronel Keane de la tercera división , y también por los ata ques simultáneos que daba por nuestra izquierda ei general Ausofi con su brigada de la quarta división , y por la derecha e…</t>
  </si>
  <si>
    <t>Coimeras, Juan Senen de</t>
  </si>
  <si>
    <t>Juan Senen de Coimeras</t>
  </si>
  <si>
    <t>…re, conde de Bel— bedel , D. Cárlos O’Doneli, D. Bernardo de Acuña , D. José Marta de Carvajal, el marques de Zayas, D. José María de Alós , D. Felipe de Paz, Príncipe de Anglona, D. Juan Senen de Coimeras, D. Felipe KeatingRoche, y D. Francisco Cabrera. A mariscales de campo á los brigadieres D. Miguel de los Ríos , D. Car los de Gunchi, D. Bartolomé Georget, el barón de la Barre , D. José Fal ques, D. Manuel María Prosterla, D. José Bucareli, D. Nazario de Fg…</t>
  </si>
  <si>
    <t>Colcbero, José</t>
  </si>
  <si>
    <t>José Colcbero</t>
  </si>
  <si>
    <t>…ral de encomiendas, que existe dentro )a casa de los Reales consejos. En los últimos días de Noviembre se extravió desde el correo de esta capital una carta dirigida á Salamanca á D. José Colcbero, mariscal mayor del regimiento de caballería de Algarbe, la qual contenía un título de albeytería. Se ruega al que la haya encontrado se sitva dirigirla i dicho D. José Colchero.</t>
  </si>
  <si>
    <t>Colchero, José</t>
  </si>
  <si>
    <t>José Colchero</t>
  </si>
  <si>
    <t>…á D. José Colcbero, mariscal mayor del regimiento de caballería de Algarbe, la qual contenía un título de albeytería. Se ruega al que la haya encontrado se sitva dirigirla i dicho D. José Colchero.</t>
  </si>
  <si>
    <t>Colé</t>
  </si>
  <si>
    <t>…la tercera división, al man do del general Picton, se colocaron cerca del puente destruido de Berens; y el mariscal Beresford con las divisiones quarta y sépti ma, mandadas por el general Colé y el mayor general Walker, y la brigada del coronel Viviane hácia el confluente del Gave de Oleron con la de Pau. Habiéndose marchado el 2 5 las tropas ene migas que se hallaban situadas delante del mariscal Beresford, pasó este el dia 26 et Gave dé Pau por m…</t>
  </si>
  <si>
    <t>…u habilidad y zeto por la situación en que se halla el exército al presente. Todas las tropas , asi inglesas como portuguesas, se han distinguido. La quarta división, al mando del general Colé, en el ataque de,St. Boes y en los ataques consecutivos para apoderarse de la derecha de las alturas. Las divisiones tercera, sexta y ligera-, al mando de los generales Picton , Clinton y Alten , en fes ataques de las i alturas de la posición enemiga; y estas…</t>
  </si>
  <si>
    <t>Colfe</t>
  </si>
  <si>
    <t>…ei'Óti so^biymanéta durante todo el dia- * No puedo- elogiar suficientemente la liabili-* dad y conducta-del mariscal Bere’sford durante todas las operaciones de éste día , la dél general Colfe, la déí general Clinton y-la de los mayores genera les Pack'y Lambert. El mariscal refiere particularmente la buena conducta del brigadier general d'Urban, quarteímaestre general , y la del mariscal de campo Brito-MosSinho, ayudante general del exército portu…</t>
  </si>
  <si>
    <t>Colioredo, Wenceslao</t>
  </si>
  <si>
    <t>Wenceslao Colioredo</t>
  </si>
  <si>
    <t>…Emperador ha confiado el mando del exército austríaco de Italia al feld-mariscal conde de BéllegarJe, presidente del consejo de Guerra, em pleo que durante su ausencia servirá el conde Wenceslao Colioredo. HOLANDA, i ? t Gronittga t7 de Diciembre. La guarnición de Delft hizo muchas salidas la semana pasada, resultan-</t>
  </si>
  <si>
    <t>Colla, Domingp</t>
  </si>
  <si>
    <t>Domingp Colla</t>
  </si>
  <si>
    <t>…Merino : parala de.Almazan á D. Gregorio Barray-coa: paira la de Elche á D. Ignacio Sauca: para el corregimiento'de* Gandís ■i E&gt;. Francisca.Antonio Moya; para Já. vaca deóBejar á D. Domingp Colla zo : para la de Archidona á D. Juan José Mal dona dos paca el corregimien to de Coria 4 D• Félix Erizo y Morales: para el de Arcos de ia Frontera á D- José Bravo y Tortees: para la vara de Alberique á D. Ildefonso Gonza lo Moron: para la de Pastrana á D. José…</t>
  </si>
  <si>
    <t>Collado, Felipe'García</t>
  </si>
  <si>
    <t>Felipe'García Collado</t>
  </si>
  <si>
    <t>…Ie^.^b Á •fáítaF éiFés^a' villa.lásf'escuelas de- prlméiras fetrás pbr íarsuma irídigenciá' y^désofécibo áqúellaHiafi déxado reducida nuestros fe roces enemigos, el adoso patricio D. Felipe'García Collado se propuso res-</t>
  </si>
  <si>
    <t>Collantes, Bernardo</t>
  </si>
  <si>
    <t>Bernardo Collantes</t>
  </si>
  <si>
    <t>…Cenon Velez , que se sabe ha po dido ganar la orilla opuesta. Los oficiales que han combatido en este día lo han hecho á satisfacción de Gándara , y son: el teniente de cazadores Don Bernardo Collantes, del batallón del Sur; el de la misma clase de fusileros D. Manuel Gordiano, el comandante de patriotas de Huizuco D. Manuel Castrejon, los subtenientes del expresado batallón D. Bernabé Villanueva y D. Justo Romero, el de patriotas de dicho pueblo D, Francis…</t>
  </si>
  <si>
    <t>Collar, Silvestre</t>
  </si>
  <si>
    <t>Silvestre Collar</t>
  </si>
  <si>
    <t>…olcrosa esclavitud en que ha estado sumergida por tan largo tiempo. Madrid 17 de-Junio. El 29 del mes próximo pasado tuvieron el hopor de cumplimentar á S. M. y besar su real mano D. Silvestre Collar y 1¿&gt;. Juan Camino Hevia, como representantes del principado de Asturias; y el primero prenunció el discurso siguiente: ,,Señor: la diputación provincial de Asturias, cuyo principado tiene la gloria, no solo de haber sido el primero que despiies.de.l heroyco…</t>
  </si>
  <si>
    <t>…paríci. = Conde de TorreMuzquiz. = D. Ignacio OmulrriannD. Cayetano Urbina. = D. Juan Ro bledo. = D. Francisco Xavier Caro. = D. Josef Aycinena. = D. Antonio Cal derón , Fiscal. = D. Silvestre Collar, Secretario. = Sala tercera de Justician D. Ramón de Posada.s= Di Francisco Josef Viaña. =D. Joaquín Mosque ra, =D. Antonio Salcédon Conde de Vista-Florida. Contador general* que no ha de ser Ministro de la tabla, D- Josef Manuel de Aparici y Prado. = Madrid…</t>
  </si>
  <si>
    <t>Collast, Ramón</t>
  </si>
  <si>
    <t>Ramón Collast</t>
  </si>
  <si>
    <t>…iente de id. D. Mi guel Santos, id. de id. D. Tomas Nogueyra, id. de id. D. Francisco Villariño, id. de id. D&gt; Francisco Rúa, teniente del de Oviedo. D. Ramón Gastellá; id. de id. D. Ramón Collast, subteniente de id. D. José Ordoñez, id. de id. D. Pedro Mateo Olorn, sargento mayor del i.° Cántabro. Don Juan Suarez, capitán de id. D. Vicente Carvajal, id. de id. D. Juan Piñal, teniente de id. D. Francisco Mediavilla, id de id. D. Ramón de Arribas, subte…</t>
  </si>
  <si>
    <t>Colloredo</t>
  </si>
  <si>
    <t>…. Los aliados cogieron tres ca ñones, varios centenares de prisioneros, y él enemigo filé perseguido por el camino dé Charioñs. Siento haber de decir á W E. que ayer fue herido el general Colloredo, mientra* estaba redóhócien'do la posición del enemigo en el Barce. Aunque la herida no és dé péligró &gt; sin embargó todo él exército sentirá la falta de tan bizarro, activo y distinguido oficial en esta situación importante. Idem 14. Se llan recibido también…</t>
  </si>
  <si>
    <t>Colon, D José</t>
  </si>
  <si>
    <t>D José Colon</t>
  </si>
  <si>
    <t>…lla, catedrático de cánones y canónigo de aquelia santa igle sia; del Excmo. Sr. D. Pedro Cevallos, del consejo de Estado y caballero gran cruz de la orden de Carlos m; del Excmo. Sr. D José Colon, ex rector y honorario del mismo consejo ; del limo. Sr. D. Francisco de Mier, ex-cafedrático y obispo de Almería , del consejo de S. M.; del limo. Sr. Don Bernardo de Riega , ex-catedrático y del suprimido consejo y cámara de Castilla; del Sr. D. Tomas Moyan…</t>
  </si>
  <si>
    <t>Colon, José Joaquin</t>
  </si>
  <si>
    <t>José Joaquin Colon</t>
  </si>
  <si>
    <t>…Rey nuestro Señor se ha servido nombrar presidente del supremo consejo real de Castilla al señor duque del Infantado, y ministros del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t>
  </si>
  <si>
    <t>Colon, José Joaquín</t>
  </si>
  <si>
    <t>José Joaquín Colon</t>
  </si>
  <si>
    <t>697</t>
  </si>
  <si>
    <t>…caballería. ESPAÑA. Madrid 22 de Junio. El 22 del mes próximo pasado tuvo el honor de besar la mano á S. M. ona diputación del ilustre consulado de Burgos, compuesta de los Sres. Don José Joaquín Colon, D. Narciso Gonzalo del Rio, el marques de Villacampo, D. Francisco Gutiérrez de la Huerta y D. Miguel de Corres; el primero de los quales habló á S. M. en los términos siguientes: „Señor: el consulado de Burgos&gt; primero y mas anriguo de Castilla la Vieja, y…</t>
  </si>
  <si>
    <t>828</t>
  </si>
  <si>
    <t>…Se hallará en la libierí; de P¿rez, calle de las Carretas. España vindicada en sus ciases y autoridades de Jas falsas opiniones que se la atribuyen, escrita én Cádiz en 18 11 por D. José Joaquín Colon, siendo decano gobernador del supremo Consejo de Castida. Segunda edición, dedicada al Rey nuestro Señor, y aumentada con las censuras de las juntas provincial de Cádiz y la suprema, y la contestación del autor á la primera: un tomo en 4.0 Se hallará en la li…</t>
  </si>
  <si>
    <t>Colon, Josef Joaquín</t>
  </si>
  <si>
    <t>Josef Joaquín Colon</t>
  </si>
  <si>
    <t>…. Antonio ViManueva y Pacheco conti núen sirviendo en él las plazas para que fueron nombrados por su augusto Padre; y se ha servido de nombrar para otras tres del mismo Tribunal á D. Josef Joaquín Colon, á D. Manuel de Lardizabal y Uribe y á D. Ber nardo de Riega ; y teniendo por conveniente S. M. reducir á dos las tres Secretarías que hubo en el referido Tribunal, denominando la una de Gra cia y Justicia y Estado de Cantiña, por la qual han de despacharse,…</t>
  </si>
  <si>
    <t>Comoforte, Mariano</t>
  </si>
  <si>
    <t>Mariano Comoforte</t>
  </si>
  <si>
    <t>…Puebla al del alférez D. Mi guel Calderón, 40 dragones de Ayacapistla y Janacate al del capitán D. Six to Manso y teniente D. Pedro Dávalos, igual número de Izucar y Chetla al del teniente D. Mariano Comoforte y D. Ignacio Adorno, y una guerri lla de dragones fieles del Potosí al cargo del cabo Reyes González, que to dos ascendían á 186 hombres. La fuerza del enemigo llegaba á 400, dividi dos en tres trozos, mandados por el coronel José Francisco Gutiérrez, el teniente coronel, subdiá…</t>
  </si>
  <si>
    <t>Company</t>
  </si>
  <si>
    <t>Gazeta de la Regencia de las Españas n.º 54 (extraordinaria)</t>
  </si>
  <si>
    <t>…cito francés) había ocupado á París después de haber experimentado una fuerte resistencia, que le ha costado mucha gente. Los cuerpos de los duques de Treviso y de Ragusa y el del general Company , que han concurridoá la defensa de la capital, se han reunido entre Éssonne y P«ris, donde S. M. ha tomado también posición con todo el exército que llega de Troyes. MADRID EN LA IMPRENTA NACIONAL.</t>
  </si>
  <si>
    <t>Condado, Manuel Joaquín</t>
  </si>
  <si>
    <t>Manuel Joaquín Condado</t>
  </si>
  <si>
    <t>…r fallecimiento de D. Luis Manrique, á D. Pedro José Bencomo: para el benefi cio simple servidero de la iglesia parroquial de Montoro, diócesis de Cór doba j vacante por muerte de D. Manuel Joaquín Condado, á D. Miguel José Escobedo: para la prestamera de Santaeíla, en la misma diócesis dé Cór doba, vacante por fallecimiento de D. S lvador Ximenez Coronado, á Don José María Arenas: para el beneficio simple de la parroquia de la villa de Santaeíla , en la propia…</t>
  </si>
  <si>
    <t>Conrreras, Antonio Alvarez de</t>
  </si>
  <si>
    <t>Antonio Alvarez de Conrreras</t>
  </si>
  <si>
    <t>…en Palacio á 19 de Octubre dé 1814. = YO EL REY. =sYo D. Juan Ignacio de Ayestarán, Secretario del Rey nuestro Señor , la hice escribir por su mandado. = El Duque del Infantado. = D. Antonio Alvarez de Conrreras. =3 D. Joief Antonio de Larrumbide. = D. Temas Moyano. 3= D. Domingo Fernandez de Campománes. = Registrada, Aquilino Escudero. = Teniente de Canciller mayor, Aquilino Escudero. En atención á los distinguidos méritos y servicios;que ha contraído por el espacio…</t>
  </si>
  <si>
    <t>Cons</t>
  </si>
  <si>
    <t>…nueve de la mañana se reunieron en el glasis, entre la puerta Nueva y la del Arrabal, nueve batallones de infantería, el regimiento de Schwartzemhergy el de los coraceros del gran duque Cons tantino, y formaron dos quadros concéntricos, en medio del quai se había colocado un altar dentro de una tienda de campaña, somontada de una es calinata cubierta de damasco carmesí. A las diez de la mañana se presenta ron á caballo en este sitio SS. MM. los e…</t>
  </si>
  <si>
    <t>Consalvi</t>
  </si>
  <si>
    <t>…una misma población , de mr,d-&gt; que sale á Iac dos uno , si se sabe que debe llegar otro á las quatro. Han pasado los señores Matthei, Antonelii, Paca, Somagfia, y últimamente el Sr. Consalvi. Valencia jo de Marzo, El'Exento. Sr. general en gefe del segundo exe'rci.to, con fecha de 5 del actual, me remite copia del parte que ha pasado áS. E. el señor comandan te general del bloqueo de Tortósa, en el que se ve el resultado de la acción que las trop…</t>
  </si>
  <si>
    <t>…do á tj de Agosto de iSiq.rrB. carde nal Pacca, camarlengo de la santa Iglesiay pro-secretario de Estado. ALEMANIA.. Stuttgardt 28 de Agosto. Antes de ayer: llegó aquí de Paris el cardenal Consalvi, y ayer continuo su viage á Viena , adonde va1 para asistir al congreso. Se asegura que el principado de Mergentheim, que adquirió nuestro So berano por el tratado de la paz de Viena de 1809, se separará de sus esta dos* y pasará á la dominación del Gran-Maes…</t>
  </si>
  <si>
    <t>Consejo, Presidente del</t>
  </si>
  <si>
    <t>Presidente del Consejo</t>
  </si>
  <si>
    <t>…re to para su cumplimiento, previniendo á los que no tengan despachos Rea les, que deben sacarlos. Dios guarde á V. E. machos años. Palacio 8 de Ju nio de i8i4. = Pedro Macanaz. = Señor Presidente del Consejo. =rPublicado en el mi Consejo de la Cámara en 10 del corriente el Real decreto y orden que van insertos, se acordó su cumplimiento, y para ello expedir esta mi Cédula. Por la qual mando á todos y á cada uno de ves en vuestros lugares y distritos y jurisdiccio…</t>
  </si>
  <si>
    <t>Constantino</t>
  </si>
  <si>
    <t>…del respeto y-profundo reconocimiento de Jos franceses. SS. MM. el emperador Alexandro y el rey de Prusia ,S. A. R. el conde de Artois, lugar-teniente de Francia, S. A. I. el gran duque Constantino y el príncipe real de Suecia ,'que habían salido á recibir á S. M. I. y R., lo han acompañado hasta el antiguo palacio de Charost, en donde se ha llaban ya1 fórroados los granaderos húngaros y la guardia nacional de París, y adonde algunas horas antes había l…</t>
  </si>
  <si>
    <t>…nte el Te Deum los príncipes y el exército manifestaron el mas profundo respeto.__ El celebrante presentó á besar la cruz á SS. MM., al príncipe Schwartzemberg, á S. A. I. el gran duque Constantino, á SS. A A. RR.. los príncipes de Prusia, y á todos los oficiales generales de los exércitos aliados. En seguida enarboló la cruz: á esta señal, príncipes y soldados, todos se arrodillaron;, rogando á Dios, y haciendo repetidas señales de cruz* conforme al ri…</t>
  </si>
  <si>
    <t>…dos por los generales y oficiales superiores, que mandan los quadros de mas de 40 regimientos del ducado de Varsovia, han tenido el honor de presen tarse, por medio de S. A. I. el príncipe Constantino, al emperador de Ru sia para prestar al pie del trono de S. M. el hoinenage de su respeto y de¡ su sumisión. S. M. 1. les dio una prueba de su estimación especial, ponien do á las órdenes de su ilustre hermano el príncipe Constantino el exército del gran duca…</t>
  </si>
  <si>
    <t>…se embarcarán en aquel puerto para pasar á .Inglaterra. Acaban de salir de esta capital algunos regimientos de caballería de la guardia rusa, y entre Otros los coraceros del gran duque Constantino. También se han puesto hoy en marcha muchos y numerosos destacamentos de infantería rusa y prusiana. Se asegura que el limo, obispo de Troyes ha recibido de S. S. el Papa Pió vil un breve, confiándole una comisión cerca de S. M. Cristianísima. Se cree que el…</t>
  </si>
  <si>
    <t>…ncipes de toda clase de gen tes fueron muchos, y con especialidad el emperador de Rusia. Se dice de unos dias á esta parte que el emperador Alexandro será rey de Polonia, y que el príncipe Constantino gobernará aquel país con el título de virey. No habiendo tenido por conveniente el emperador de Austria venir á Inglaterra, ha encargado al príncipe de Metternich y al conde Meerfeldt, su ministro en esta corte, manifestar su alta consideración y su estimació…</t>
  </si>
  <si>
    <t>Nú-i! 105.. qnartos.] 8)7 GACETA DE MADRID DEL SABADO 30 DE JULIO DE 1814. ' RUSIA. Riga 7 de Junio. Hoy ha llegado á esta ciudad el gran duque Constantino. S. A. I. se ha detenido algunos minutos, y después ha continuado su viage á Petersburgo. TURQUIA. Constantinomia 10 de Junio, 1 Vivimos en medio de las inquietudes y del sobresalto, como es fácil co nocer á vista de esta ligera pintura del estado de turbulen…</t>
  </si>
  <si>
    <t>…amaciones á vista de S. M. I. y de la emperatriz María, que había salido con S. A. I. la gran duquesa Ana á recibir á los defensores de la patria, á quienes venia mandando el gran duque Constantino, acompañado de sus hermanos los grandes duques Nicolás y Micael. Por la noche estuvo iluminada la capital. AUSTRIA. ' í Viena ap de Agosto, Para recompensar los grandes servicios que han hecho á la Europa , y á esta monarquía en particular, los príncipes de M…</t>
  </si>
  <si>
    <t>IC§2 15 al 20 de Setiembre , y que le acompañará el gran duque Constantino su hermano. El ministro principal de esta corte y gran canciller príncipe de Hardemberg ha salido para sus estados, donde no estará mucho tiempo, pues debe asistir al congreso de Viena en calidad de primer plenipotenciario prusiano: el segundo es Mr. Guillerm…</t>
  </si>
  <si>
    <t>…tropas imperiales que formaban el domingo último la escolta dé foi dos Soberanos consistían en ocho esquadrones de huíanos de Schwartzemberz seis esquadrones de coraceros del gran duque Constantino, seis esquadrenes de Sommativa, y seis del duqn* Alberto , dos regimientos de infan ta y diez batallones de granaderos. Todas estas tropas se han distinguido en la última campaña, y todas llevaban la condecoración concedida por S. M. á los valientes del exérc…</t>
  </si>
  <si>
    <t>…es gracia de que habiendo volcado su coche, se rompiese dos costillas; lo qual ha sido tanto mas sensible, quanto se habia señalado por su excesivo deseo del bien público. El gran duque Constantino, áquien se esperaba hace dias, llegó ya aqui el dia 9 por la mañana, y se alojó en el palacio imperial; igualmente han llegado en estos dias los Sres. Jacobi-Cioest, ministro de Estado de Pruna; el conde de Tutzow, chambelán y ministro de Austria en Dinamarca…</t>
  </si>
  <si>
    <t>21 $1 chiduque Carlos, el gran duque Constantino y el principe Réal de Prusia. Son tantas las reclamaciones y pretensiones de ios Soberanos de Alema nia , y tal la multitud de notas y memorias que con este motivo se presen tan diariamente á todos los plenipotenciarios de las potencias reunidas aquí, que no…</t>
  </si>
  <si>
    <t>…l de un regimiento de húsares de Hungría; el rey de Baviera el del regimiento in fantería de Hiller; el rey de Prusia el mando del de húsares de Stipchitz, y asi de otros. El gran duque Constantino hizo ayer maniobrar ai regimiento de coraceros , cuyo mando ha tomado,.que es el que se llamaba antes de Hohenzollern. A pesar del sumo secreto que se gaarda en orden á los negocios que se tratan en las sesiones que celebran diariamente los plenipotenciarios…</t>
  </si>
  <si>
    <t>…tos Soberanos. Nuestro Emperador ha tomado el mando como coronel ruso del primer regimiento de la guardia rusa, que S. M. el emperador Alexandro ha pues to á sus órdenes. .El gran duque Constantino regaló dias pasados un ducado á cada uno de los soldados ael regimiento austríaco cuyo.mando ha tomado; bebió con ellos» y les dispensó las muestras ma^ positivas de aprecio. S. M. el empera dor de Rusia na manifestado igualmente á los soldados del regimiento…</t>
  </si>
  <si>
    <t>…criben de Varsovia que según las órdenes del feíd-mariscal conde Bar clay de Tolly se han establecido almacenes considerables en los departamen tos de Cracovia, Radom y Lublin. El príncipe Constantino hace maniobrar diariartiehté las tropas rusas y polacas. Estas tropas, que peleaban el ano último unas contra otras, parece que en el día están animadas del mismo espíritu. El conde de Schulembcurg, ministro plenipotenciario del rey de Saxo nia, ha presentado…</t>
  </si>
  <si>
    <t>Constitución, Gareli la</t>
  </si>
  <si>
    <t>Gareli la Constitución</t>
  </si>
  <si>
    <t>…en nada cede á los mejores de los buenos tiempos de Roma y de Grecia, concluyendo por entregar en nombreide S. M. las Cortes ordinarias y de S. A. la Regencia del Rey no al señor profesor Gareli la Constitución; en tonces tomó este la palabra, y leyó otro discurso relativo al objeto de esta inauguración, que hará un eterno honor al señor Gareli por la previsión, la verdad y la sencillez con que desentrañó;los elementos de la legislación constitucional, y los glorios…</t>
  </si>
  <si>
    <t>Cónsul, Manuel de Torres</t>
  </si>
  <si>
    <t>Manuel de Torres Cónsul</t>
  </si>
  <si>
    <t>…al Rey nuestro Señor por su restitución al trono el dia io de Julio últi mo, por medio de una comisión compuesta de su decano el Lie. D. José Sánchez Cueto, y de sus individuos el Sr. D. Manuel de Torres Cónsul, fiscal mas antiguo del consejo y cámara de Castilla, y el Lie. D. Juan Lngigo, por indisposición dei Lict D. Vicente Pedrosa, relator del mismo con sejo; el primero de los quales arengó á S, M. diciendo: „ Señor: el colegio de Abogados de la capital del prin…</t>
  </si>
  <si>
    <t>Contreras, Antonio Alvarez de</t>
  </si>
  <si>
    <t>Antonio Alvarez de Contreras</t>
  </si>
  <si>
    <t>…nuel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t>
  </si>
  <si>
    <t>…......... Salamanca, Avila y ZamoraSr. EL Domingo--Fernandez* Campomanes............................................ . León y Oviedo. Sr. D. Andrés Lasauca....... Mondoñedo y Tuyv Sr. D. Antonio Alvarez de Contreras. MallorcaMenorca é Ibiza*.</t>
  </si>
  <si>
    <t>…acio de Ayestarán, Secretario del Rey nuestro Señor, lo hice escribir por su man dado. 2 El Duque del Infantado. 2 D. Josef Antonio de Larrumbide. 2 D. Gonzalo Josef de Viiches. = D. Antonio Alvarez de Contreras. 2 El Conde del Pinar 2 Registrada, Fernando de Iturmendi. =: Teniente de Can ciller mayor, Fernando de Iturmendi. Según los partes recibidos en el ministerio de Marina del alférez de fraga ta graduado de la Real armada D. Juan Gavasso, comandante accidental…</t>
  </si>
  <si>
    <t>…osto de 1814. = YO EL REY. = Yo D. Juan Ignacio de Ayestarán , Secretario del Rey nues tro Señor , lo hice escribir por su mandado. =:Ei Duque del Infantado.= EfConde del Pin^t. = D. Antonio Alvarez de Contreras.= D. Tomas Moyaño. == D José Antonio de Lárrumbide. = Registrada, Fernando de Iturmendi.= Teniente de Canciller mayor, Fernando de Iturmendi. El Rey se ha servido nombrar para el obispado de Ceuta, vacante por fallecimiento del limo. Sr. D. Fr. Domingo Benaoc…</t>
  </si>
  <si>
    <t>…D. Juan Ignacio de Ayestarán, Secretario del Rey nuestro Señor, lo hice escribir por su man dado. =El Duque del Infantado. = D. Sebastian de Torres. = D. Luis Melendez y Bruna. = D. Antonio Alvarez de Contreras. = D. Josef Antonio de Larrumbide.= Registrada, Fernando de Iturmendi. = Teniente de Canciller mayor, Fernando de Iturmendi. El Rey se ha servido nombrar para el priorato, dignidad de la iglesia ca tedral de Valladolid, vacante por fallecimiento de D. Martin…</t>
  </si>
  <si>
    <t>Cóntreras, Francisco Xavier de</t>
  </si>
  <si>
    <t>Francisco Xavier de Cóntreras</t>
  </si>
  <si>
    <t>…ga, vacante por fallecimiento de D. Francisco de Paula Man— silla , á D. José de Miera y Pacheco : para una canongía de la iglesia primada dé Toledo, vacante por tallecí miento de D. Francisco Xavier de Cóntreras, á D. Cayetano de Campos, canciller deja inigne orden del Toyson de Oro y cura del Real palacio: para una ración de la iglesia cate dral de Málaga, vacante por muerte de D. José de Cisneros, á D. Juan Pedro Herrera: para otra ración de Ja misma iglesia, vacan…</t>
  </si>
  <si>
    <t>Cook</t>
  </si>
  <si>
    <t>…re (por haberse retirado este con los enemigos) me hablo en los términos que V. E. verá por los adjuntos papeles, asi como los de m» respuesta. — Por la tarde llegaron de Paris el coronel Cook. al servicio de S. M. Británica,}' el coronel St. Simón, al servicio francés, encargados el primero por el ministro de S. M. Británica cerca del rey de Prusia, y el segundo por el go bierno provisional de París, de informarnos á mí y al mariscal Soult del est…</t>
  </si>
  <si>
    <t>…drigóos;Excmo. Sr. mi nistro de la Guerra.. ¿ ‘ ? i ; &lt; J^oct^rmnios que te citan en el\ primer parte^ , ' Tolosa 12 de Abril de 1IH4. Sút. mariscal: Envío, como parlamentarios aí coronel Cook , oficial ingles, y al coronel St. Simón, oficial francés, que me batí sido enviados desde Paris , dos quale* instruirán á V. E. de algunas noticias que dan esperanzas- dé ver prontamente restablecida la paz entré la Francia y las naciones aliadas. Eí.os mani…</t>
  </si>
  <si>
    <t>…onor &amp;c. Gástelnaudaury 14; de Abril de 1814. = Mariscal duque de Dalmacia. ;Quartél general de Tolosa 14 dé Abril de 1814. ' Al Sr. mariscal duque" dé Dalmacia. Sr. mariscal i-el coronel Cook me ha entregado esta noche la carta de V. E. de ayer. Me parece que el coronel St. Simón había sido enviado á E. por ef Gobierno provisional de Francia para instruirla de los suce sos ocurridos en París, asi como lo fué el coronel Cook por el ministro de S. M…</t>
  </si>
  <si>
    <t>Cooke</t>
  </si>
  <si>
    <t>…manidad de sus opresores.” 2*a Haya de diciembre. „ Tengo la satisfacción de participar á V. que están desembarcando en este momento las guardias inglesas á las orde nes del mayor general Cooke. Su llegada ha sido muy oportuna, y ha cau sado un general contento, tanto mas quanto se temía que no se le? pudiese proporcionar un desembarcadero seguro, y que sobreviniese el mal tiempo antes de su llegada-----La rendición de Goree y Helvoet, cuya noticia…</t>
  </si>
  <si>
    <t>…la derecha, atacó á la eptrada del puerto, vadeable en marea, baxa, y el momento del ataque fue en consecuencia 4 l?s 10 y media de 1.a noche del 8 del corriente. : . : - EL mayor general Cooke iba con la columna de la izquierda, y el mayor £0 Primera columna, brigada de .las Guardias 1$ honibres, coronel ;lord Prcb'y. Segunda columna, regimiento 55.0 de infantería, a55del regimiento 69.°, 550; dél regimiento 33Í0,-6oo: totaf iioo hombres al cargó d…</t>
  </si>
  <si>
    <t>…seguido por el regimien to 33.0 Este primer cuerpo, hallándose en seguida expuesto al fuego cruza do de la plaza y del reducto de la puerta del Puerto, rindió las armas. £1 mayor general Cooke, desesperanzado entonces del éxito, mandó retirar las Guardia», que lo executaron con el mejor orden, protegidas por los restos del regimiento &lt;69.° y por el ala derecha del 5 5.0, cuyo cuerpo re chazó al enemigo varias veces á la bayoneta , baxo los órdenes…</t>
  </si>
  <si>
    <t>…resto del destacamento, tuvo que rendirle. El servicio de conducir las columnas fue bien executado por el teniente coronel de ingenieros Carmichael Smith , quien acompañó al mayor general Cooke, asi como el teniente coronel Wood, comandante de artillería, ha biendo agregado á las columnas á varios oficiales de.su cuerpo, á saber ; al capitán sir George y al teniente Abbey á la izquierdaal teniente Sparling á la de la derecha , y al capitán Eduardo M…</t>
  </si>
  <si>
    <t>…ke, mayor genera!. 2.0 . Tengo la honra de comunicar á V. E. que el general Bizanet, gobertiador de Berg-Op-Zooin, ha permitido al teniente coronel Jones venir £qui.cori canas del general Cooke, que me han determinado á enviar mi ayudante de campo el mayor Stsnhope ayer mañana á Berg-op-Zooin coñ plenos poderes para hacer-un tratado relativo á uu can ge de prisioneros, ée.qué remito á V* E. copia $ ea virtud del quai todos ios prisioneros, ex-</t>
  </si>
  <si>
    <t>Copons</t>
  </si>
  <si>
    <t>…na fidelidad tan cons tante como generosa. Gerona 24 de M..r20 de 1814.= Firmado = YO EL REY. =A la Regencia de España.’* Igualmente ha recibido la Regencia el siguiente parte del general Copons. ,, Excmo. Sr.: El día 19 del corriente recibí un pliego del Excmo. Señor duque de San Carlos, por el que tuve la satisfacción de saber que nuestro amado Monarca el Sr. D. Fernando vil debería llegar el 20 á Perpiñan para continuar su viage á esta plaza, pasa…</t>
  </si>
  <si>
    <t>4*4 S. M. se dignó en este día convidar á comer al Excmo. Sr. general Copons, y dispuso que se convidase con el mismo objeto al general barón de Eróles (que no pudo comer con S. M. el día anterior por bailarse aumente), al brigadier Mariano, subinspector de caballería, y á los coroneles Fleyres, Llauder y Ainat, gefes de las dos briga…</t>
  </si>
  <si>
    <t>Copóns</t>
  </si>
  <si>
    <t>…tud del qual se dice á continuación que el duque de Dalaiacia ha comisionado á su gefe de estado mayor para tratar con el lord Welíington, y al general Lamarque para tratar con el general Copóns. Estas grandes noticias han excitado en tddo el pueblo una general ale gría y las mas alhagüeñas satisfacciones. Taragoza j de Mayo. Ayer se solemnizo el aniversario de las victimas del Dos de Mayo en el santo templo de la Seo cdn asistencia !de las autoíidad…</t>
  </si>
  <si>
    <t>Cór, Francisco de</t>
  </si>
  <si>
    <t>Francisco de Cór</t>
  </si>
  <si>
    <t>…e de S. Fernando de Quiroga, para sí, sus hijos y sucesores en la casa de Melgarejo, y sin re levación de lanzas y medias anatas. En atención á las circunstancias que concurren en D. Francisco de Cór doba, barón de Espés, conde de Castelflorido, capitán de Guardias de Corps, ha venido S. M. en declararle la grandeza dé España de primera clase personal,, con el título de duque de Alagon, libre de lanzas y media anata durante' su vida. El Jueves día r.° de…</t>
  </si>
  <si>
    <t>Cór, Francisco de Paula Fernandez de</t>
  </si>
  <si>
    <t>Francisco de Paula Fernandez de Cór</t>
  </si>
  <si>
    <t>…para cumplimentar á V. M., y felicitarle eon tan plau sible motive.*’ El dia 2 del corriente falleció en esta cortea los 3 6 años, ocho meses y cin co dias de su edad, el Exorno. Sr. D. Francisco de Paula Fernandez de Cór doba y Alagon &amp;c., conde de Sástago y de Glimes de Brabante; marques de Aguilar , Peñalba y Espinardo &amp;c; ; Grande de España de primera ciase; Rico-Home de Natura en Aragón ; Gentilhombre de cámara de S. M. con exercicio; consiliario de las'Reales academias d…</t>
  </si>
  <si>
    <t>Cor, Manuel</t>
  </si>
  <si>
    <t>Manuel Cor</t>
  </si>
  <si>
    <t>…da por D. Federico Mor van, capitán de ingenieros del exército francés ,y caballero de la legión de Honor, en nombre del gefe de batallón y comandante del castillo de Denia Bin ,y D. Manuel Cor tés , sargento mayor del regimiento primero de America, en virtud de poder dado por el señor comandante de las tropas españolas del sitio de Denia el teniente coronel del cuerpo nacional de artillería D, Diego de Entrena. art. i.° La guarnición saldrá prision…</t>
  </si>
  <si>
    <t>Cor, Manuel de Roxas</t>
  </si>
  <si>
    <t>Manuel de Roxas Cor</t>
  </si>
  <si>
    <t>…verán colmados todos sus deseos, y satisfecha toda su ambición. El dia 14 del mismo el ayuntamiento de la villa de Jorquera,en la pro vincia de Cuenca, por medio de su comisionado D. Manuel de Roxas Cor tés, riscal togado de los tribunales de Cruzada y Excusado, tuvo la honra de cumplimentar á S. M. y Sres. Infantes,y besarles su Real mano, dirigien do á S. M. el discurso siguiente: „Señor: el ayuntamiento de la villa de Jorqnera, en la provincia de Cuenca,…</t>
  </si>
  <si>
    <t>Corbacho, Gabriel Sánchez</t>
  </si>
  <si>
    <t>Gabriel Sánchez Corbacho</t>
  </si>
  <si>
    <t>…e infantería disciplinada ,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infantería urbana, subtenencias á Don Lúeas Caballero y D. Pedro Guerrero.</t>
  </si>
  <si>
    <t>Córdoba, Agustín Fernandez de</t>
  </si>
  <si>
    <t>Agustín Fernandez de Córdoba</t>
  </si>
  <si>
    <t>…rretagle, coronel del regimien to de la Concordia; D. Francisco Valdivieso y D. Dionisio Inca Yupanqui, diputados por Lima; D. Gregorio Guinea, deán de la Sta. iglesia deTruxiiio; D. Agustín Fernandez de Córdoba, D. José Miguel del Castillo, dipu tados por Truxillo; D. Antonio Navarrere, diputado por Puira; D. Juan Antonio Andueza, diputado por Chachapoyas; D. Tadeo Gárate, goberna dor, electo intendente de la provincia de Puno, diputado por la misma; D. Martin Muxic…</t>
  </si>
  <si>
    <t>Córdoba, Felipe de</t>
  </si>
  <si>
    <t>Felipe de Córdoba</t>
  </si>
  <si>
    <t>…Pantalecn de Beramendi; Conde de Lereua; D. Víctor Rascón .Cor nejo, Contador general de Valores; D. Luis Gacel, Contador general de la D ¡stribucion; D. Josef Martínez de Bustos; D. Felipe de Córdoba; D. Ma nuel Pérez de Lema; D. Ignacio Rodríguez de Ribas; D. Víctor. Soret, Tesorero general; D. Pascual Dávila; Contador general de Millones; Don Francisco López de Aícaraz, y D. Jacobo de Parga y Puga. Fiscales. D. Manuel de Lartiga, y D. Bernardo Mozo Rosa…</t>
  </si>
  <si>
    <t>Córdoba, Fernando de</t>
  </si>
  <si>
    <t>Fernando de Córdoba</t>
  </si>
  <si>
    <t>…e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costumbre. Reus ij de Enero, Hace algunos dias que recibimos una carta de la frontera, en que nos anunciaba…</t>
  </si>
  <si>
    <t>Córdoba, José de Zayas Fernandez de</t>
  </si>
  <si>
    <t>José de Zayas Fernandez de Córdoba</t>
  </si>
  <si>
    <t>…lan; para el de Talavera de la Rey na á D. Agustín de Quadros: par í la de Burgos á Boa Melchor Gómez de Celaya: para la de Yecla á D Isidro Antonio Alcalá;y para la de Fregenal á D. José de Zayas Fernandez de Córdoba. También se ha servido nombrar. S. M. para quatro plazas de oidor de ía chancillería de Granada á B. Andrés Subiza, D. Mateo Bautista del Cerro, D. Fe mando Carvia y D. Francisco del Castillo. Y para siete plazas de al caldes del crimen de la misma chanciller…</t>
  </si>
  <si>
    <t>Córdoba, Manuel de</t>
  </si>
  <si>
    <t>Manuel de Córdoba</t>
  </si>
  <si>
    <t>…. Jaywie Doz, que lo es del de esta corte, satisfaga la de mil duros: que D. Juan Doz, su hijo, lo haga de la de seiscientos.ducados: que D. Láza ro de Rada, D. Francisco Estanga, D. Manuel de Córdoba, D. Juan Bau tista Maygñen , Doña Luisa Robinet y Dominica Grifón, pague cada uno la multa de doscientos ducados, haciéndoles entender lo desagradable que me ha sido su conducta , y que no den lugar á que se sospeche mas de ella; pre viniéndose ¿ D- Salvador…</t>
  </si>
  <si>
    <t>Cornejo, Antonio Cárcamo y</t>
  </si>
  <si>
    <t>Antonio Cárcamo y Cornejo</t>
  </si>
  <si>
    <t>…despojarle la per fidia del tirano de la Europa. El 18 del mismo fue igualmente admitida á cumplimentar á S. M. una diputación de la ciudad de Burgos , compuesta de sus regidores D. Antonio Cárcamo y Cornejo y D. Ramón de Villanueva, y de su procurador ma yor síndico del común D. Santiago de la Cantera, de ios quales el primero dixo:„Señor: la ciudad de Burgos, tan antigua y noble como siempre leal á sus Reyes, recibe hoy la mas dulce satisfacción en felicitar á V. M. por su libertad del…</t>
  </si>
  <si>
    <t>Cornel, Francisco Xavier</t>
  </si>
  <si>
    <t>Francisco Xavier Cornel</t>
  </si>
  <si>
    <t>…de‘ Cariñena al brigadier D. Josef Antonio Sanz, coronel comandante del extinguido de Velez-Múlaga; el dei de infantería ligerifde voluntarios cazadores* de Castilla al bri gadier D. Francisco Xavier Cornel, coronel agregado al 2° de Mallorca; •el dei de Rla-serícia ál coronel D‘. Rárnon Acedo Rico* teniente coronel con mando en comisioii del mismo; el del Inhestó á D. Guillermo Ch'c'hery, te : e! del de Voluntarios de Méridániente coronel a2regadoc- al de_ !á P…</t>
  </si>
  <si>
    <t>Coronel, Pedro García</t>
  </si>
  <si>
    <t>Pedro García Coronel</t>
  </si>
  <si>
    <t>…la Constitución política de la monarquía, han nombrado para individuos de la diputación permanente de Cortes- á los Sres. D. Andrés Oller, dipu tado por la provincia de Cataluña; D. Pedro García Coronel, que lo es su plente por el Perú; D. Miguel Antonio Blanes, diputado por la provincia de la Mancha; D. Salvador Samartin, suplente por Nueva-España; Don Martinrano Francisco Pastór, diputado por la provincia de Valencia; Don Tadeo Gárate, suplente por el Perú…</t>
  </si>
  <si>
    <t>…iputados de ia provincia de Truxillo del Peni el Dr. D. Blas Ostolaza , capeliiii de honor de S. M., su confesor honorario, y en exercicio del Sermo. Sr. Infante O. Carlos; el Dr. D. Pedro García Coronel, párroco del pue blo de Ayabaca, y D. José Gavino Ortega, párroco del pueblo de Paiian^ el primero de los cuales pronunció el discurso siguiente: ,,Señor: los diputados de la provincia de Truxillo del Perd tienen él* honor ce hacer presente á V. M-» por medio…</t>
  </si>
  <si>
    <t>Corral, Ignacio del</t>
  </si>
  <si>
    <t>Ignacio del Corral</t>
  </si>
  <si>
    <t>…ratando algunos de ellos pasar el foso; pero el oportuno auxilio que dió el comándame del batallón ligero D. Pedro Antoneli á dicho punto, y las medidas que tomó el sargento mayor D. Ignacio del Corral, fueron suficientes para resistir aquel ímpetu y rechazarlos, á cuyo tiempo llegué, y notando se aumenta ban en quantíoso número los enemigos, y que se aproximaban decididos á entrar por la expresada garita, mandé venir á toda la caballería é infantería que s…</t>
  </si>
  <si>
    <t>5&lt;¿p buyo su sargento mayor D. Ignacio del Corral, que cogió el primer cañón con 15 infantes. A este tiempo habian ya llegado los señores Llano é Iturbide por el mismo punto en que se encontraba el enemigo, y con el refuer zo de 200 caballos y 100 infantes que traxeron los expresados señores fue ron ya enter…</t>
  </si>
  <si>
    <t>Correa, Miguel</t>
  </si>
  <si>
    <t>Miguel Correa</t>
  </si>
  <si>
    <t>…dé á los cazadores del capitán D. Reyes Vargas se apoderasen de ellas, sosteni dos por los de S Liáis; pero la superioridad del enemigo me obligó á man dar también la división del coronel D. Miguel Correa y parte de la del te niente ccro?el D. Fr&lt; ncisco María de Oberto, quedando yo con el resto de esta y la cab.dlería para atender á los que estaban en el pueblo. A las tres de la tarde ya estaban batidos los enemigos de las alturas, y en posesión de ellas Corr…</t>
  </si>
  <si>
    <t>Correa, Pedro Ignacio</t>
  </si>
  <si>
    <t>Pedro Ignacio Correa</t>
  </si>
  <si>
    <t>…Mariscal de Campo D..Félix Colon. Por lá Infantería..^ Al Teniente general ;D.. Antonio: de A rcb. x ' ; \ Al de igual clase D.^Gabriel ¿Je «Mendiziabal. . * CAI Mariscal de Campo D. Pedro Ignacio Correa. . ¡; í/ . .-y ^ r 77. ^ fAl Teniente general D. Francisco de Horcasitas. Por la Caballería..^ de i?ual cfase D Ju;m de H,nestrosa&gt; Por Ingenieros....... Al Mariscal de^Campo D. Manuel Zappino. Par Artillería,....... Al Tejiente general D. José Cienfuegos. Po…</t>
  </si>
  <si>
    <t>Corres, Miguel de</t>
  </si>
  <si>
    <t>Miguel de Corres</t>
  </si>
  <si>
    <t>…utación del ilustre consulado de Burgos, compuesta de los Sres. Don José Joaquín Colon, D. Narciso Gonzalo del Rio, el marques de Villacampo, D. Francisco Gutiérrez de la Huerta y D. Miguel de Corres; el primero de los quales habló á S. M. en los términos siguientes: „Señor: el consulado de Burgos&gt; primero y mas anriguo de Castilla la Vieja, y erigido por los Sres. Reyes Católicos, tiene la honra de felicitar á V. M. por su deseado regreso á estos rey nos…</t>
  </si>
  <si>
    <t>Cortabarría, Antonio Ignacio de</t>
  </si>
  <si>
    <t>Antonio Ignacio de Cortabarría</t>
  </si>
  <si>
    <t>…llanueva , D. Bernardo de Riega, Conde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t>
  </si>
  <si>
    <t>…cio de Ayestarán, Secretario del Rey nuestro Señor, lo hice escribir por su mandado. = El Duque del In fantado. =D.• S-bistian de Torres. = D. IgnacioCv Martínez___de Villela.__ = Don Antonio Ignacio de Cortabarría. = D. Luis Melendez y Bruna. = Registra da , Fernando de Iturmendi. =sTeniente de Canciller mayor, Femando de Iturmendi. Habiendo tenido el Rey á bien determinar que se restablezcan en la Peninsu'a los regimientos Provinciales, y por consiguiente la Inspecció…</t>
  </si>
  <si>
    <t>…en Madrid y su provincia sobre el reintegro de los bienes confiscados por el go bierno intruso; y ha nombrado por individuos de ella á los Sres. D. Anto nio Aivarez de Contreras y D. Antonio Ignacio de Cortabarría, del coa¿se jo Real; D. Franchco Ibaáez de Ley va, dei de Indias; D. Francisco Xa vier Adeü, del de Ordenes, y D. Jayme Aivarez de Mer.dieta, del de Ha cienda; y para fiscal al Sr. D. M muel Vicente de Torres Cónsul , que ío es mas antiguo de dicho consejo Re…</t>
  </si>
  <si>
    <t>Cortabarría, Juan Antonio de</t>
  </si>
  <si>
    <t>Juan Antonio de Cortabarría</t>
  </si>
  <si>
    <t>…de Enero de 1810 á D. José Luis de la Presilla. La persona en quien hubieren venido á parar, se servirá de dirigirlos á Lérida al señor deán de aquella santa iglesia, ó á Madrid á D. Juan Antonio de Cortabarría. Introducción metódica á la teórica y práctica de la medicina, obra escrita en ingles por el Dr. David Macbride, traducida al latín por Juan Federico Closio, y de este al español: segunda edición. El aprecio con que ha sido recibida la edición primera de esta…</t>
  </si>
  <si>
    <t>Cortabarría, Miguel de</t>
  </si>
  <si>
    <t>Miguel de Cortabarría</t>
  </si>
  <si>
    <t>…leo de comandante á D. Juan Cristóbal de la Cruz, comandante del esquadron de dragones de Amotape. En las compañías sueltas de Truxillo empleo de capitán al teniente de granaderos D. Miguel de Cortabarría; y subtenencias de bandera á D. José Miguel de Cárdenas y D. José Gabriel del Risco. En el regimiento de Lambayeque compañía al teniente D¿ Antonio Agustiot. v. En el de Urubamba el empleo de teniente coronel al sargento mayor del propio cuerpo D. Miguel Espi…</t>
  </si>
  <si>
    <t>Cortavarría, Antonio Ignacio</t>
  </si>
  <si>
    <t>Antonio Ignacio Cortavarría</t>
  </si>
  <si>
    <t>…1813. Está rubricado por los señores que se denotan al margen. = Lie. Fernandez. 3.a Sentencia pronunciada por el mismo supremo tribunal en sala primera. SEÑORES DE SALA PRIMERA# D. Antonio Ignacio Cortavarría. D. Ciríaco González Carvajal. D. Vicente Fita. D. Miguel Alfonso Vilhgomez. ; D. Toribio Ugarte, adjuntó se confirma con costas la sentencia pronunciada por la sala segunda de este síupremo tribunal, en quanto revocó como injusta la del tribunal espe cial cr…</t>
  </si>
  <si>
    <t>Cortazar</t>
  </si>
  <si>
    <t>…9.0 regimiento fué muerto, y tres soldados heridos. Los enemi gos tuvieron ocho muertos y ió heridos, entre estos dos oficiales. El coronel D. Sebastian Fernandez hace mención del capitán Cortazar, infatigable en las baterías; merece su atención el teniente Arregui por su bizarría en la to ma del reducto, y advierte el acierto y conducta de los tres cabos de ar tillería. El coronel D. Sebastian Fernandez ha dado en esta ocasión nuevas pruebas de su act…</t>
  </si>
  <si>
    <t>Cortázar, José Ignacio</t>
  </si>
  <si>
    <t>José Ignacio Cortázar</t>
  </si>
  <si>
    <t>…yo, a D. Francisco Toribio Her nández. En América El Rey sé ha servido nombrar para el obispado de Cuenca en el Perú, vacante por fallecimiento del limo. Sr. D. Andrés Quintian, á D. José Ignacio Cortázar, cura propio de la iglesia matriz de Guayaquil. El Rey nuestro Señor sé ha dignado admitir al teniente del regimiento de infantería de la Corona D. Francisco Xavier Cevallos la cesión que, pe netrado de las urgencias del estado, ha hecho de todas sus pagas de…</t>
  </si>
  <si>
    <t>Cortés, Antonio</t>
  </si>
  <si>
    <t>Antonio Cortés</t>
  </si>
  <si>
    <t>…s puntos, retroceda hácia el rumbo de Santa Ca talina Ghoutla, adonde he remitido la partida de 43 patriotas de que ha blo á V. E. en oficio separado, y ahora sale á reunírsele el capitán Don Antonio Cortés con ocho hombres de su cuerpo y dos caxones de mu niciones, ordenándole se entregue del mando de esa tropa, que por ha berse retirado el capitán D. Mariano Campo par2 su destino quedó á cargo del de igual clase D. José Mariano Santander. De quanto ocurra daré…</t>
  </si>
  <si>
    <t>Cortés, José</t>
  </si>
  <si>
    <t>José Cortés</t>
  </si>
  <si>
    <t>…guel de Urguia y D. Lorenzo Fernandez Somera; de fusileros á D. Ignacio Mora les de los Ríos, teniente de infantería de Burgos, á D. Manuel Vela Almazan, teniente dei 2.° de Jaén; D. José Cortés, teniente del depósito de</t>
  </si>
  <si>
    <t>Cortés, Josef María</t>
  </si>
  <si>
    <t>Josef María Cortés</t>
  </si>
  <si>
    <t>…D. Josef Ro dríguez , tantas veces recomendado; al comandante del mismo cuerpo Don Josef.Décreft, que-dirigió, la columna derefuerzoyaí teniente del regimiento infantería de Palma D. Josef María Cortés, encargado interinamente del estado mayor de la brigada, por el tino y serenidad con que comunicó sus órdenes, cruzando continuamente ios fuegos enemigos; y al capitán Don Sebastian Capdevila y teniente D Víctor Fabrat, que hallándose casual mente en aquel pu…</t>
  </si>
  <si>
    <t>Cortés, Manuel de Roxas</t>
  </si>
  <si>
    <t>Manuel de Roxas Cortés</t>
  </si>
  <si>
    <t>…e 8 de Febrero de 18035 y confiero al mismo tiempo la referida plaza de fiscal togado de Cruzada y Excusado al oficial mayor de la secretaría de Estado y del despacho de Ha cienda D. Manuel de Roxas Cortés, de mi.consejo, y mi secretario con exercicio de decretos, en atención á sus méritos y circunstancias, conser vándole ei sueldo de su actual empleo de oficial mayor, Tendreislo entendi do, y dispondréis su cumplimiento. En Palacio á 31 de Mayo de 1814,= A D.…</t>
  </si>
  <si>
    <t>Corvera, Joaquín Ibañez de</t>
  </si>
  <si>
    <t>Joaquín Ibañez de Corvera</t>
  </si>
  <si>
    <t>…asunto de que el siguiente es un extracto) ha teni do S. M. noticia circunstanciada del combate que ha sostenido el bergan tín correo Descubridor, mandado por el teniente de navio D. Joaquín Ibañez de Corvera, con 86 hombres de dotación, el día 11 de Junio de este ano á la vista del Cayo Guinchos, contra una goleta perteneciente á los in surgentes de Cartagena de Indias, mandada por el francés Mame, y con 200 hombres de tripulación. Al amanecer del, referido día 1…</t>
  </si>
  <si>
    <t>Cos, Manuel de</t>
  </si>
  <si>
    <t>Manuel de Cos</t>
  </si>
  <si>
    <t>…or muerte de D. Diego Landivar, á D. Juan Bautista de A vendarlo y Elaregui; para una canongía de la iglesia catedral de Cádiz, vacant-e por falleci miento de D. Antonio Ladero, á D. Manuel de Cos, medio racionero de la propi i iglesia; para otra canongía de la iglesia colegial de Tala-era, dió cesis de Toledo, vacante por muerte de D. José de Cas ro, á D Sebastian Nicanor Sánchez; para una media ración de la iglesia catedral de Córdoba, vacante por fa…</t>
  </si>
  <si>
    <t>…iembre. El 17 de Julio último tt^vferop el honor de .presentarse áS. M. y AA. los comisionados del cabildo eclesiástico de Cádiz D. Pedro Juan Cejrv.era , ar¿ cediano de Medina, y D. Manuel de Cos, prebendado de aquella iglesia, después de haber llegado á esta cqtteéLdia 5, del mismo mes, habiendo sido la noche antes asaltados de dos ladrones, robados y estropeados, el primero con una herida grave debaxo dé'Ja sien izquierda é inmediata al ojo, y el se…</t>
  </si>
  <si>
    <t>…te por muerte de D. Diego Landivar, á D. Juan Bautista de Avendaño y Eloregui: para una canongh de la iglesia catedral de Cádiz, vacante por fallecimiento de D. Antonio Lade ro, á D. Manuel de Cos, medio racionero de la propia iglesia: para otra canongía de la iglesia colegial de Taiavera de la Reyna, dicce is de Toledo, vacante por muerte de D. José de Castro, á D, Sebastian Nicanor Sánchez: para una media ración de la iglesia catedral de Córdoba, vac…</t>
  </si>
  <si>
    <t>Cosme</t>
  </si>
  <si>
    <t>…o se hiciesen varias justificaciones en Sevilla y Cádiz. Que en 21 del corriente recurrió otra vez el mismo, pidiendo se anunciase por medio de la gaceta de Madrid la ausencia drí D. Cosme su hermano, para que el que tuviere noticias de él se sirviese comunicar’as á D. Juan Miguel Adarraga en dicha ciudad; en Cádiz á D. Juan Manuel de Azubialie, y en Sevilla á Doña Miriaña Vallada res y Gardoqui; prometiendo ademas un premio de 1500 rs. ai que…</t>
  </si>
  <si>
    <t>Costa, Ramón</t>
  </si>
  <si>
    <t>Ramón Costa</t>
  </si>
  <si>
    <t>…s gracias é imploró la protección del Altísimo, habiendo asistido en el último de ellos el ayuntamiento y to das las autoridades, gremios y corporaciones, y predicado el racionero D. Ramón Costa. A exemplo de la capital del obispado los demas pueblos de él, animados de su patriotismo y de las circulares que al efecto recibie ron del limo, prelado , cuyo amor ai Soberano y á la patria son bien cono cidos , se esmeraron á porfía en hacer lo mismo, habi…</t>
  </si>
  <si>
    <t>Coton</t>
  </si>
  <si>
    <t>…u por mas abaxo de su unión con el de Oleron, y marchó inmediatamente por el camino real de Peyrorhade hácia Ortés sobre la derecha del enemigo. A medida que es te se acercaba, el general Coton con la caballería y el general Picton con la tercera división pasaron aquel rio por debaxo del puente de Berens; y haciendo marchar al mismo punto las divisio nes sexta y ligera, di órden ál general HilL para que con sus tro pas ocupase las alturas que hay en…</t>
  </si>
  <si>
    <t>Cotton</t>
  </si>
  <si>
    <t>…quierda, y toda la altura quedó en nuestro poder. Nosotros no conseguimos esta ventaja sin experimen tar una gran pérdida,' particularmente la bizarra se^tá división. El teniente’ coronel Cotton , del ;6í .V'oficial dé'gran mérito y de grandes esperanzas, fué muerto desgraciadamente en'fel ataque de las alturas^ El mayor- general Pack fué también herido ; pero-pudo continuar en el campo, y el cpronel Doii-í glass , del regimiento-portugués num. 8;°,…</t>
  </si>
  <si>
    <t>Coupigni, Cárlos de</t>
  </si>
  <si>
    <t>Cárlos de Coupigni</t>
  </si>
  <si>
    <t>…Antonio María de Mendoza, y Don Mariano de Peñafiel. A 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 Laserna , D. Felipe de…</t>
  </si>
  <si>
    <t>Covarrnbiás, Melquíades Antonio Ortiz</t>
  </si>
  <si>
    <t>Melquíades Antonio Ortiz Covarrnbiás</t>
  </si>
  <si>
    <t>…umplimentar ¿ $. M. el Dr. D. Eusebio Perez Faxardo Calderón, canónigo magistral de la catedral de Sto. Domingo de la Calzada, y presidente que fué de la jun ta primera de Burgos, D. Melquíades Antonio Ortiz Covarrnbiás y D. Mau ricio Domingo de Pedro, vocales de la misma, y cucas párrocos en aquel arzobispado; el primero de ios quales dirigió á S. M. la palabra en los si&lt;* guientes términos: „ Señor: el presidente y vocales de la junta primitiva de Burgos, que por una serie continua…</t>
  </si>
  <si>
    <t>Covarubias, Melquíades Ortiz</t>
  </si>
  <si>
    <t>Melquíades Ortiz Covarubias</t>
  </si>
  <si>
    <t>…Dr. D. Eusebio Faxardo Calderón, canónigo magistral de la ca tedral de Sto. Domingo de la Calzada, y presidente que fue de la junta su perior de Burgos, y los vocales de la misma D. Melquíades Ortiz Covarubias y D. Mauricio Domingo de Pedro, curas beneficiados en el arzobispa do de Burgos; el primero de los quales dirigió la palabra á S. M. ea estos términos; ,,Señor: vuestra villa de Salas de los Infantes y su partido en la provin cia de Burgos felicitan á V. M. por su advenimiento al…</t>
  </si>
  <si>
    <t>Crespo, Francisco</t>
  </si>
  <si>
    <t>Francisco Crespo</t>
  </si>
  <si>
    <t>…es de V. M. = Fr. Anselmo Pelaez.” En el mismo dia fue admitida !á cumplimentar á S. M. una diputación de la ciudad de Avila, compuesta de D. Lui‘s Rosao, alcalde de primer vo to, D. Francisco Crespo, D. Eusebío Iglesias, regidores, y D. Felipe Bar ra, procurador síndico, pronunciando el primero la arenga siguiente: Señor: vuestra M. N. y M. ciudad de; Avila tuvo la gloria el terri ble año de 1808 de adelantarse entre las primeras de Castilla .la vieja pa…</t>
  </si>
  <si>
    <t>Cris</t>
  </si>
  <si>
    <t>…publicarse por subscripción. Idem y de Agosto. Los comisionados de las potencias aliadas han vuelto de las fronteras de Noruega sin haber podido concluir negociación alguna con el príncipe Cris tiano. El general Vegésaqk t-comandante de la vanguardia del exércitó del señor conde de Essen* ha entrado.por Bohuslan, en Noruega &gt; y con un fuer te cañoneo ha desalojado al eneniigo.de Barby. Un noruego, llamado Wiild, hacendado de Barby y propietario de m…</t>
  </si>
  <si>
    <t>Cristia</t>
  </si>
  <si>
    <t>…ianza al Rey de Dinamarca para pedirle que cum pla las condiciones del tratado de Kiel sin pérdida de tiempo; y en seguida las mismas personas han de pasar á Noruega á declarar al príncipe Cristia no que los aliados están determinados á satisfacer á la Suecia lo estipu lado. Magdeburgo se entregó á la Prusia, y se dice que Hamburgo ha sido evacuada por Davoust. Idem &lt;T. El 2 del corriente se celebró en el Haya la primera sesión de los esta dos generale…</t>
  </si>
  <si>
    <t>Cristianó</t>
  </si>
  <si>
    <t>…ar del'ro dé Junio. Ün general austríaco há‘ tomado posesión del réyúó de ltalia eír nombre de las potencias aliadas. -_:Los aüstriacos y los ingleses entraron en Vene cia. _—. El príncipe Cristianó persiste', en una carta escrita al Rey de Dina marca, en su resolución de defendét la Noruega. . ESPAÑA. *■*. ■ . ■': . • '■■■■■ . ’ -: • ; Cddiz 22 de Mayo* ' ■ Hoy se ha Celebrado úna magnífica función religiosa en la santa iglesia catedral para dar gracias…</t>
  </si>
  <si>
    <t>Cristiano</t>
  </si>
  <si>
    <t>…sido llamado á París, y quedó el general Gerard con el mando de las tropas francesas d^ Hamburgo. _ Han arrestado en Copenhague á varias personas por tener* correspondenciá con el príncipe Cristiano en la Noruega, el qual persiste en su designio. El rey de Francia ha nombrado por decreto de 15 del corriente para diversos mandos á los príncipes de la sangre, á saber: al conde de Artois, hermano del rey, para coronel general de suizos; al príncipe de Condé…</t>
  </si>
  <si>
    <t>…y el Equádor;y cinco meses eñ las demas par tes del globo, sin distinción. En la gaceta de Bremen del 10 de este mes se ha insertado una conver sación muy extensa tenida entre el príncipe Cristiano y los ofi Jales suecos que habian sido enviados para que les entregase la Noruega El príncipe manifestó la firme resolución de'persistir en sus proyectos; pero no hay du da que en Noruega existe un partido á favor de los suecos, en el que están comprendidas l…</t>
  </si>
  <si>
    <t>…brar comisarios para la entrega de las fortalezas, caudales públicos, domi nios &amp;c. á los plenipotenciarios nombrados por el rev de Suecia. A este efecto persuadimos á S. A. R. el príncipe Cristiano, gobernador de Norue ga, que hiciese exccutar en nuestro nombre lo que habíamos prometido. Le remitimos instrucciones positivas; y en 19 de Enero le dimos todos los po deres para las personas que hubiese de nombrar para llevará efecto este tratado. Absolvimos…</t>
  </si>
  <si>
    <t>…e línea estaban á punto de dar la vela para hacer exeeutar, por medio de un bloqueo riguroso, las ór denes de su gabinete, lo que ha desanimado mucho á las gentes. Sin embar£0, el príncipe Cristiano esta cada dia mas resuelto á defender el reyno. .os habitantes amigos de la paz se lisonjean generalmente de que los comi sarios de los Soberanos aliados compondrán amistosamente las disensiones. ITALIA. Mode na 1B de Mayo. Estos días han transitado por esta…</t>
  </si>
  <si>
    <t>…En estos dias volverán aquí todos los regimientos de Zelandia. Sin em bargo, el regimiento de la Corona y parte del del Rey permanecerán allí pa ra escoltar el cadáver del difunto rey Cristiano vn, cuyo primer gentilhom bre de cámara irá á recibir el cadáver á Rendsburgo en un bergantín de guerra, para conducirle á Raeskilde, sitio donde se sepultan ios reyes de Di namarca. Las exequias se celebrarán con las ceremonias acostumbradas en los primeros…</t>
  </si>
  <si>
    <t>…de Vaena, se cree no obstante que en él se tratarán ciertos asuntos de ínteres para este reyno: tales son los relativos á Noruega. En las negociaciones que van á entablarse con el príncipe Cristiano se tra tará también del hijo que ha tenido en !a princesa de Mecklenburgo, de quien está separado, como igualmente se tratará del hijo del anterior rey de Suecia Gustavo Adolfo v. A este príncipe joven se le dará, según se dice, un es tablecimiento particular…</t>
  </si>
  <si>
    <t>…fembitrgo ij de Agosto, Puede considerarse como terminada la guerra entre la Suecia y la No ruega. Habiendo sido derrotados en el Glommen los noruegos han tenido que capitular. El príncipe Cristiano abandona la Noruega, y los; estados del pais van á concluir un tratado de unión con ja Suecia. Esta importante y próspera noticia se confirma por una carta del ministro de Negocios extrangeros, dirigida al gobernador de Gotemburgo, fecha en Uddewalla el 16 de…</t>
  </si>
  <si>
    <t>i°66 Eí príncipe Cristiano llegará en bréve aqui de Noruega* * • SUIZA.m Basiíea 28 de Agosto. Las noticias que recibimos de algunos cantones son ya mas satisfactorias. Parece que los diputados de Soleure y Zurich han adoptado, á nombre de los consejos de sus cantones, la nueva acta fe…</t>
  </si>
  <si>
    <t>…cibido noticias importantes de Noruega después de los do* convenios hechos en Moss, acerca de los quales se dice que contienen varios artículos secretos relativos á ia persona del príncipe Cristiano. Es bastante notable que los referidos convenios esten firmados de parte de la Noruega por el consejero Aal, partidario declarado de la unión de.los dos reynos. En Stockoimo se han hecho festejos públicos por el feliz resultado de los asuntos de Noruega. PRUS…</t>
  </si>
  <si>
    <t>…es suecos, sino á los de todas las na ciones. Podrán introducirse en Noruega mercaderías de toda especie, á ex cepción de algunos artículos. Quinientos cazadores de la guardia del príncipe Cristiano han tomado plaza en el exército sueco; y se dice que varios regimientos noruegos estari dispuestos á seguir el mismo partido. AUSTRIA. Vierta i.° de Setiembre. SS. MM. II. han regresado á Schoembrunn de su viage á la Austria su-* perior , acompañados del arch…</t>
  </si>
  <si>
    <t>1099</t>
  </si>
  <si>
    <t>…á los de las demas naciones, y que pueden introducirse en Noruega toda especie de gé neros y mercancías, á excepción de muy pocos artículos. Quinientos cazadores de la guardia del príncipe Cristiano han tomado partido en el exército sueco, cuyo exemplo se cree que seguirán varios re gimientos. En la Noruega reyna mucho descontento, y se advierten movi mientos que amenazan la quietud pública, lo que confirma haber llegado ai quartel general sueco varios n…</t>
  </si>
  <si>
    <t>…cluyó en aquel sitio su carrera. En Bergen el pueblo acosado del hambre se apoderó de los almacenes de los comerciantes de granos, y fixó el precio á que debían venderse estos. £1 príncipe Cristiano se halla indispuesto, y ha confiado la administra ción del reyno á un consejo de Estado. HOLANDA. Haya 8 de Setiembre. El Príncipe soberano por una resolución del 28 del mes próximo pasa do ha nombrado los diputados que deben formar en las distintas provincia…</t>
  </si>
  <si>
    <t>…k, Dresde y Praga. Escriben de Copenhague que mañana debe salir la reyna de Fredericsberg para trasladarse al palacio de invierno ; que esperaban de día en día que llegase allí el príncipe Cristiano, y que el coronel. Brocker estaba en cargado de entablar de nuevo las relaciones comerciales entre la Noruega y Dinamarca. De contado ía navegación está ya entablada sin restricción ninguna. FRANCIA. Benevent // de Setiembre. Un vecino de esta ciudad al arran…</t>
  </si>
  <si>
    <t>Cristóbal</t>
  </si>
  <si>
    <t>…r nombrar para secretario de Estado y del Despacho de la Guerra á D. Francisco Eguíat capitán general de Castilla la nueva: para secre tario de Estado y del Despacho de Hacienda á D. Cristóbal ae Góngora , presidente del tribunal mayor de Cuentas; y para secretario detes tado y del Despacho de Marina á D. Luis de Salazar, secretario de Estado y del Despacho de Hacienda. Circular del ministerio de Gracia y Justicia. ,,Informado S. M. de que la escan…</t>
  </si>
  <si>
    <t>…general en su exercieio. Tendreislo entendido, y lo comunicareis á quien corresponda ; pa^a su cumplimiento. ssRubrlcado de la Reai jnano. =s En Palacio á 2 de Julio de 1814. = A D. Cristóbal dé Gónigorá.’ El horrible atentado que alguno ó algunos malvados desearon executar (tomando sacníiegamerite para ello el respetable nombre del Rey) en ía per sona del general D. Francisco Xavier Eiio , capitán general del rey no dé Valencia, fingiendo úna rea…</t>
  </si>
  <si>
    <t>…os por ria villa de Brihuega, del partido de Alcalá, en la*provincia de Toledo, tuvieron5el honor de cumplimentar á $. M. ; con cuyo motivo el prinierode ellos dixo : * í ,,Señor: D. Cristóbal dlbxo y Carabaño , D. Felipe Pareja y D. Juan Sántana, comisionados por vuestra villa de Brihuega, dentro de cuyos n)uros y en sus campos inmediatos á Villaviciosa vió con admiración y com placencia afirmar en las sienes del primero de los Borbones y su augus…</t>
  </si>
  <si>
    <t>Cristóbal, Juan</t>
  </si>
  <si>
    <t>Juan Cristóbal</t>
  </si>
  <si>
    <t>…btenientes D. Manuel Estéban Lason , D. Juan Escobar, D. Vicente Vaidés, D. Nicolás Zúñiga, D. Cárlos Ascona y D. Ramón del Pino. En el batallón de Piura el empleo de comandante á D. Juan Cristóbal de la Cruz, comandante del esquadron de dragones de Amotape. En las compañías sueltas de Truxillo empleo de capitán al teniente de granaderos D. Miguel de Cortabarría; y subtenencias de bandera á D. José Miguel de Cárdenas y D. José Gabriel del Risco. En el r…</t>
  </si>
  <si>
    <t>Crokembourg, Henrique</t>
  </si>
  <si>
    <t>Henrique Crokembourg</t>
  </si>
  <si>
    <t>…capitulación de Jaca. Adjun to remito ei estado de las pérdidas que ha experimentado el exércitó estos días j y este oficio lo presentará á V. E. mi ayudante de campo el teniente coronel D. Henrique Crokembourg, á quien rue go á V. E. se sirva recomendar de mi parte al gobierno. Dios guar de á V. E. muchos años. Quartei general de St. Severe á i.° de Marzo d.e i8i4.t=Excmo. Sr ziWelüngtony duque de CiudadRodrigo. s Excmo. Sr. ministro de la Guerra/* NUMERO 2.* „Excm…</t>
  </si>
  <si>
    <t>Croker, J. Wilson</t>
  </si>
  <si>
    <t>J. Wilson Croker</t>
  </si>
  <si>
    <t>…rio , el cuerpo diplomático &amp;c. Por la noche hubo ilnminacion general. GRAN BRETAÑA, Londres % de "Diciembre. SECRETARIA DEL ALMIRANTAZGO. Oficio del contra-almirante Freemante al caballero J. Wilson Croker, 4 bordo del Milford, delante de Trieste d 31 de Octubre. Tengo la honra de comunicaros para noticia de los lores comisario s del</t>
  </si>
  <si>
    <t>Crown</t>
  </si>
  <si>
    <t>…ittart, debe transportar al lord Gambier y su comitiva á Holanda. La esqúadra rusa, anclada en Bíackstates, dará la vela para Rusia en dos divisiones: la primera,al mando del vice-almirante Crown, saldrá dentro de pocos dias; y la segunda, á las órdenes del almirante Tate,partirá dentro de un mes. FRANCIA." Parts 2 de Jimio. Continuachn del tratado de paz. viii. S. M. Británica , estipulando por sí y sus aliados, se obliga á res tituir á S. M. Cristia…</t>
  </si>
  <si>
    <t>Cruc-haga, Domingo</t>
  </si>
  <si>
    <t>Domingo Cruc-haga</t>
  </si>
  <si>
    <t>…e han extraviado las siguientes letras: una de 7514 *s. v»., nú na. 4 69, libra da en 27 de Noviembre de 1813 Por diputado asistente comisario general Don Diego Laidley á favor de D. Domingo Cruc-haga por importe de carne: otra de 1480 rs.núm. 509, librada en 2 1 de Diciembre de 1813 por el mismo á favor del mencionado sugeto por importe de maiz y heno: otra de 36400, núm. 510, librada en 11 de Diciembre d© 1813 por el mismo á favor de D. J. Haran por im p…</t>
  </si>
  <si>
    <t>Cruquembourg, Henrique</t>
  </si>
  <si>
    <t>Henrique Cruquembourg</t>
  </si>
  <si>
    <t>…por decreto de 25 de Marzo próximo pasado. En 27 del corriente se ha servido la Regencia del Reyno promover al empleo de teniente coronel de caballería al. comandante de esquadron D. Henrique Cruquembourg; y ha conferido también compañía en el regi miento de caballería de cazadores de Madrid al alférez de fragata D. Juan Van- Halen, en premio del importa tísimo servicio y mérito extraordinario que hía contraído en la reconquista de las plazasplazas de Lérida y…</t>
  </si>
  <si>
    <t>Cruz, Juan</t>
  </si>
  <si>
    <t>Juan Cruz</t>
  </si>
  <si>
    <t>…do concurso. Se empeñaron en este partido los jugadores D. Ramón de Zuloaga , Don Julián Francisco delbarra, D. Francisco de Zavala y D. José Joaquín Hermoso. Sostuviéronla contra D. Juan Cruz delrigoyen, D. Manuel delturralde, p. Miguel Barcaiztegui, D. Juan Francisco de Elizalde. Hicieron de jueces para la decisión el teniente general D. Pedro Agustin Girón, el con de de Torre-Alta y D. Bernardino Evaña. S. M. manifestó dorante el par. tido un se…</t>
  </si>
  <si>
    <t>Cslís, P. Isidoro de</t>
  </si>
  <si>
    <t>P. Isidoro de Cslís</t>
  </si>
  <si>
    <t>…a de González. Sáecularis ac regularis cleri vindicado, ac pro felict catholici regís ñostri Ferdinandi vir reditu generalis Hispaniae congratulado. Poema plegiacum. Auctore limo. D. P. Isidoro de Cslís, elec. episcop. Segovieti. A esté poema tan justa mente celebrado le añadió ahora su autor una segunda parte cbh’ más de 100 ver sos en loor dal Monarca y de sus justos decretos; y basta decir que en todos ellos se ve la misma elegancia, riqueza y armonía que…</t>
  </si>
  <si>
    <t>Cubero, Juan Manuel</t>
  </si>
  <si>
    <t>Juan Manuel Cubero</t>
  </si>
  <si>
    <t>…do cumplimentó á S. M. por su feliz resti tución al trono el ayuntamiento de la M. N. y L. ciudad de Segovia por medio de sus comisionados D. Manuel de la Fuente, alcalde primero, Don Juan Manuel Cubero, regidor decano, D. Manuel Vázquez Araujo, Don Manuel Rodríguez Ribera, regidores, y D. Pedro Yagiie Delgado, pro curador general de la tierra, quienes tuvieron la honra de presentarse á S. M. y besar su real mano. Este dia tuvo igualmente el honor de cumplim…</t>
  </si>
  <si>
    <t>Cucalón, Mariano</t>
  </si>
  <si>
    <t>Mariano Cucalón</t>
  </si>
  <si>
    <t>…onel, y retiro con el u o de uni forme de retirado y goce de fuero militar, al capitán D. Juan Fernandez: en el regimiento infantería Real de Lima agregación en clase de capitán á D. Mariano Cucalón , capitán en el exército de Quito: en ei fixc de Carta gena de Indias nombrado .capitán á D Antonio Fominaya, y subtenientes á D. Jo é Villarino y D. Francisco Uribi: en el batallón veterano de M racaybo concedido grado de capitán, con la antigüedad que se ie…</t>
  </si>
  <si>
    <t>Cueliar, Ramón de Milla</t>
  </si>
  <si>
    <t>Ramón de Milla Cueliar</t>
  </si>
  <si>
    <t>…os reales consejos, tasados en 18750 rs., por término de 15 dias, conta dos desde el 9 del corriente mes de enero. Quien quisiere hacer postura acuda á la escribanía del número de D. Ramón de Milla Cueliar, donde se admitirán las que hicieren. MADRID EN LA IMPRENTA NACIONAL *</t>
  </si>
  <si>
    <t>Cuenca, Agustín Francisco de</t>
  </si>
  <si>
    <t>Agustín Francisco de Cuenca</t>
  </si>
  <si>
    <t>…l territorio de las órdenes militares___Admismo por Real decreto de 23 de Noviembre ultimó se ha servido S. M. nombrar para la de la villa de Tomelloso, en el propio territorio, á D. Agustín Francisco de Cuenca. El Rey se ha servido nombrar para la dignidad de arcediano de Aleara* y canongía vacantes en la iglesia primada de Toledo, por promoción de D Juan Escoiquiz al arcedlanato de Talavera, á D. Manuel Martínez del Campo y Guerra, con dimisión de la dignidad de a…</t>
  </si>
  <si>
    <t>Cuervo</t>
  </si>
  <si>
    <t>112 nos y patriotas á las ordenes del capitán Cuervo, á quien di las instruccio nes convenientes. Emprendieron su marcha el 26 del mismo con dirección á Ixhautlan, de donde retirados nuestros adietes por las gavillas expresadas, que aumenta das con negros de la costa los perseguían, se reunieron con Cuervo en e…</t>
  </si>
  <si>
    <t>…llá, habiendo llegado á dicho pueblo después de concluida la acción sostenida por Martinez desde las seis de la ma ñana hasta las qoatro de la tarde, y decidida la victoria por el capitán Cuervo. Las reuniones de bandidos en aquellas inmediaciones son de alguna con sideración , y por esta causa no solo determiné qué el teniente Barrera per maneciese en IxhuatLn, sino que le mandé un auxilio de 30 hombres entre *•* patriotas, milicianos y de colonia,…</t>
  </si>
  <si>
    <t>Cuervo, Juan Antonio</t>
  </si>
  <si>
    <t>Juan Antonio Cuervo</t>
  </si>
  <si>
    <t>…de la mucha fuerza de los enemigos, me suplicaron los auxiliase con alguna tropa para contenerlos, con expresión de que fuese comandándolos el capitán de patriotas de Chicontepec D. Juan Antonio Cuervo; y no obstante de que el pueblo de Ixhuatlan pertenece al mando del comandante de Tuxpan, determiné auxiliarlos con 25 vetera-</t>
  </si>
  <si>
    <t>…25 armas de fuego y muy poca munición , destaqué con 25 infantes de mi regimiento al teniente veterano D. Francisco de la Barrera. Este oficial llegó á Chicontepec á tiempo que el capitán D. Juan Antonio Cuervo salía para Tlachichilco, y por estar muy fatigada su tropa permaneció en aquel punto hasta que la necesidad en que se hallaba el capitán de Ixhuatlan D. José Ignacio Martínez le cbligó á dirigirse allá, habiendo llegado á dicho pueblo después de concluida la…</t>
  </si>
  <si>
    <t>…e un árbol. En Tlachichiíco lo sintió la avanzada; pero apresó dos cabecillas y un insurgente de Monterey. Regre só á Zacualtipan, entregó los reos y se retiró á Xocliicoatlan. El capitán D. Juan Antonio Cuervo al mismo tiempo salió para el pue blo de Tlachichiíco , y se reunió con el capitán Callejo, á quien entregó un insurgente que había cogido en su transito; y estando el dia 3 en el rancho de San Bernardo, recibió parte del cura de Ixhuatlan Br. D. Francisco Ig…</t>
  </si>
  <si>
    <t>Cuesta</t>
  </si>
  <si>
    <t>…Patricio Osaba, clérigo tonsurado, capellán tenor de la santa iglesia de Osma, que en el mes de O tubre-de 1808 salió de la villa del Burgo de Gima, incorporado á la división del general Cuesta, y que. habiéndo se unido al exército del general Castaños , filé destinado ai regimiento de Campomayor," en el que parece se halló incorporado en la batalla de Medeliin, sin que después se hava tenido noticia cierta de su paradero. La persona, pues, que tuvi…</t>
  </si>
  <si>
    <t>Cuet, Domingo</t>
  </si>
  <si>
    <t>Domingo Cuet</t>
  </si>
  <si>
    <t>857</t>
  </si>
  <si>
    <t>…u único alcalde ordinario en el tér mino de un mes, contado desde la publicación de este anuncio. Ortografía castellana en verso, arreglada á la de la real academia, compuesta por D. Domingo Cuet, profesor de primera educación, é ¡ndividuo‘del real cole gio académico de primeras letras ¡de esta corte, que tiene su escuela de número en la calle ancha de S. Bernardo, núm. 2.0 frente al Rosario: tercera edición. Esta obrita lia sido bien recibida del púb…</t>
  </si>
  <si>
    <t>Cueto, José Sánchez</t>
  </si>
  <si>
    <t>José Sánchez Cueto</t>
  </si>
  <si>
    <t>…ciudad de Oviedo tuvo la honra de felici tar al Rey nuestro Señor por su restitución al trono el dia io de Julio últi mo, por medio de una comisión compuesta de su decano el Lie. D. José Sánchez Cueto, y de sus individuos el Sr. D. Manuel de Torres Cónsul, fiscal mas antiguo del consejo y cámara de Castilla, y el Lie. D. Juan Lngigo, por indisposición dei Lict D. Vicente Pedrosa, relator del mismo con sejo; el primero de los quales arengó á S, M. diciendo:…</t>
  </si>
  <si>
    <t>Cumilleri, Francisco</t>
  </si>
  <si>
    <t>Francisco Cumilleri</t>
  </si>
  <si>
    <t>…ero. Se suplica á quien los tuviese ó supiere de ellos los detenga, y avise en la calle de Atocha, núm, 8, frente de Sto. Tomas, almacén de curtidos. Se desea saber el paradero de D. Francisco Cumilleri, teniente coronel, y ca pitán que fué del batallón de Voluntarios i.° de Cataluña, que vino del Norte con el Excmo. Sr. marques de la Romana, para comunicarle noticias que le son muy interesantes. El mismo interesado ó la persona que le represente podrá dirig…</t>
  </si>
  <si>
    <t>D, Andrés Truxillo y</t>
  </si>
  <si>
    <t>Andrés Truxillo y D</t>
  </si>
  <si>
    <t>…Don Pedro Cervileon , D. Francisco Castriilon y Taboada, D. José Antonio de la Vega, D. Manuel Vigil, y al teniente agregado D. Ignacio Cabero: empleos de alféreces á los cadetes D. Andrés Truxillo y D, José Pió San tiago; y de portaguiones á los de la propia clase D. José Torres , D. José Alexo de los Ríos, D. Juan Manuel Piñeyro y D. Juan Felipe Negron. En el de milicias urbanas de dragones de Carabayllo tenencia al alférei D. Manuel Palacios; y esta resu…</t>
  </si>
  <si>
    <t>D, Francisco Leocadio Zazo y</t>
  </si>
  <si>
    <t>Francisco Leocadio Zazo y D</t>
  </si>
  <si>
    <t>…no el cuerpo de los directores de las reales esc«e!as de primera educación de esra capital D. José Cándano , Don Francisco Zazo de Lares, D. Antonio del Olmo, D Sebastian Arrióla, Don Francisco Leocadio Zazo y D.. Antonio Navarrete; y el primero como de cano dixo: • , „Señor: el cuerpo de directores de las ocho escuelas reales de primera educación, nombrados por real decreto del augusto padre de V. M. de 25 de Diciembre de 1791 para la educación de los niños pobres de…</t>
  </si>
  <si>
    <t>D, Juan José San Llórente y</t>
  </si>
  <si>
    <t>Juan José San Llórente y D</t>
  </si>
  <si>
    <t>…stencia tne es muy útil por los conocimientos de su profesión y de este terreno. „ Durante todas estas ocurrencias los comandantes generales de la iz quierda y derecha del bloqueo D. Juan José San Llórente y D.. Manuel Gamindez han sabido con las tropas de su mando tomar sus medidas para contribuir á los resultados,__ Nada me han dexado que desear todos los se ñores geLs y oficiales y tropa que tengo el honor de mandar en este blo queo; pero por la ocasión que ha ca…</t>
  </si>
  <si>
    <t>D, Juan Nepomuceno Vela y</t>
  </si>
  <si>
    <t>Juan Nepomuceno Vela y D</t>
  </si>
  <si>
    <t>2179</t>
  </si>
  <si>
    <t>…e León Santos y D. Manuel Tadeo Delgado, á D. Josef de Coisa y Saro y D. Josef Reguera, alcaldes del crimen de la misma chancillería j y para las resultas por promoción de estos á D. Juan Nepomuceno Vela y D, Esteban Moyano. El Rey se ha servido conceder el gobierno de Llerena al brigadier D. Manuel Iturrigaray, el de Villanueva de los Infantes ai coronel D. Mar cos Nuñez y Abreu, el de Ocaña al de igual clase D. Joaquín Manglanot y e! de Almagro al de la propia…</t>
  </si>
  <si>
    <t>D, Luis Daoiz y</t>
  </si>
  <si>
    <t>Luis Daoiz y D</t>
  </si>
  <si>
    <t>…alación en la capital de la Monarquía , han decretado: i.° Se exhumarán con todas las eeremonias.religipsas establecidas para el caso, ai es pos.ble, los restos de los beneméritos D. Luis Daoiz y D,. Pedro Velarde, y los de los valientes rsepultadós én el Prado dé está éórté y eñ lá Florida ; y se. encerrarán-en úna eaxa, cuya llave se custodiará en el archivo del Con-greso nacional. 2.0 El terreno donde actualmente yacen las víctimas del Dos 'de Mayo,^…</t>
  </si>
  <si>
    <t>D, Pedro Espada y</t>
  </si>
  <si>
    <t>Pedro Espada y D</t>
  </si>
  <si>
    <t>146</t>
  </si>
  <si>
    <t>…recibió un grande golpe (como se dexa ver por la elevación de la muralla); y despreciándolo, volvió á subir con la mayor bizarría ; el de! capitán D. Simón Perez, los subtenientes Don Pedro Espada y D. josef Vinegra; e! joven cadete D. Segundo Eríce; el sargento primero Josef Pavero , y los segundos. Eugenio Pipaon , Francisco jBraña. y Emeterio la Caridad, y los cabos primero y segundo Anselma. Na aclares y Juan Molina, todos de dicho regimiento; y del 7.0…</t>
  </si>
  <si>
    <t>D, Pedro Mendez de Vigo y</t>
  </si>
  <si>
    <t>Pedro Mendez de Vigo y D</t>
  </si>
  <si>
    <t>'sobresaliente; Los eomaiidantes de brigadas D. Pedro Mendez de Vigo y D; José'CarnlIo y Albornoz fueron también obligados por su heridas á fle car tinos puestos en que haciendo los mayores esfuerzos, eran de !a m;i•yór utilidad por su váÜor y 'conocimientos. Debo ios mayores elogios á los Mariscales de campo D. José-Gacela de Par…</t>
  </si>
  <si>
    <t>D, Santiago Corbalan y</t>
  </si>
  <si>
    <t>Santiago Corbalan y D</t>
  </si>
  <si>
    <t>…ón del mismo. La Regencia del Reyno se ha servido nombrar para cinco plazas de ma gistrados dé la audiencia’de Quito á D. Migu^Otermin, D. Manuel Galeano, D. Pedro López Seg'ovia, D. Santiago Corbalan y D&gt; Antonio María Izquierdo de la Torreé y para'fiscales de la misma á D. Juan Josef del Campo y D. Manuel Antonio de Noriega Domínguez. Relación de los buques de nuestro comercio que de 15 dias á esta parte se sabe haber1 apresado los corsarios insurgentes de C…</t>
  </si>
  <si>
    <t>D, Tomas O Donejú y</t>
  </si>
  <si>
    <t>Tomas O Donejú y D</t>
  </si>
  <si>
    <t>…Capitanes Generales D. Francisco Xavier Castaños y D José Palaifox; los Tenientes Generales Marques de Castelar y D. Ramo &gt; Vilialha; los Mariscalesade Campo D’. Carlos O Donell, D. Tomas O Donejú y D.Lu isW imptén, y para Secretario al Brigadier Capitán de Reales Guar dias Españolas Marques dé la-Roca.” H1 Rey nuestro Señor se ha servido^ conferir la. contaduría dé exército dé’ Aragón, vacante por jubilación? de D. Ventura de Elorduy, que la obte nía , á D…</t>
  </si>
  <si>
    <t>Daganzo, Vicente Antuñano</t>
  </si>
  <si>
    <t>Vicente Antuñano Daganzo</t>
  </si>
  <si>
    <t>…ollo, 20: Pedro Aguilar, 30: Alfonso Utrera, 8: Francisco Milano Reidero, 20: Melchor Milano, 40: Mariano Aranguren, 40: D. Juan Evaristo Echevar ría, 80: D, Vicente Antuñano, 80: D. Vicente Antuñano Daganzo, 40: Francisco Milano Milano, 60: Manuel Valles, 50: Eugenio Yepes, 11: Custodio Riaza, 10: Joaquín Espliguero* 10: Francisco Gordillo, 20: Miguel Orejón, 10; Manuel García .Granero , 20 : Antonio Castro,. 16: Francisco Djaz, 2&lt;p:, José Reyes, 10: José García…</t>
  </si>
  <si>
    <t>Dagas, Juan</t>
  </si>
  <si>
    <t>Juan Dagas</t>
  </si>
  <si>
    <t>…Popayan, y actual confesor de número de la Real familia de S. M.s á D. Ignacio Xipell para una canongía de la iglesia catedral de Barcelona, vacante por muerte de D. Luis Gomar: á D. Juan Dagas para otra dlaconil de la catedral de Gerona, vacante por muerte de D. Juan Vilomara : á Don Narciso Gobern para otra también diaconil de la misma catedral, vacante por muerte de D. Ignacio Sastre: á D. José Ferrer Aymeri para otra tam bién diaconil de la mism…</t>
  </si>
  <si>
    <t>Dalhousie</t>
  </si>
  <si>
    <t>…a&lt;ta encontrar-1 se con los límites del departamento de la Gíronda; la línea de demarcación convenida entre el general Decaen , comandante del exército de la Gironda, y el general lord Dalhousie, por el lado del departamento del Lot, será con servada; pero en el caso de que no existiese convenio entre ellos, enton ces seg? irá la línea por la orilla derecha del Garona, d^sde los límites del dep'Tramenío del Lot y Garona ha^ra la Reole, v desde alli p…</t>
  </si>
  <si>
    <t>…Los habitantes de Burdeos tienen sobrados motivos para elogiar la conducta ob servada por los ingleses durante su permanencia en esta ciudad, y especial mente están agradecidos al lord Dalhousie por el sumo cuidado que ha te nido en hacer observar la mas exacta disciplina. rtLos ingleses por su parte no olvidarán sin duda la buena acogida que han tenido en este pueblo. Es peramos que de aqui adelante se enlazarán con vínculos eternos estas dos nacion…</t>
  </si>
  <si>
    <t>Dallares, Agustín</t>
  </si>
  <si>
    <t>Agustín Dallares</t>
  </si>
  <si>
    <t>…guidos de la Concordia española del Perú, se ha servido el Rey promoverle á Brigadier de sus reales exercitos. D. Antonio Pablo ríe Uríaeía, del comercio de Guadalaxara, remitió á Don Agustín Dallares, do Barcelona, en 5 de Junio de 1808, dos vales realas de 150 pesos, creación de i.° de Enero, números 24^458 y 258345, sin mas endosos ene e! de Udneta á Dallares; y no habiendo llegado estos á Barcelona, se suplica al que los tenga se sirva entregarlos en M…</t>
  </si>
  <si>
    <t>Dallo</t>
  </si>
  <si>
    <t>…S. el número de heridos; pero me consta que los franceses -quedaron&gt;aterrorizados por la se renidad de la tercera compañía?, que en gran parte se debió i. la de sus ofi ciales el teniente Dallo y de los subtenientes D.Ciríaco Hernández y, D. Juan Huirte, este último herido. Dios guarde á Y. S, muchos años! Baros,30 de Setiembre d,e 1813.srAntonio.Oro. =Sr. D. Francisco Espoz y Mina.= Lo que tengo el gusto de participar á V. E. p'ara que se sirva ele…</t>
  </si>
  <si>
    <t>Dalrymple</t>
  </si>
  <si>
    <t>…geueral España, y el cuerpo del quarto exército, á las órdenes del general Freyre, que ha pasado esta mañana por aqui muy temprano, sin pararse hasta sus posiciones. El comisario general Dalrymple acaba de mandar al ca pitán de puerto de Socoa que prepare las cinco trincaduras para estar ma ñana á las seis de ella en el Bocal. Idem 2 4. El ataque de ayer fué horroroso, y muy glorioso para las guardias rea les, pues con el fuego de cohetes hicieron desa…</t>
  </si>
  <si>
    <t>Damas, Cáríos de</t>
  </si>
  <si>
    <t>Cáríos de Damas</t>
  </si>
  <si>
    <t>…e AL-yo. * s Las salvas de artillería anunciaron desde las seis de la mañana la solemni dad de este dia, en qce París debía tener la dicha de ver entrar á su legíti mo monarca. El conde Cáríos de Damas al frente de la guardia de caballe ría salió á recibir al Rey-hasta Saint-Ouen: los mariscales de Francia , los oficiales generales del exército, y todos los señores de la corte fueron tam bién á incorporarse con S. M. para formar la comitiva. El Rey salió de…</t>
  </si>
  <si>
    <t>Dameto, Antonio Despuig y</t>
  </si>
  <si>
    <t>Antonio Despuig y Dameto</t>
  </si>
  <si>
    <t>…Ordenes. El Rey se ha servido nombrar para el arcedianato de Talavera, dignidad de la iglesia primada de Toledo, vacante por fallecimiento del señor cardenal de la iglesia romana D. Antonio Despuig y Dameto , á D. Juan Escoiquiz, con dimisión de la dignidad y canongía que obtiene en la misma iglesia pri mada: para la abadía de S Vicente, dignidad de la propia iglesia, vacante por muerte de D. Pedro Nieto Herrero, á D. Diego Martin Rorro: para i«na canongía de la…</t>
  </si>
  <si>
    <t>Daotz, Tomas Moreno</t>
  </si>
  <si>
    <t>Tomas Moreno Daotz</t>
  </si>
  <si>
    <t>…ranjuez ¿ Madrid.......................... Total de leguas.................................... 64 En atención al mérito , servicios, antigüedad en la clase de mariscal de campo de D. Tomas Moreno Daotz , secretario interino de Estado y del des pacho de la Guerra, y al destino que desempeña, ha tenido á bien la Regen cia del Reyno promoverle á teniente general de los exércitos nacionales por decreto de 25 de Marzo próximo pasado. En 27 del corriente se ha se…</t>
  </si>
  <si>
    <t>Darcaurt, Antonio</t>
  </si>
  <si>
    <t>Antonio Darcaurt</t>
  </si>
  <si>
    <t>2o 06 pasimiro .de Lavadle, D. Juan Cisquero , D. Antonio Darcaurt, D, Fran cisco Fulgencio, D. Estéban Poriier, D- Antonio María de Mendoza, y Don Mariano de Peñafiel. A brigadieres á los coroneles D. Ramón de Figueroa, D. José de Morete, D. Repulido M.scdona!, D. José Martínez de San Martin, D. Cárlos de Coupigni, D. Franc…</t>
  </si>
  <si>
    <t>Darquea, Bernardo</t>
  </si>
  <si>
    <t>Bernardo Darquea</t>
  </si>
  <si>
    <t>…del Perú, que abaxo se expresan, los empleos siguientes. En el regimiento de milicias disciplinadas de infantería de Guayaquil compañía de granaderos al capitán del propio cuerpo D. Bernardo Darquea. En el de milicias urbanas de infantería de Abancay el empleo de sar gento mayor al capitán de granaderos D. José Santos; y compañías á los tenientes D. Mariano González, D. Gregorio Alagon, D. Mariano Cevallos y D. José Fernandez Peredo. En el de Chachapoyas…</t>
  </si>
  <si>
    <t>Darrac, Juan</t>
  </si>
  <si>
    <t>Juan Darrac</t>
  </si>
  <si>
    <t>…avier de triarte, D. José de Espinosa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</si>
  <si>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Dati, Felipe</t>
  </si>
  <si>
    <t>Felipe Dati</t>
  </si>
  <si>
    <t>…cor* respondiente orden para que se negasen absolutamente las gracias y dispen saciones qhe se pidiesen para España, no siendo solicitadas por el Agente Regio, ió en su nombre por D. Felipe Dati, Expedicionero nacional; y pa ra conseguir qüe esta reforma de abusos fuera permanente, tuvo á bien re solver, en Real orden de 17 de Marzo de 1806, que el Consejo no diera pase á ninguna Bula, Breve ó Rescripto Pontificio que no fuera presentado por el Agent…</t>
  </si>
  <si>
    <t>Dávalos, Pedro</t>
  </si>
  <si>
    <t>Pedro Dávalos</t>
  </si>
  <si>
    <t>…López y cadete Don Joaquin Miranda, la compañía de infantería de Puebla al del alférez D. Mi guel Calderón, 40 dragones de Ayacapistla y Janacate al del capitán D. Six to Manso y teniente D. Pedro Dávalos, igual número de Izucar y Chetla al del teniente D. Mariano Comoforte y D. Ignacio Adorno, y una guerri lla de dragones fieles del Potosí al cargo del cabo Reyes González, que to dos ascendían á 186 hombres. La fuerza del enemigo llegaba á 400, dividi dos en…</t>
  </si>
  <si>
    <t>Dávila, Fernando Antonio</t>
  </si>
  <si>
    <t>Fernando Antonio Dávila</t>
  </si>
  <si>
    <t>…licitar á S. M. y besar su Real mano por sí y á nombre del reyno de Goatemala los seño res D Mariano Robles Domínguez de Mazariegos, canónigo de la santa iglesia de Ciudad Real, y D. Fernando Antonio Dávila, diputados por la provincia de Chtapa, D. Florencio Castillo, presbítero, diputado por la pro vincia de Costa-Rica, D. José Antonio López de la Plata, diputado por la provincia de Nicaragua, y D. Francisco Morejon y D. Santiago Milla, di putados por la provin…</t>
  </si>
  <si>
    <t>Dávila, José</t>
  </si>
  <si>
    <t>José Dávila</t>
  </si>
  <si>
    <t>…ales de campo á los brigadieres D. Joaquín de la Pezuela, general en. gefe del exér-»cito del Alto Perú, D. Juan Ramírez y D. Francisco Picoaga, generales dé división del mismo, y D. José Dávila, subinspector general de las tropas de Nueva-España; y á brigadieres á los coroneles empleados en el expresado exército D. Miguel Tacón y D. Gerónimo Lombera. Asimismo se ha ser vido S. M. nombrar capitán general del reyno de Chile y presidente dé aquella aud…</t>
  </si>
  <si>
    <t>Dávila, Pascual</t>
  </si>
  <si>
    <t>Pascual Dávila</t>
  </si>
  <si>
    <t>…ntador general de la D ¡stribucion; D. Josef Martínez de Bustos; D. Felipe de Córdoba; D. Ma nuel Pérez de Lema; D. Ignacio Rodríguez de Ribas; D. Víctor. Soret, Tesorero general; D. Pascual Dávila; Contador general de Millones; Don Francisco López de Aícaraz, y D. Jacobo de Parga y Puga. Fiscales. D. Manuel de Lartiga, y D. Bernardo Mozo Rosales. Secretarios. D. Marcelo de Ondarza, de Gobierno; y D. Alfonso de Ibarra, de MiUoiies. Ministros del Tribuna…</t>
  </si>
  <si>
    <t>…parroquia de Sta. María; y D. Juan de Lera Cano, cura de S. Salvador: para las siete seculares al duque de Montemar; D. Manuel de la Peña; Don José Manzanilla; D. Cayetano Urbina; D. Pascual Dávila, conde de Ibargrande; D. Antonio Gamiz, y al marques de Perales: y finalmente, para secretario primero á D. Francisco de Villalba, consiliario, secretario se gundo.” De Real orden lo comunico á V. E. para su satisfacción , y que se sir va disponer lo convenie…</t>
  </si>
  <si>
    <t>Davoust</t>
  </si>
  <si>
    <t>…las'órdenes del mayor general1 Dubén, cuyo feliz acontecimiento se verifico del modo siguiente. El exército,francés, que estaba acampado de lante de este pueblo, á las órdenes del mariscal Davoust, desfiló por medio de la ciudad durante todo el dia 13. El mayor Back, al frente de la van guardia sueca, los seguia muy de cerca: luego qué estuvo esta reunida de lante de! pueblo, y tomó posesión de Schmeiiau, un destacamento de caza dores suecos y alguna c…</t>
  </si>
  <si>
    <t>DavouSt</t>
  </si>
  <si>
    <t>…o de Holsteim y parte del de Sleswig, á excepción de las plazas de Gluckstadty de Rendsburg, donde se refugió el exército dinamar qués, después de haber sido cortado el cuerpo del mariscal DavouSt, y ha ber sufrido dos derrotas por las tropas suecas y por el general Walmoden. La citada plaza de Rendsburg se halla completamente cercada, y asi el exér cito danés, refugiado en ella, no podía recibir socorro alguno. „ El mariscal Davoust se retiró á Hambur…</t>
  </si>
  <si>
    <t>Dbach, José</t>
  </si>
  <si>
    <t>José Dbach</t>
  </si>
  <si>
    <t>…osé Arroyo y Serrano y D. Francisco Ló pez Zavala. En León............................... D. Toma* Díaz Serrano. En Mn aga...... . D. Juan Pomar. En Murcia...................i.... D. José Dbach.</t>
  </si>
  <si>
    <t>De-Roí</t>
  </si>
  <si>
    <t>…sde el último oficio que dirigí á V. E. ha ha bido acciones importantes entre las tropas mandadas por el general Wrede y el príncipe de Wurtemberg contra las fuerzas francesas. El general De-Roí, que mandaba la vanguardia del cuerpo de Wrede, fué acometido el 10 en S. Diez por la del general Milhaud, que ocupaba hace poco á Colmar. De-Roi se vió precisado á retirarse á espaldas de San ta Margarita , donde reuniendo las fuerzas de su mando, acometió á…</t>
  </si>
  <si>
    <t>Debains</t>
  </si>
  <si>
    <t>…; . , Barcelona á los 2 de Marzo de 1814 ==-EI general de división gobernador.= Firmado^súBtron Haberte -3Por copia conforme. = El gefe del estado ■ ’ ; r mayor del gobierno j±íi/ coronel Debains. ' £1 cónsul de S. M. Británica residente en esta plaza acaba de recibir un oficio del de la misma nación en Mahon, su fecha 4 del corriente, que le dice lo que sigue: „Una fragata inglesa que acaba de llegar aquí trae Ja no ticia de ¡que el; puerto ¡de Liorn…</t>
  </si>
  <si>
    <t>Decaen</t>
  </si>
  <si>
    <t>…bres en nuestras fronteras en una línea de muchas leguas. Todas estas tro pas, asi como las plazas de Ambéres, Bergen-op-zoóm y los distritos ad yacentes estaban á las órdenes del general Decaen, que Bonaparte hizo venir de Barcelona á Ambéres. Ayer 11 á las siete de la mañana el general Bulow pasó él gran Zundert con. la división del centro, cuya fuerza consiste en 10© prusianos. Al mismo tiempo la ala derecha, compuesta de tropas inglesas, había ya…</t>
  </si>
  <si>
    <t>…arona; la línea de demarcación seguirá la orilla derecha del último ha&lt;ta encontrar-1 se con los límites del departamento de la Gíronda; la línea de demarcación convenida entre el general Decaen , comandante del exército de la Gironda, y el general lord Dalhousie, por el lado del departamento del Lot, será con servada; pero en el caso de que no existiese convenio entre ellos, enton ces seg? irá la línea por la orilla derecha del Garona, d^sde los lím…</t>
  </si>
  <si>
    <t>Decreft</t>
  </si>
  <si>
    <t>…la artillería enemiga por los bien dirigidos fuegos de la que situó el expresado señor brigadier. • La casa del Ardiaca recibió 23 balazos de cañón de las baterías. El inhmo señor brigadier Decreft manifiesta al señor general en gefe ha llarse completamente satisfecho de todas las tropas que tiene á su mando, de cuya conducta y valor se promete siempre iguales resultados; recomendan do en particular al bizarrísimo alférez de húsares de Cataluña D. Josef…</t>
  </si>
  <si>
    <t>Deges, Domingo</t>
  </si>
  <si>
    <t>Domingo Deges</t>
  </si>
  <si>
    <t>…a había salido del puer to de Lisboa con dirección al de Burdeos; que su cargamento consistía prin cipalmente en cueros; y que el expresado buque pertenecía á D. Jacinto Ribas y á D. Domingo Deges, catalanes, naturales aquel de S. Quintin de Mediona, y este de Villanueva, y entrambos del comercio del mismo prin cipado : todo lo qual se anuncia al publico para que llegue á noticia de los interesados en la expresada fragata y su cargamento. En la extracc…</t>
  </si>
  <si>
    <t>Delancey</t>
  </si>
  <si>
    <t>…ole, del regimiento 84..°, que fue desgracia damente muerto, de los de La misma clase Barnes., del Real, y Cameron, del 9.0, del capitán Ramsey, de la real artillería volante, del coronel Delancey, diputado quartelmaestre general, del teniente coronel Macdonald, asistente ayudante general del cuerpo que manda sir Juan Hope, y de los oficiales adictos á su persona. La primera división, del mando del mariscal de campo Howard, no entró en acción hasta el…</t>
  </si>
  <si>
    <t>Delantero, Mariano Perez</t>
  </si>
  <si>
    <t>Mariano Perez Delantero</t>
  </si>
  <si>
    <t>…o del abad Fleury, como de la urbanidad y cortesía, dán dolas una perfecta inteligencia.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t>
  </si>
  <si>
    <t>Delgadillo, Dionisio</t>
  </si>
  <si>
    <t>Dionisio Delgadillo</t>
  </si>
  <si>
    <t>…l cápitan/ de artillería D. Narciso Martínez» el de infantería D. Francisco Udacta » los tenientes D. Manuel Almonte» D. Felipe Velando y D. Silverio Mogrovejo^ y los subtenientes D. Dionisio Delgadillo y D. Miguel Sclís, 3 sargentos, 13 ca bos y 88 soldados; no pudiendo especificar los muertos y hetidos dé los cuerpos de cazadores, partidarios y dragones, por haber salido estos desdé el campo de batalla sobre Potosí. ? • ¡ „Diós guarde á V. E. muchos a Sor: Quartel general d…</t>
  </si>
  <si>
    <t>Delgado, Ambrosio</t>
  </si>
  <si>
    <t>Ambrosio Delgado</t>
  </si>
  <si>
    <t>920</t>
  </si>
  <si>
    <t>920 de la misma santa iglesia de Sevilla, vacante por muerte de D. Ambrosio Delgado, á D Feliciano Carbalío; para el préstamo del lugar dd Berraco y S. Juan de la Nava, en la diócesi de Avila, á D. José Lucas y Ramospara la presentera de las villas de Belalcazar é Hinojosa, en la diócesi de Córdoba, vacante por fallecimiento de D. Juan Bauti…</t>
  </si>
  <si>
    <t>Delgado, Francisco</t>
  </si>
  <si>
    <t>Francisco Delgado</t>
  </si>
  <si>
    <t>…Nuevas Poblaciones de Andalucía y de las de Sierra-Morena, compuesta del Dr. D. Juan Nieto Fernandez, capelian mayor por S. M., vicario y juez eclesiástico de las pri meras, y de D. Francisco Delgado, secretario del ayuntamiento de las se gundas, pronunciando el primero el discurso siguiente: „Señor: los ayuntamientos de las Nuevas Poblaciones de Andalucía y Sierra Morena ofrecen á L. R. P. de V. M. por medio de sus diputados los mas respetuosos homenages…</t>
  </si>
  <si>
    <t>Delgado, Juan Acisclo de Vera y</t>
  </si>
  <si>
    <t>Juan Acisclo de Vera y Delgado</t>
  </si>
  <si>
    <t>…IO. El Rey se ha servido nombrar para la iglesia y obispado de Cádiz, qoe se halla vacante por fallecimiento del limo. Sr. D. Francisco Xavier de Utre ra que la obtenia., al limo: Sr. D. Juan Acisclo de Vera y Delgado, arzo bispo de Laodicea, y coadministrador del arzobispado de Sevilla: para una canongía de la santa iglesia’primádl de Toledo,‘vacanté por muerte de Don Juan Antonio Cabrejas, á D. Juán Fernandez de Alfonso Gándara, cape llán de Sres. Reyes nuevos de aquella…</t>
  </si>
  <si>
    <t>2217</t>
  </si>
  <si>
    <t>…ARTICULO DE OFlCIOv El Rey se ha servido nombrar para la dignidad de arcediano trtuW db la iglesia metropolitana de Sevilla, vacante por promoción del M. R. arzo bispo de Laodicea D. Juan Acisclo de Vera y Delgado á la iglesia y obis pado' de Cádiz, á D. Juan Miguel Perez Tafalla, con dimisión de la dignidad de maestrescuela que obtiene en-la misma iglesia: para la canongía, vacante en la catedral de Teruel por muerte de D. José Iñigo , á Dc Joaquín Pedro Fama y Gómez:…</t>
  </si>
  <si>
    <t>Delgado, Lucas Tadeo</t>
  </si>
  <si>
    <t>Lucas Tadeo Delgado</t>
  </si>
  <si>
    <t>…r fallecimiento de D. José Martínez, ¿ D. Jasé Ferraz: para el beneficio simple de Sta. Colonia de Vez de Marban , en el obispado de Zamora, vacante por muerte de D. Jo é Pando, á D. Lucas Tadeo Delgado: para el beneficio préstamo de Castillejo de Azava , vacanfe en ej!obispado de Ciudad-Rodrigo por fallecimiento de D. Joa quín, Uria, y la media prestamera de S. Nicolás de ía ciudad de Sevilla, que vacó por .muerte de fi* José. Marín y Llabuca, á D. Rafael F…</t>
  </si>
  <si>
    <t>Delgado, Manuel</t>
  </si>
  <si>
    <t>Manuel Delgado</t>
  </si>
  <si>
    <t>…s: para una de ministro del consejo Real á D. Francisco Marin y Sánchez: para la re gencia de la audiencia de Galicia á D. Manuel de León Santos de S. Pedro: para la de Canarias á D. Manuel Delgado: para una plaza de la sala de al caldes de casa y corte á D. Ramón Satué: para otra de la misma sala á Don Vicente.......Cabero: para una plaza efectiva de juez auditor de la Rota á D. Vicente Ruiz de Albillos. Asimismo ha concedido S. M. gracia de capellanes…</t>
  </si>
  <si>
    <t>Delgado, Pedro Yagiie</t>
  </si>
  <si>
    <t>Pedro Yagiie Delgado</t>
  </si>
  <si>
    <t>…por medio de sus comisionados D. Manuel de la Fuente, alcalde primero, Don Juan Manuel Cubero, regidor decano, D. Manuel Vázquez Araujo, Don Manuel Rodríguez Ribera, regidores, y D. Pedro Yagiie Delgado, pro curador general de la tierra, quienes tuvieron la honra de presentarse á S. M. y besar su real mano. Este dia tuvo igualmente el honor de cumplimentar á S. M. el limo, ca bildo de la santa iglesia catedral de Segovia por medio de sus diputados D. Agustín…</t>
  </si>
  <si>
    <t>Denláfen, Antonio de</t>
  </si>
  <si>
    <t>Antonio de Denláfen</t>
  </si>
  <si>
    <t>…do completamente sus deberes en la asis tencia dé los heridos, y qüe los facultativos que mas se han distinguido á la vista del cirujano mayor D. Juan Tomas Marín son el consultor D. Antonio de Denláfen, el primer ayudante D. Rafael Genebriera, el segundo habili tado5 D. Antonio Briart ,. y el físico del batallón de marina D. Francisco Cas ero. Los capellanes D. José Miranda y D. Francisco Varela son también dig nos de recomendación por Iá caridad que han em…</t>
  </si>
  <si>
    <t>Deroy</t>
  </si>
  <si>
    <t>169 llegado la brigada bávara del general Deroy fue rechazado el enemigo; y se retiró á LuneviUe con pérdida de muchos oficiales y de. algunos centenares de prisioneros. Los cosacos están siempre muy avanzados. En mi ultimo parte anuncíe á'V. S. que incesantemente esperamos su cesos importantes del marisca…</t>
  </si>
  <si>
    <t>Desaix</t>
  </si>
  <si>
    <t>…te el descaro de citar el exemplo de los españoles para animar á los franceses. Se ha publica do la siguiente proclama en Chambery el 17 de Enero, fecha del 10 de este ines por el general Desaix, gran oficial de la legión de Honor &amp;c., encar gado de la organización y mando de la leva en masa eo Mont-blanc, y di rigida á los habitantes de aquel departamento: ,,A las armas valerosos habitantes de Mont-blanc: el enemigo ocupa parte de vuestro territorio…</t>
  </si>
  <si>
    <t>…l duque de Castillone, que tiene baxo su mando un exército de 40® hombres, la mayor parte de tropas escogidas, estaba en movimiento. El general Marchand se hallaba en Chambery; el general Desaix esta ba baxo las murallas de Ginebra, y el general Mitsaíer había entrado en Macón. También estaban en nuestro poder Bourg y Nantua. El general austtiaco Bubna, que había amenazado á León, se retiraba por todas parces. El 28 se regulaba su pérdida en 1500 hom…</t>
  </si>
  <si>
    <t>Despacho, Secretario del</t>
  </si>
  <si>
    <t>Secretario del Despacho</t>
  </si>
  <si>
    <t>…pondréis lo conveniente á su cumplimiento. = Está rubricado de la Reai mano. = En Palacio á 19 de Julio de 1814. = Al duqufe de S. Carlos. Circular del ministerio de Hacienda. „E1 Sr. Secretario del Despacho de la Guerra con fecha de 7 de este mes me dice lo siguiente : He dado cuenta al Rey de las exposiciones de los Intendentes de Jaén y Soria, que me ha remitido V. E. con oficios de 29 de Junio último, y le devuelvo, consultando ambos si las tropas de I05 Exér…</t>
  </si>
  <si>
    <t>2074</t>
  </si>
  <si>
    <t>…o, como hasta ahora lo ha usado. De orden de S. M. lo comunico á V. para su inteligencia, gobierno y cump-imiento. Dios guarde á V. muchos años Madrid 9 de Octubre de 1814. 2.a El Sr. Secretario del Despacho de la Guerra me dice con fecha de 26 de Setiembre anterior lo siguiente : „ Exemo. Sr.: He dado cuenta al Rey del oficio de V. E. de 8 de Ju lio último, en que me acompañaba los del Tesorero del Exército y Real Ha cienda de Cádiz, y d¿l Tesorero general, rela…</t>
  </si>
  <si>
    <t>…s.” ARTICULO DE OFICIO. Circular de 7a Real Tesorería general. Con fecha 2 de Agosto última me comunica el Sr. Secretario del Des» pacho de Hacienda la Real órden siguiente: «, El Sr. Secretario del Despacho de la Guerra con fecha de 27 de Julio Último me dice lo.que sigue: Con fecha de 17 del anterior me ha manifes tado el Intendente de Castilla la Vieja haberse presentado á curar en el hos pital militar de ValladoliJ un Soldado, que por estar graduado de Subte…</t>
  </si>
  <si>
    <t>Despuyol, José</t>
  </si>
  <si>
    <t>José Despuyol</t>
  </si>
  <si>
    <t>…Real decreto del restablecimiento del tribunal de la Inquisición, diputó para que manifesta sen á S. M., sus sentimientos á sus tres individuos ios Sresl JDr. I&gt;. Juan de ?amora, D. José Despuyol; y: ,t&gt;. Onofre Soler; Jos quides ha hiendo,tenido el dia 28 de Agosto último la honra de haber sido presentados á besar 4 mano á S. M., dixo el primero de ellos: ,, Señor: el cabildo de canónigos de vuestra santa iglesia metropolitana de Valencia por medio d…</t>
  </si>
  <si>
    <t>Dessofles</t>
  </si>
  <si>
    <t>…afecto del Rey para con la guardia nacional. Tengo el honor de ser con toda consideración, señor conde, vuestro muy humilde ser\\áoii=.Blacas d'Aul~ París 26 de Junio de 1814.” £1 conde Dessofles ha dado la respuesta siguiente: - . ,, Señor conde: he recibido y puesto en la orden del día la carta en que V. E. expresa la satisfacción .del Rey sobre la manera que la guardia naeio«a f ba hecho el servicio del palacio de las Tullerías. Ruego á "Vá. E. que…</t>
  </si>
  <si>
    <t>Dessoles</t>
  </si>
  <si>
    <t>429</t>
  </si>
  <si>
    <t>…a general á sus tropas, y que despue- de ella se cante un'TV Deum en acción de gracias por los acontecimientos memorables que acaban de dar la paz á la Francia y á toda Europa. El general Dessoles ha recibido orden del gobierno provisional para que haga poner á a guardia nacional de París la escarapela blanca. El gobierno provisional ha expedida, entre otros varios, un decreto man dando que quanto se haya hecho ó pueda hacerse poí orden de Napoleón des…</t>
  </si>
  <si>
    <t>Dessolles</t>
  </si>
  <si>
    <t>…eron de pie, sin permitir que les pusiesen sillas. La ceremonia se hizo por un obispo y seis clérigos griegos revestidos de ca pas. La guardia nacional de París, á las órdenes del general Dessolles, esta ba colocada al rededor del tablado. Durante el Te Deum los príncipes y el exército manifestaron el mas profundo respeto.__ El celebrante presentó á besar la cruz á SS. MM., al príncipe Schwartzemberg, á S. A. I. el gran duque Constantino, á SS. A A. RR.…</t>
  </si>
  <si>
    <t>…declarado vacante la silla arzobispal, mandando que se notificase su determinación al cardenal Miury que la ocupaba. Se asegura que el cardenal Maury se ausentó el io de París. El general Dessolles recibió orden del gobierno provisional para que la guardia nacional de París se pusiese escarapela blanca. ARTICULO DE OFICIO. Habiendo procedido las Cortes ordinarias á la elección de presidente, vi ce-presidente y uno de sus secretarios, resultaron electos…</t>
  </si>
  <si>
    <t>…iscal de Francia. El duque de Reggio , mariscal de Francia. El duque de Dalberg. El conde de Jaucourt, senador. El general conde Beurnonville, senador. El abate de Montesquiou. El general Dessolles. Él barón de Vitrolles, secretario de Estado interino, exércerá las fun ciones de secretario del consejo. ESPAÑA. Zaragoza 29 de Abril ¡ Se acaba de recibir aqui la agradable noticia de que la guarnición enemi ga del castillo de Benasque se rindió á nuestras…</t>
  </si>
  <si>
    <t>…ue se ha restablecido nuevamente, montó ayer la guardia, por primera vez, en lo interior de palacio. De orden dei Rey ha escrito el ministro de la casa real la carta siguien te al general Dessolles. ,, Señor conde: quando la guardia nacional de París va á cesar de hacer Ja guardia á la persona del Rey, servicio momentáneo, que ha desempeña do con tanta constancia, desinterés y zeio, S. M. desea transmitirle los tes timonios mas sinceros de su satisfacci…</t>
  </si>
  <si>
    <t>Díaz, Francisco</t>
  </si>
  <si>
    <t>Francisco Díaz</t>
  </si>
  <si>
    <t>…a de Sojo, calle de las Carretas, á 7 rs. Carta de las letras y sílabas castellanas, ó Silabario completo y metódico, com* puesto para la mas pronta instrucción de la niñez por el profesor D. Francisco Díaz. Se hallará en la librería de Pérez, calle de las Carretas* EN LA IMPRENTA REAL.</t>
  </si>
  <si>
    <t>…las librerías de Perez, Llera, Barco, Minutrii y Novillo, á 3 rs. Carta de las letras y sílabas, ó silabario completo, dispuesto para la mas pron ta instrucción de la niñez por el profesor D. Francisco Díaz. Se hallara en la li brería de Pérez, calle de las Carretas. EN LA IMPRENTA REAL.</t>
  </si>
  <si>
    <t>Díaz, Hilario</t>
  </si>
  <si>
    <t>Hilario Díaz</t>
  </si>
  <si>
    <t>…xilios que dió á su sargento mayor, y haber contribuido á desalojar al enemigo del fortín que ocupó en el primer avance. También debo hacer justicia al capitán del batallón ligero D. Hilario Díaz, y teniente del mismo D. Francisco Ol medo', al primero por haber resistido con muy pocas fuerzas á los rebeldes, ha {Lindóse guarneciendo el indicado fortín por concluir, y el segundo por haber salido á observar la fuerza de aquellos con quatro dragones, dan…</t>
  </si>
  <si>
    <t>Diaz, José</t>
  </si>
  <si>
    <t>José Diaz</t>
  </si>
  <si>
    <t>…miento de voluntarios de Ledesma, desde cuyo tiempo no sé ha vuelto á saber de é!. Se suplica á la perso na que sepa su paradero ó muerte tenga la bondad de noticiarlo en Madrid á Don José Diaz, capitán agregado al regimiento de Málaga, y en Salamanca á su padre D. Domingo Osorio, teniente coronel de infantería retirado. El cura párroco de la villa de Ares, arzobispado de Santiago, desea saber la re sidencia de Doña Manuela González de Espinosa, par…</t>
  </si>
  <si>
    <t>Diaz, Julián</t>
  </si>
  <si>
    <t>Julián Diaz</t>
  </si>
  <si>
    <t>…sía, dán dolas una perfecta inteligencia.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costumbre. Reus ij de Enero, Hace algunos d…</t>
  </si>
  <si>
    <t>Diaz, Manuel</t>
  </si>
  <si>
    <t>Manuel Diaz</t>
  </si>
  <si>
    <t>…ro, D. Magín Ferrer, D. Domingo Agüero, D. Manuel Sil vela, D. Rafael Tenorio, D. Francisco González, D. Josef Barreda , D- Pascual Martínez, D, An tonio Benito, D. Josef Bordes , D. Manuel Diaz, D. Nicolás Bremont, D. Basilio y D. Josef Salcedo, D. Manuel Alonso, D: Francisco Alonso, D. Antonio Bera2a y D. Josef Baseoni, fugados con el gobierno intrusó, para que en el ténnino de 20 dias, contados desde el de ls publicación, que por único y perentori…</t>
  </si>
  <si>
    <t>Diaz, Pascual</t>
  </si>
  <si>
    <t>Pascual Diaz</t>
  </si>
  <si>
    <t>…ellos á quieres algún accidente feliz ha ya puesto en proporción de distinguirse; entre los quales lograrán una men ción especial el capitán D. Cristóbal Martínez y el subteniente D. Pascual Diaz » ambos del cuerpo de partidarios» que casi imposibilitados por sus he ridas recibidas en la batalla de Vilcápugtó» se empeñaron en ocupar en esta última acción sus respectivos destinos* „ Nuestra pérdida es Ja siguiente: muertos el teniente del regimiento nú…</t>
  </si>
  <si>
    <t>Diaz, Pedro</t>
  </si>
  <si>
    <t>Pedro Diaz</t>
  </si>
  <si>
    <t>459</t>
  </si>
  <si>
    <t>…es de la villa én medio de las aclamaciones, vi vas y aplausos del pueblo, cohetes, salvas y repique de campanas; luego que llegó el retrato de S. M. á la iglesia fué recibido por D. Pedro Diaz de la Peña, oficial de Marina retirado, y este por su mano le colocó en un precioso pabellón que estaba dispuesto en ei presbiterio al lado del evange lio, que las mismas señoras habian formado: estuvo de manifiesto el santísi mo Sacramento durante la misa, y…</t>
  </si>
  <si>
    <t>Diazr, Satrirriíno Peal y</t>
  </si>
  <si>
    <t>Satrirriíno Peal y Diazr</t>
  </si>
  <si>
    <t>…d 4 de Noviembre de 1814. El Rey Se há servido nombrar para el arcipfestazgo de Canales en él arzobispado déTToledo ¡ que se halla Vacante por fallecimiento de D. Mateó Sarreá, á' D. Satrirriíno Peal y Diazr; yapara él beneficio simple servidero dé Ja iglesia parroquial de S. Miguel de la ciudad de Andujar, vacante poír muerte de í). Pedro Izquierdo , á ,D. Miguel, Antonio de Antuñano, cura párroco de Gordejuela. Asimismo se ha dignado S. M. nombrar para el benef…</t>
  </si>
  <si>
    <t>Dícese</t>
  </si>
  <si>
    <t>…do hasta ahora del contenido de la correspondencia encontrada al correo francés, que la semana pasada fue cogido por partidas españolas junto al Portus, y conducido á este quartel general Dícese ser de mucha extensión. El domingo ultimo llegaron á esta ciudad los prisioneros hechos al ene migo entre las Mallorquínas y Hostalrich. Ayer han llegado quatro oficiales y algunos soldados alemanes, que pu dieron escaparse ¿el enemigo al tiempo de ser conduc…</t>
  </si>
  <si>
    <t>Diegb.de</t>
  </si>
  <si>
    <t>nido S. M. en concederte plaza efectiva éñ dicho-cónsejq. Asimismo ha ve nció S. M. .en ^nombrar para la secretaría de Estado y de Gobierno del re ferido consejo' á D. Diegb.de la iQuadta, oficial mayor de la secretaría de Estado y del -Despacho, r ó i-¿ y , ■' 1' ! ■ i, i.-:. f: 0'_- . í r'■; • ' i ’ • .. - : :; . ',r' ' ) ■ : i ■ • f' V: ÍJ. : * i. El Rey se ha servido coirferirjehvireyiiato y capitanía general de Na- . várra alíc…</t>
  </si>
  <si>
    <t>Diego</t>
  </si>
  <si>
    <t>…. . ^ • ¡ '’-i ARTICULO DE OFICIO* El Rey por resolución de 20 de Mayo, en atención al mérito, probidad y demas buenas calidades que concurren en el tesorero honorario de exército D. Diego de la Torre, na venido en nombrarle para la plaza de vocal d’e la junta del Crédito público, vacante por ascenso del Excmo. Sr. D. Luis María de Salazar á secretario de Estado y del despacho de Hacienda. ; Por decreto de 26 de Mayo último, en atención á los d…</t>
  </si>
  <si>
    <t>…na, su espo sa , y sus hijos D. Juan y Doña Ines han hecho á S. M. la oferta de 4© rs. vn. Al mhmo tiempo ha ofrecido igual cantidad D. José Hidalgo Barquero, otro de los hijos de D. Diego, para arender á las urgencias del estado. S. M. se ha dignado admitir estos donativos, mandando que se den gracias á los in teresados , y se publiquen en la gaceta; estos rasgos de patiiotismo y amor á su Real Persona. Donativos patrióticos hechos en Arequipa…</t>
  </si>
  <si>
    <t>…, gages y emolumentos corres pondientes. Tendráse entendido en dicho mi Consejo para su cumplimiento.es Está rubricado de ia Real manó, =£ En Palacio á 16 de Setiembre de 1814.= A D. Diego de la Quadra.” El Rey nuestro Señor, en atención á los distinguidos servicios y patrio tismo de D. Ramón Satue, ministro que fué de la extinguida audiencia de Madrid, ha venido en-nombrarle para la plaza de la sala de alcdldes de casa y corte, que ha resaltad…</t>
  </si>
  <si>
    <t>…os limos. Sres. D. Francisco Xavier Mier y Campillo, obispó de. Almería é inquisidor general; P. D. Isidoro Perez de Gelis, del orden de. Agonizantes , obispó electo de Segovia, y D. Diego de la Torre; y el primero dixo: „ Señor: la provincia.de Liébana, á quien Dios libró milagrosamente del furor de los sarracenos después de la memorable batalla de.Cobadonga;,^acar ba de experimentar la protección .Visible déi Dios de los exércitos: invadida j…</t>
  </si>
  <si>
    <t>…que obtiene en la misma iglesia. Asimismo sé ha servido S. M. nombrar para una ración de la iglesia catedral de Santander, vacante por fallecimiento de D, Gabriel de la Fuente, á Don Diego de la Pedrosa, cura párroco de la misma diócesis; y para el benefi cio mayor de la villa de Pozaldtz, en el obispado de Valladolid, vacante por muerte de D. José Joaquín de Menoyo, a D. Francisco Toribio Her nández. En América El Rey sé ha servido nombrar par…</t>
  </si>
  <si>
    <t>Diego, Pedro García</t>
  </si>
  <si>
    <t>Pedro García Diego</t>
  </si>
  <si>
    <t>…terinamente la de Alcalá de Henares, en consideración á sus méritos y servicios contraí dos antes y después de la revolución. Enterado S. M. del zelo, actividad y acierto .con que D. Pedro García Diego, vocal que fué de la junta superior de la provincia de Burgos, y aetu al contador principal de la misma, sacrificó su reposo en servicio de su Real Persona y bien del estadono solo ha venido en declarar por Real or den de 22 de Julio de este año que quedaba s…</t>
  </si>
  <si>
    <t>Diez, Clemente de Cavia y</t>
  </si>
  <si>
    <t>Clemente de Cavia y Diez</t>
  </si>
  <si>
    <t>…persona que con este objeto quisiere estipular con el expresado cabildo acudirá en ei Burgo de Osma á su secretario capitular D. Andrés de Rodrigo, y en esta corte á su apoderado D. Clemente de Cavia y Diez. A virtud de r¿al facultad por la audiencia del Sr. D. Manuel Fernandez Gam boa, teniente de corregidor en esta villa, y escribanía del número de D. Toma-: de Sancha y Prado, se venden á subasta 12 fanegas de tierra labrantía,'sitasen'Térmi no del Pugar de Va…</t>
  </si>
  <si>
    <t>Diez, Domingo</t>
  </si>
  <si>
    <t>Domingo Diez</t>
  </si>
  <si>
    <t>…ad de Alcalá , compuesta dé su rector el Dr. D. Tomas López de Regó y de los Dres. y deanes D. José Ruperto Molina, de teología; Don Manuel Morales y Segoviaño, de jurisprudencia; D. Domingo Diez, de me dicina , y D. Patricio Ramírez, de artes, acompañados del maestro de ce remonias; y el expresado rector arengó asi: ,,Señor: vuestra universidad de Alcalá, representada por su rector y</t>
  </si>
  <si>
    <t>Diez, Gerónimo</t>
  </si>
  <si>
    <t>Gerónimo Diez</t>
  </si>
  <si>
    <t>…gratitud. ARTICULO DE OFICIO. Habiendo procedido las Cortes ordinarias á la elección de presidente, vice-presidente y uno de sus secretarios, resultaron electos para presidente el Sr. D. Gerónimo Diez, diputado por Salamanca; para vice-presidente el Sr. D. Antonio Joaquín Perez de la Puebla, diputado por Nueva-España, y para secretario el Sr. D. Diego Ramos Aparicio, diputado por Extremadura. Actas de las Cortes ordinarias, para que el público sepa con cer…</t>
  </si>
  <si>
    <t>…D.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Corte á D. Ignacio Martínez de Villela, y ministros de ía misma á D. Manuel María Junco, D. D…</t>
  </si>
  <si>
    <t>…yano......... Córdoba) Valencia, Segorbe y Ori; huela. Sr¿ D. Juan Antonio de Inguanzo.... Burgos y Santander. Sr. D. Benito Arias de Prada.. .......... Cartagena, Segovia y Osma. Sr. D. Gerónimo Diez........................ Coria) Astorga y Cádiz. Sr. D. Nicolás María de Sierra........... Ciudad'Rodrigo, Jaca y Málaga. Sr. D. José Antonio Larrumbide..... Toledo (excepto Madrid) Uclés y . . León en tas Ordenes. Sr. D. Luis Melendez Bruna............ .Sevil…</t>
  </si>
  <si>
    <t>Diez, Gerónimo Antonio</t>
  </si>
  <si>
    <t>Gerónimo Antonio Diez</t>
  </si>
  <si>
    <t>625 D. Gerónimo Antonio Diez. D. Francisco Ibañez Leiba. D. Jayme Alvarez Mendieta. D. Andrés Oller.,. D. Diego María Badillos. Se revoca como injusta la sentencia pronunciada por el tribunal especial creado por las Cortes generales y extraordinarias contra el señor D. Miguel de Lardizab…</t>
  </si>
  <si>
    <t>…4. = YO JE L REY. = Yo D. Juan Ignacio de Ay estarán, secretario del Rey nuestro Señor, lo hice escribir por su mandado. = El duque del Infantado. = D. Mi guel Alfonso Viilagomez. D. Gerónimo Antonio Diez. r= D. Nicolás Ma ría de Sierra. = D&lt;. Luis Melendez y Bruna. = Registrada, Fernando de Icurmendi. =: Teniente de canciller mayor, Fernando de Iturmendi. Circulares del ministerio de Hacienda. 1. a- Habiendo llamado la atención del Rey nuestro Señor una expos…</t>
  </si>
  <si>
    <t>…e*Octubre de 1814. = YO EL REY.=Yo D011 Juan Ignacio de Ayestarán, Secretario del Rey nuestro Señor, lo hice escri bir por su mandado. = E! Duque del Infantado. = D. Tomas Moyano.=Don Gerónimo Antonio Diez. = D. Andrés Lasauca. = El Conde del Pinar. = Re gistrada, Fernando de Iturmendi. = Teniente de Canciller mayor, Fernan do de Iturmendi. Con fecha de 28 de Junio del presente año se remitieron al teniente de</t>
  </si>
  <si>
    <t>Diez, Juan</t>
  </si>
  <si>
    <t>Juan Diez</t>
  </si>
  <si>
    <t>121 JEl Exento. Sr. conde de Castro-Terreno, general del exército del Sur, ha dirigido un parte que le remitió el señor coronel D. Juan Diez, gober nador del fuerte de Perote. Remito á V. S. bien escoltado al presbítero D. Josef Miguel Calderón, á quien el público apellidaba nuevo obispo de Papantla, de la orden de Fran cisco i, Osorno y el Morelos de la Sierra y Huasteca: su prisión ha sido re su…</t>
  </si>
  <si>
    <t>Diez, Juan Martin</t>
  </si>
  <si>
    <t>Juan Martin Diez</t>
  </si>
  <si>
    <t>2073</t>
  </si>
  <si>
    <t>…o á su Diócesis; y ddl recibo de esta se servirá V. darme aviso. Dios guarde á V- muchos años. Madrid 14 de Octubre de 1814. Circulares cfel Ministerio de Guerra. 3.a El Brigadier D. Juan Martin Diez, con-oído baxo eí renombre de el Empecinado, Coronel del Regimiento de Caballería Cazadores de Guadalaxara * y Comandante general de la División disuelta de Castillada Nue va, con motivo de haberle prevenido el Inspector* general de Caballería que -omitiese e…</t>
  </si>
  <si>
    <t>Diez, Martin Diego Saenz</t>
  </si>
  <si>
    <t>Martin Diego Saenz Diez</t>
  </si>
  <si>
    <t>…antes y demas piedras preciosas, como igualmente de plata y oro, ya sea en baxilla ó en barras. Se vende .en la librería dp ,S&gt;£pcha, calle de la Concepción, y en casa de su autor D. Martin Diego Saenz Diez*, diamantista de cámara de S. M., calle Mayor , núm. *5 , inme dia£o á la de S, Cristóbal. Napoleón, ó el verdadero D. Quixote de la ,E¡uro^# ó sean comentarios críá tico-patrióticos burlescos á varios decretos de Napoleón ^ su hermano José, escri tos por un…</t>
  </si>
  <si>
    <t>Dionisio</t>
  </si>
  <si>
    <t>…o de las nobles artes, de la industrii y de la nación; pues quanto mas se honren aquellas, tantas mas ventajas resultarán á la patria* o f / . . n . ;O-1 -.&lt; J - t -.i : '■ .» ' i Don Dionisio y D. Pedro Lomo, vecinos de la ciudad de Sevilla, han lídehb á S. M. el donativo gratuito de 24© rs. vn. en dos resguardos» de la ca sa: de la tesorétía general, de 8 y 12© rs, vn. entregados en préstamo en 20 de Diciembre de 1809 Y 11 de Enero de 1810, y en 4© rs. vn. en un…</t>
  </si>
  <si>
    <t>Dios-Gutiérrez, Juan de</t>
  </si>
  <si>
    <t>Juan de Dios-Gutiérrez</t>
  </si>
  <si>
    <t>…er admitida á cumplimentar y be sar la manó á S, Mi yíiAjAuipor su feliz restitución’al trono una diputación del ayuntamientOrde la i ■'■Mí N. y L. ciuiad de Córdoba, compuesta de Don Juan de Dios-Gutiérrez ;Rave, alcalde primero,'y D. Rafael Vázquez y González, regidor decano; el primero de los 'quales arengó á S. M. en ios términos siguientes-:(J __ ,, Señor: Córdoba i L R. P. de V. M. le rinde el mas sincero homena ge de su leáitady ño dexando. de. recordar l…</t>
  </si>
  <si>
    <t>Director, C-mde de Miranda</t>
  </si>
  <si>
    <t>C-mde de Miranda Director</t>
  </si>
  <si>
    <t>…s desde esta fecha, y ce dos años los que existan en plises de Ultramar, pasados los quales no se d.rá curso, por motivo alguno, á sus solicitudes.” El Rey ha venido en nombrar al Sr. C-mde de Miranda Director, Juea protector del Reai Hospicio de esta corte y de S. Fernando. El Rey en consideración á los dilatados méritos y distinguidos servicios del Maris cal de Campo Marques de Sobremonte, se ha servido concederle plaza supernumeraria en el Real y supremo Consejo…</t>
  </si>
  <si>
    <t>Dirweil, Gaspar</t>
  </si>
  <si>
    <t>Gaspar Dirweil</t>
  </si>
  <si>
    <t>…, J&gt;. José Fuentepita,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 consejo de Hacienda, es la de antigüedad del mismo tribunal, entendiéndose desdeT.° de Abrí…</t>
  </si>
  <si>
    <t>Diz, Francisco Antonio</t>
  </si>
  <si>
    <t>Francisco Antonio Diz</t>
  </si>
  <si>
    <t>…,....... Al Tejiente general D. José Cienfuegos. Por Intendente...... D. Anselmo de Rivas. Por Togado..i........ D. Esteban Antonio de Orellana. Por Político........... Ai Coronel D. Francisco Antonio Diz. Fiscal militar........ Al Mariscal de Campo D. Martin González deMenchaca# JA D. Luis Bertrán, Oficial mayor primero de mi Se¿tere ano...............^ cretaría de Estado y del Despacho de la Guerra. Sala de Justicia. rk D. Guillermo de Vargas. 1A D. José Pag…</t>
  </si>
  <si>
    <t>Doctorof</t>
  </si>
  <si>
    <t>…es. Jacobi-Cioest, ministro de Estado de Pruna; el conde de Tutzow, chambelán y ministro de Austria en Dinamarca; el lord Cathcart, ministro de Inglaterra en la corte de Rusia; el general Doctorof; el consejero de Estado Verneguer; los condes de Linange, de Sickingen y de Salm-Dyk; el príncipe Guillermo de Hesse; el príncipe here dero de Hesse' Rumpeheim; lord Stewart, embaxador de Inglaterra en nuestra corte; el consejero de Estado de Prusia Beguelin;…</t>
  </si>
  <si>
    <t>Dolarea, Aiexandro</t>
  </si>
  <si>
    <t>Aiexandro Dolarea</t>
  </si>
  <si>
    <t>…ualmente en este dia tuvo la honra de besar la mano á S. M. una di putación de la ciudad de Pamplona, capital de Navarra, compuesta de D. José María Vidarte, regidor primero, y de D. Aiexandro Dolarea, alcalde de casa y corte; de los quales el primero arengó áS. M. en los tér minos siguientes: „ Señor: Pamplona, capital dé Navarra, que tantos heroes ha producido en esta sagrada revolución, nós ha honrado con la distinguida confianza de presentar a V. M. la…</t>
  </si>
  <si>
    <t>Dolarea, Alexandro</t>
  </si>
  <si>
    <t>Alexandro Dolarea</t>
  </si>
  <si>
    <t>…osé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cirujano mayor de exército, se servirá avisarlo en esta corte en la calle de Santiago, casa núm. 10, quarto segundo, en donde darán rázon de un hijo que dexó este en ama dur…</t>
  </si>
  <si>
    <t>Domenech, Joaquín García</t>
  </si>
  <si>
    <t>Joaquín García Domenech</t>
  </si>
  <si>
    <t>…fesor el interes tan grande que se toma por los adelantamientos de sus discípulos, dando á conocer públicamente el fruto de sus continuadas ta reas; cuyo acto fue presidido por el Sr. D. Joaquín García Domenech, gefe político superior de la provincia de Madrid, y presidente del ayunta miento de esta villa. ' Al mismo tiempo anuncia dicho profesor como el dia 2 de Marzo dará principio á las lecciones de la aritmética mercantil ó de comercio desde las seis y inedia á…</t>
  </si>
  <si>
    <t>Domin</t>
  </si>
  <si>
    <t>…onzalo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Tomás Moyano, D. Juan Antonio Inguan…</t>
  </si>
  <si>
    <t>Domincriif, Antonio</t>
  </si>
  <si>
    <t>Antonio Domincriif</t>
  </si>
  <si>
    <t>…lez, á D. Faus tino García Loredo. , En virtud de despicho requisitorio librado por el juez de letras de la ciudad de Sevilla D. Juan Perez de Mafure , refend.ido por el escribano D. Antonio Domincriif*.7 - V ciimnlim^ntsi-ln r,r\r C. O C--------i * , . , i, pe na en autos, a instancia de Ja oírte do la real casa hospital de la sama Caridad de nuestro Señor Jesucristo, sobre pose! sion de ios bienes, fincas y rentas del mayorazgo que fundó D. Sebastian Caba…</t>
  </si>
  <si>
    <t>Domingo</t>
  </si>
  <si>
    <t>…e., subteniente del regimiento de infantería de Guad.íi áxara, que pasó al Norte; el dél teniente del mismo D. Juan de Mata Sánchez, ó de su muger Doña María Estrella P/ado; el de D. Domingo xMartinez, capitán del batallón de infantería ligera de Campomtypr, ó sus herederos, para comunicarles asuntos de intereses; á cuyo efecto podrán pa sar i verse con D. Bernardino Gómez, que vive en Madrid, calle de las Huertas, esquina á la de S. José, núin.…</t>
  </si>
  <si>
    <t>…or \í ó sus a-podcradoé á deducir siw acciones, según les e;tá mtndádo én auto de cíe Junio- de V^raño, publicado A V.H ^ ¥ 1 r-lAVIU MV» ^ ^ * i dente del concurso de acrcedme* á D. Domingo. Terri y conipañía.^se cjta y enwplaza á qualquiera que se considere ;cqif ^epor rtferecho _que% el jtqtr. dot|i correspondiente á Doña Elena Macnumar^ para qqe se presente a^deducirlo.en de bida forma dentro del térmip.0,que finará ^n.8/de {Eneró del año pró…</t>
  </si>
  <si>
    <t>Domínguez, Francisco Assin y</t>
  </si>
  <si>
    <t>Francisco Assin y Domínguez</t>
  </si>
  <si>
    <t>…ierno de las personas en cuyo poder exis tan dichos vales, que como de su propiedad tiene reclamados en debida forrxa. En virtud de providencia de 17 del corriente, dictada por el Sr. D. Francisco Assin y Domínguez, juez letrado en comisión de esta villa, se ha mandado citar y emplazar á todas y qualesquier personas que tengan parentesco con D. Josef Malladas, que falleció en 18 de Mayo de 181 r, y.también á tocios sus acreedores, por qualquier título ó causa, para que…</t>
  </si>
  <si>
    <t>…apercibidos que pasado dicho término, sin mas citarles ni emplazarles, se pro videnciará lo que corresponda, y les’parará el perjuicio que haya lugar. En virtud de providencia del Sr. D. Francisco Assin y Domínguez, teniente corregidor de esta villa, se ha mandado sacar á pública subasta por término de 30 días una habitación compuesta de dos piezas en la planta baxa y puerta de calle en la población del Reai sitio de Aranjuez: hace dos fachadas principales , la una al M…</t>
  </si>
  <si>
    <t>Don</t>
  </si>
  <si>
    <t>…ninguna epi demia en aquella isla ni en Ja de Gozo, se declaraban libres todas ias comu nicaciones &amp;c.__ El general Srnith, comandante de Gibraltar, á quien ha ido á reemplazar el general Don, ha adoptado la misma providencia. Escriben de Augsburgo que el gobierno ruso ha mandado publicar el nkase de 31 de Diciembre de 1810. Este ukase prohíbe la importación de todas las mercancías extrangeras sin distinción, como lanas, algodón y seda. Se han rec…</t>
  </si>
  <si>
    <t>DoñaRo, Pedro y</t>
  </si>
  <si>
    <t>Pedro y DoñaRo</t>
  </si>
  <si>
    <t>2312</t>
  </si>
  <si>
    <t>2312 Se desea saber el paradero de D. Benito Rivas, hijo 4e D. Pedro y DoñaRo* sa.de Ogando, natural de Sta. María deBeariz, jurisdicción de Montes, arzobispal do de Santiago, en el reyno de Galicia. En el año de 1808 fue uñó de los cadetes literarios de la universidad de Santiago; después pasó al regimiento de León de subteniente, y f…</t>
  </si>
  <si>
    <t>DonFernando</t>
  </si>
  <si>
    <t>…olemnizar'el aniversario de la publicaeiom deda Constitución He:l¿ riiáiiarqiná empanóla y-y- manifestar Sti-pisto regocijo por la próxnríá:;v-efiidaoáe;naqstra amado monarcáf'él :Sr. DonFernando vii de una mañera ,í que 41 ¿pásovqué acredítase patriotismo, diese un exemplo qae imitar.á Jos verdaderos arf antes de !á patria', dispuso un solemne banquete, al qualeijtre las. autoridades v primeras personas del pueblo concurrieron 24 soldados inutilizado…</t>
  </si>
  <si>
    <t>Donojú, Juan O</t>
  </si>
  <si>
    <t>Juan O Donojú</t>
  </si>
  <si>
    <t>…extraordinario habia ocurrido,»_Dios guarde áV. E. muchos años— Quartel general de S. Juan de Luz á 9 de Enero de i8i4.=Excmo. Sr. = Wellingiún, duque de Ciudad-Rodrigo. = Excmo. Sr. D. Juan O Donojú.” El general en gefe del quarto exército ha comunicado al señor secretario de Estado y del Despacho de la Guerra lo que sigue: ,, Excmo. Sr.: el mariscal de campo D. Pablo Morillo, comandante ge neral de la primera división de este exército, me dice con fecha…</t>
  </si>
  <si>
    <t>Doral, Antonio</t>
  </si>
  <si>
    <t>Antonio Doral</t>
  </si>
  <si>
    <t>…fragata tenientes de navio D. :Fduaitdo~.Mosqiiera, sargento mayor, á D. Francisco íCafvo del Manzano, D. Felipe del $á#Q. y D. Gabriel de Pazos; á teniente de navio al de fragata D. Antonio Doral#</t>
  </si>
  <si>
    <t>Doria</t>
  </si>
  <si>
    <t>…ia, o á lo menos de una gran parte de ella. Ase gúrase también que el exército del mando del general conde de Tauvencien protegerá este paso. ITALIA. Roma 17 de Julio. Monseñor el príncipe Doria acaba de ser repuesto en el exercicio de.su destino de prelado y maestro de ceremonias de S. S. Este digno patricio» después de haber intervenido en el tratado;de Fontainebleau, ;se atraxo (y este es su mayor elogio) la indignación de Napoleón, que le desterr…</t>
  </si>
  <si>
    <t>Downie</t>
  </si>
  <si>
    <t>…delantamiento suspendió por la suerte desgrá-* ciada de la esquadriíia que había avanzado para coopecar en los proyectos ulteriores de ia campana. El valor é intrepidez con que el capitán Downie? empeñó la acción, hizo concebir las mayores esperanzas de Un suceso feliz; pero fueron desvanecidas muy pronto por la pérdida de este valeroso ofi cial, á que se juntaron ciertos accidentes que acompañan siempre á las ope raciones marítimas. El - timón del n…</t>
  </si>
  <si>
    <t>Downie, Juan</t>
  </si>
  <si>
    <t>Juan Downie</t>
  </si>
  <si>
    <t>…a Legión D. Rodrigo Bermudez, los capitanes de cazadores D. An tonio Ximenez, D. Angel Bermudez, y D. José María Freyre, y los te nientes D. Manuel Toledo y D. José Buzarron.__ El brigadier D. Juan Downie, que casualmente se hallaba con licencia en esta división , se me pre sentó para que le emplease, y acompañó á la Legión en el fuego sobre el cerro Arrocaray, conduciéndose con el entusiasmo que ie es característico___. Incluyo á V. E. el estado de pérdida qu…</t>
  </si>
  <si>
    <t>Doz, Jayme</t>
  </si>
  <si>
    <t>Jayme Doz</t>
  </si>
  <si>
    <t>…alvador Colrmer observe el porte que corresponde en, el desempeño de su destino., porque en otro caso será castigado severamente. Recójanse los veinte mil reales depositados en el D. Jayme Doz y los doce rail que existen en D. José Estanga, vecino de Cdatayud; y uno y otro</t>
  </si>
  <si>
    <t>Doz, Jaywie</t>
  </si>
  <si>
    <t>Jaywie Doz</t>
  </si>
  <si>
    <t>…ogieron en mi Real presencia al hospital General para la asistencia y curación de sus enfermos: que D. José Moragas, del comercio de Mahon, pague la multa: de tres mil duros i que D. Jaywie Doz, que lo es del de esta corte, satisfaga la de mil duros: que D. Juan Doz, su hijo, lo haga de la de seiscientos.ducados: que D. Láza ro de Rada, D. Francisco Estanga, D. Manuel de Córdoba, D. Juan Bau tista Maygñen , Doña Luisa Robinet y Dominica Grifón, pagu…</t>
  </si>
  <si>
    <t>Doz, Juan</t>
  </si>
  <si>
    <t>Juan Doz</t>
  </si>
  <si>
    <t>…, no menos que la constancia y bu*en comportamiento de las tropas del bloqueo y sus dignos oficiales, contandó' entre estos al coronel S. Llórente, á los ayudantes de estado mayor Don Juan Doz y D. José Bermudez, y al capitán D. José Toyos, que han contribuido eficazmente al buen éxito de la empresa, en quanto lo han per mitido sus fuerzas y buenos deseos.__ Pasaré á V. E.tan luego como io reciba el aviso del resultado de las operaciones en la izquierda del bloqueo;…</t>
  </si>
  <si>
    <t>…ue en muertos y heridos han te nido los cuerpos que ejecutaron la operación de Laredo, y copia de la ca pitulación, que espero sea de la aprobación de V. E.__ El teniente coro nel D. Juan Doz, gefe del estado mayor, el segundo ayudanre dei mismo D. José Bermudez, y el capitán de Voluntarios de León D. José Toyos, agregado á dicho estado mayor, hicieron por. su valor, actividad y conoci mientos servicios muy importantes : por último todas las difer…</t>
  </si>
  <si>
    <t>…nte del fuerte el capitán del 6.° de infan tería de línea italiana D. Nicolás Ceronilos, que autorizaron para el efecto, el primero al teniente coronel de los exércitos nacionales D. Juan Doz , gefe del estado mayor del sitio, y el segundo al teniente del 6.° regimiento de infantería de línea italiana D. Geininiano Bergaminy ; les que después de cangeados sus respectivos poderes, convinieron en los artículos siguien tes___ . Artículo x.° El fuerte…</t>
  </si>
  <si>
    <t>…ión de sus enfermos: que D. José Moragas, del comercio de Mahon, pague la multa: de tres mil duros i que D. Jaywie Doz, que lo es del de esta corte, satisfaga la de mil duros: que D. Juan Doz, su hijo, lo haga de la de seiscientos.ducados: que D. Láza ro de Rada, D. Francisco Estanga, D. Manuel de Córdoba, D. Juan Bau tista Maygñen , Doña Luisa Robinet y Dominica Grifón, pague cada uno la multa de doscientos ducados, haciéndoles entender lo desagr…</t>
  </si>
  <si>
    <t>Dr</t>
  </si>
  <si>
    <t>…señor, y por Ja citada escribanía , dentro del término de 3© dias, contados desde el día i?° del corriente mes, que se admitirán las que se hicieren. En virtud de providencia dt 1 Sr. Dr. D. Juan de Dios Agüéis?, alcaide m^yor de la ciudad de S. Ferntrdo, en expediente que sigue en su juzgado por la escriba nía del número de D. Bartolomé Canje Gómez-, áinstancia dd convento de reion* jas de la Enseñanza de la misma , sobre nombramiento de ^dm…</t>
  </si>
  <si>
    <t>Duarte</t>
  </si>
  <si>
    <t>…encia en el referido de creto, deseosos de acreditar una rígida obediencia á la voluntad del Rey, y de que no se hallan poseidos de! espíritu de ambición, acordaron , á mocion del Sr. Duarte, que si lo estima arreglado el capitán general presidente quede desde este momento disuelta la diputación; pero este benemérito gefe, atendiendo á que el augusto decreto previene y expresa la derogación de la constitución y leyes ahora y para siempre en lo qu…</t>
  </si>
  <si>
    <t>Duaso, José</t>
  </si>
  <si>
    <t>José Duaso</t>
  </si>
  <si>
    <t>ic/o Castilla, D., Juan Francisco Martínez, arcediano de Diroca, dignidad de la santa iglesia metropolitana de Zaragoza, y catedrático de prima de cánones de su universidad , D. José Duaso, capellán de honor de S. M. y D. Ma nuel Abeiia, oficial de la primera secretaría de Estado y del despacho, tuvo la honra de presentar á S. M. y A A. una medalla de oro ', otra de plata y otra de cobre que aquel cuerpo literario deseoso de perpetuar la memori…</t>
  </si>
  <si>
    <t>…de las Carretas. Vicios de la contribución directa decretada por las Cortes extraordinarias -.obra escrita y publicada en el mes de Marzo último por el capellán de honor de S. M. D. José Duaso, .diputado de las mismas, y chantre de la santa iglesia de Málaga, En este escrito después de indicar las veces que se ha intentado en vano la*aboli ción de las contribuciones indirectas llamadas provinciales, trata: i.° dé si son ó no preferibles á las direc…</t>
  </si>
  <si>
    <t>Duben</t>
  </si>
  <si>
    <t>…no de Hamburgo, á causa de que e! enemigo habla quemado ios puentes al retirarse. El resto de la vanguardia entró en el pueblo á las siete de la mañana con su' comandante el mayor general Duben. No pueden describirse jas demostraciones de ale gría Con que recibió este vecindario á sus libertadores. Después de haber descansado un rato estas valientes tropas, el mayor general Duben hizo un reconocimiento por la parte de Grunnau. A la sazón téma el ene…</t>
  </si>
  <si>
    <t>Dúcea</t>
  </si>
  <si>
    <t>…hacía Lussigny, pasando el Barse. El ge neral Duhesme ha tomad© posición en Momierarnery cerca de Vandocuvré. 4 ■ • El conde Flauhaut, ayudante de campo del emperador Napoleón; el conde Dúcea &gt; ayudante-del imperador de Austria; el conde SchouwaloíF, v ' ay udante del emperador de Riísía^ y el general Rauch , gefe del cuerpo de Ingenieros de! rey de Prusia , sé hán juntado en Lussigny para tratar de las * condiciones de un a-Suspensión dearmas.1 D…</t>
  </si>
  <si>
    <t>Ducos, Luis Fris</t>
  </si>
  <si>
    <t>Luis Fris Ducos</t>
  </si>
  <si>
    <t>…s, llevando en las puntas de sus picas las cabezas de los infeliee9 guardias de Corps que hablan querido defender al Rey su ame: un tomo dividido ,en dos partes: por el presbítero D. Luis Fris Ducos, autor de la historia cierta de los franes-masones: dedicado con licencia superior al real cuerpo de guardias do Corps. Se hallará en la librería de Rodríguez, calle de las Carretas. El Conscrvador.de la dentadura y de ios niños en la dentición: método sencil…</t>
  </si>
  <si>
    <t>Dueñas, Felipe de Bedoya y</t>
  </si>
  <si>
    <t>Felipe de Bedoya y Dueñas</t>
  </si>
  <si>
    <t>…después de ha berse hecho la entrega del'estandarte Real (previo el juramento y pleyto homenage acostumbrados )* al. que por elección de la ciudad hacia el oficio de alférez-mayor D. Felipe de Bedoya y Dueñas, caballero de la Real’y distinguida órden españolade, Carlos m, regidor decano s se tomaron los caballos preparados pnrajeX efecto » quef'estaban rica y suntuosamente enjae zados. Un piquete del regimiento-de caballería d«el Infante rompió la marcha con sus t…</t>
  </si>
  <si>
    <t>Dueñas, Ramón de</t>
  </si>
  <si>
    <t>Ramón de Dueñas</t>
  </si>
  <si>
    <t>…del arte de taquigrafía. Concluidos los exámenes se procedió á la adjudicación de premios, y por todo* los votos se adjudicó el primero á D. Sebastian Eugenio Vela, y el segundo á D. Ramón de Dueñas. Se declaró el accessit á D. Tadeo Briceño, á quien se acordó darle certificación que expresase heberse acercado inas á los premiados, y que de D. Agustín Mesonero se hiciese mención honorí fica en la gaceta, por la aplicación que había manifestado en estos c…</t>
  </si>
  <si>
    <t>Duff, Diego</t>
  </si>
  <si>
    <t>Diego Duff</t>
  </si>
  <si>
    <t>…aridades ó circunstancias de las mencionadas letras que el haber dos de i&lt;5oS&gt; y 150© reales de vellón , libradas por el diputado comisario general ingles el Sr. Boys, á cargo del Sr. D. Diego Duff, de Cádiz, á favor de D. P. Kcan; y mientras pueden inquirir los pormenores de ellas han creidoconveniente anunciarlo al publico, como lo hacen, para evitar qualquiera sorpresa que pudiera causar la negociación ilegítima de estas letras, con motivo de la desg…</t>
  </si>
  <si>
    <t>Duhesme</t>
  </si>
  <si>
    <t>…erpos de Blucher, Sacken, York y Kieist, que habían re cibido refuerzos de Soissons, y maniobraban contra el cuerpo del duque de Ragusa, el qual se hallaba en la Ferié-Gaucher. El general Duhesme ha. to mado á Bar del Aube á la bayoneta, haciendo algunos prisioneros, entre los que hay varios oficiales bávaros. ESPAÑA. Madrid 21 de Marzo. El 19, dia para siempre memorable por haberse cimentado en él la glo ria y libertad de España, ofreció á los heroyc…</t>
  </si>
  <si>
    <t>Duhestne</t>
  </si>
  <si>
    <t>…res de la tarde el enemigo , reforzado con todo su exército, se pre sentó delante de La-Rothiere y Dienviile, que aun ocupábamos. Nu stra retaguardia .se mantuvo en buen orden: el general Duhestne se distinguió defendiendo á La-Rothiere, y el general Gerard á Dienviile. El cuerpo austríaco del general Giülay, que intentó pas^r de la izquierda á la derecha y forzar el puente,' sufrió una derrota en varios de sús batallones. El duque de Belluno continuó…</t>
  </si>
  <si>
    <t>Duka</t>
  </si>
  <si>
    <t>…do cuerpo de coraceros del príncipe Mauricio de Lichrenstein, y le acompañaban su gran chambelán, el conde Bubna, su escudero mayor; el conde Juan dé Traúttmansdorf; los generales barón Duka; Kutschera, primer edecán del conde Manuel Wratisia; el príncipe Luis de Rohan y el príncipe Pablo Ester3zi. Tres destacamentos de las guar dias de los nobles de' Alemania, de Hungría y de Bohemia formaban tam bién parte del ostentoso acompañamiento. El concu…</t>
  </si>
  <si>
    <t>Duncan</t>
  </si>
  <si>
    <t>…wen hace el mayor elogio de los habitantes, y de la buena conducta de las tropas de marina. = Wi. Young." El vice-almirante sir Eduardo Pelíew ha remitido un oficio del honora ble capitán Duncan , de la fragata Imperiosa, comunicando el apresamiento del corsario francés el Audaz el día 31 de agosto en el estrecho de Bonifa cio. El capitán Elopkins, de la corbeta Helicón, apresó al corsario franges Revenant de St. Malo, de 14 cañones y 70 hombres de t…</t>
  </si>
  <si>
    <t>Dunn</t>
  </si>
  <si>
    <t>…mbres del Milfordy 20 del Wizard, sin otro auxilio. Debo también hacer mención de la buena conducta de Mr. Wats, contramaestre del último buque, quien fue gravemente herido, y del capitán Dunn, de la Marmaid , que manifestó muchoi zelo en todas ocasio nes. El capitán Markland mandaba los soldados de marina , y le estoy muy agradecido por el zelo que ha manifestado en todas ocasiones, y sobre toda en la distribución de víveres y de municiones de tod…</t>
  </si>
  <si>
    <t>Dupont</t>
  </si>
  <si>
    <t>…de Estado interino.” 2.° Con fecha de 6 de este mes Ha formado el Rey su consejo de Guerra de los oficiales siguientes: los mariscales Ney , Augereau y Macdonald; dé los generales conde Dupont, Compans, Curial»,Preval, Latour-iVjtaubourg, Lery, Sorbier, Evain, Kellerman, Félix, y el comisario ordenador Márchand. ^ . . r &gt; 3.0 El mismo dia resolvió S. M. que los cuerpos de partidarios que se habian formado en virtud de decreto de 4 de Eneró quedan d…</t>
  </si>
  <si>
    <t>Duque</t>
  </si>
  <si>
    <t>…años. Quartel general de S. Juan de Luz 18 de Diciembre de 1813. = Wellmgton , duque de Ciudad-Rodrigo.” - Enterada la Regencia del Reyno, se ha servido acceder á la solicitud del señor Duque, y ha mandado se inserten en la gaceta los nombres de los re feridos sugetos para que se haga pública su conducta, conforme se anunció en dicha orden. Se halla vacante el partido de médico de la villa de Villatobas en la provincia de Toledo; su dotación 800 d…</t>
  </si>
  <si>
    <t>2073 ARTICULO DE OFICIO. Circular del Consejo Real. Con fecha 9 de este mes se ha servido S. M. dirigir al Exemo. Sr. Duque del infantado, Presidente del Consejo, el Real Decreto siguiente: ,, Penetrado del mas vivo dolor ver la corrupción casi general de las costumbres en todas las clases, y considerando este mal como un resultado del desorden que ocasiona la guerra* la licencia…</t>
  </si>
  <si>
    <t>Duran, Carlos</t>
  </si>
  <si>
    <t>Carlos Duran</t>
  </si>
  <si>
    <t>…o, vacante por. fallecimiento de D. Francisco Gregorio de Sierra, á D. Juan Mier Gastañon: para una. capellanía de Sres. Reyes nuevos de la ciudad de Toledo, vacante por muerte de D. Carlos Duran, á D. Manuel Domingo de Perca y Arangoyti: para el. beneficio simple servidero de la parroquia de.-Stai María de Carraona, diócesis de Sevilla, vacante por falle cimiento'de-D,. José Valderas , á D. Vicente Ribera,cura párroco del Real sitio de S. Lorenzo, co…</t>
  </si>
  <si>
    <t>Duran, José Jorge</t>
  </si>
  <si>
    <t>José Jorge Duran</t>
  </si>
  <si>
    <t>…ero Don Diego Roldan. En el de León de Huanuco compañía de granaderos al de fusileros Don Francisco Ingunza: compañías de fusileros á los tenientes D. Manuel Anto nio de la Mata y D. José Jorge Duran: tenencia de granaderos al de fusi leros D. Vicente Caballero: tenencia de fusileros al subteniente D. José de Meza ; y subtenencias á D. José Viiaurrizaga y D. Santiago Villar. En el de Huanta el empleo de teniente coronel al sargento mayor del propio cuerpo…</t>
  </si>
  <si>
    <t>Dusmet, Venancio</t>
  </si>
  <si>
    <t>Venancio Dusmet</t>
  </si>
  <si>
    <t>…as y cordiales expresiones de verdadera gratitud. La diputación de la universiiad literaria de la misma ciudad, compuesta de los doctores D. Tomas López de Regó, su actual rector, D. Venancio Dusmet, catedrático de concilios nacionales, D. NicoLs Heredero, de elo cuencia, D. Juan de la Dehesa, de instituciones civiles, y D. Francisco An tonio González, bibliotecario de S. M., tuvo el honor de felicitar á S. A. la Regencia de las Españas el domingo 16 del…</t>
  </si>
  <si>
    <t>Dut-aillis</t>
  </si>
  <si>
    <t>…ontra la Francia durante un año entero. La guarnición de aqueila plaza está mal provista , y los sol dados descontentos. El general Narbone , gobernador de Torgau , lia muerto. El general Dut-aillis , que le sucede en. el mando , y otros tres generales están grave mente enfermos de la fiebre contagiosa que reyna en el pueblo, y que dia riamente se lleva gran número de víctimas. El mariscal St. Cyr ha capitulado, y Dresde está ya en poder de los aliados.…</t>
  </si>
  <si>
    <t>Duterfre</t>
  </si>
  <si>
    <t>…comandante superior de ía 15.a división mili tar. = Barón L. de Estabeurath, general' comandante del departamento del Sena interior. =r De Bou!ard, mayor comandante de armas. = El caballero Duterfre, gobernador de la 15.a división militar. = Charmout, ayudante co mandante. = Beauzel, coronel subinspector de revistas. = Frebert, comisa rio de guerra. =Tousain,-capitán agregado. z= El barón J. Vinot, coman dante de las tropas movibles del curso del Oisa. =…</t>
  </si>
  <si>
    <t>Echaniz, Vicente Antonio</t>
  </si>
  <si>
    <t>Vicente Antonio Echaniz</t>
  </si>
  <si>
    <t>…e Cádiz, é igual mente por D. Aquilino Antonio de Salamanca, marques de Villacampo; !a du juesa de.Montemar y marques de los Llanos, y por Doña María Francisca Barructa y Galdona, D. Vicente Antonio Echaniz, Doña Francisca Xaviera Galdón», Don Joaquín Diego de Saracoiz, Doña María Concepción Antonia de Umendia, D. Vi cente Joaquín de Barrutia, Doña Josefa Joaquina de Aizolares, D. Joaquiu María ¡BarróeVi , Doña María Teresa Faraudo, Doña María Antonia de Goycnec…</t>
  </si>
  <si>
    <t>Echanove, José de</t>
  </si>
  <si>
    <t>José de Echanove</t>
  </si>
  <si>
    <t>…e la villa de Ochandiano y la ciudad de Vitoria, en la provincia de Álava, seis vales reales, endosados aquet mismo día por D. Pedro de Burgoa, vecino de aquella villa, á favor de Don José de Echanove, que lo as de la expresada ciudad de Vitoria, se suolica á ia persona que los hubiese haijado se sirva entregarlos á qualquiera de estos dos fiíge los. Los vales son ltí$ siguientes: dos de 150 pesos, creación de i.° de Eucro, re novados el año de 1808 , núme…</t>
  </si>
  <si>
    <t>Echarri, Miguel</t>
  </si>
  <si>
    <t>Miguel Echarri</t>
  </si>
  <si>
    <t>…........ D. José María Gay oso. En Palenda....................... D. Marcelino de la Torre. En Palma........................... D. Lorenzo Gibert. En Pamplona..................... D. Miguel Echarri. En Piase neta..................... D. Juan Campo y Oliva. En Sevilla.,......................... D. Nicolás José Areipacochaga» En Segovia,........................ Viuda de Ramiro y Mesa. En Santiago........................ D. Manuel de la Riba Moreno. En Sor…</t>
  </si>
  <si>
    <t>Échatüz, Francisco Xavier de</t>
  </si>
  <si>
    <t>Francisco Xavier de Échatüz</t>
  </si>
  <si>
    <t>…as eventuales, y con. las partidas anteriores compondrá de renta anual sabida 9548 rs. Los pretendientes, qup deberán poseer elv-idioma vascongado, podrán dirigir sus.memoriales á‘D. Francisco Xavier de Échatüz, sin dico procurador general de la villa, Hasta el dia 15 de Enero pfóxiiho. Se halla vacante la plaza de médico de la vfiláde Herrera dej Duque, en ^Ex tremadura, cuya dotación son 19 ducados; los 700 cobrados dé! caudal de pro pios, y los 400 restantes del…</t>
  </si>
  <si>
    <t>Echegaray, Juan Baptista</t>
  </si>
  <si>
    <t>Juan Baptista Echegaray</t>
  </si>
  <si>
    <t>…Menaut 25: el capitán D. Santiago Agesta 25 : D. Cárlos Santos Gon zález 25: el capitán D. Francisco Valdes de Velasco 10: D. Manuel Ages ta y Otamendi 40: D. Diego Ovanguren 12 : D. Juan Baptista Echegaray,, administrador de tabacos, 6: D. José Ncdar 12: D. Santiago Chaves y Villota 6: D. Tomas Castillo 6; y D. José Antonio Salamanca, cura vi cario de Puquina, 12. Total 1126 pesos. Real cédula de S. M. y señores del Consejo, por la qual se sinre aprobar el re g…</t>
  </si>
  <si>
    <t>Echeneguí, Juan Francisco</t>
  </si>
  <si>
    <t>Juan Francisco Echeneguí</t>
  </si>
  <si>
    <t>…enrostro, D. Rafael Barril y D. Manuel de Lorca ; subtenientes á Don Santiago Asen jo, D. Domingo Ulloa y D. José Justo Flores y D.-Anselmo Carabantes, y subtenientes de bandera á D. Juan Francisco Echeneguí y D. Miguel, Lara. En el de Voluntarios de Madrid , existente en Montevi deo, teniente á D. Manuel Romero, y subteniente á D. Pedro Antonio García. En el de Voluntarios de la misma plaza teniente á D. Diego Mar tín Martínez. En el de infantería ligera Voluntarios de Chil…</t>
  </si>
  <si>
    <t>Echenique, Pedro José de</t>
  </si>
  <si>
    <t>Pedro José de Echenique</t>
  </si>
  <si>
    <t>…er el paradero de D. José García Ayala para comunicarle una no ticia que le interesa para el percibo de algunos reales, y en caso de haber falleci do á sus herederos. Se acudirá á D. Pedro José de Echenique, que vive en la casa de Correos. En la villa de Pezuela de las Torres, partido de Alcalá de Henares, siete le guas distante de esta corte, se halla vacante la plaza de médico, dotada con 600 ducados, cobrados del vecindario por la justicia, y pagados por terc…</t>
  </si>
  <si>
    <t>Echevar, Juan Evaristo</t>
  </si>
  <si>
    <t>Juan Evaristo Echevar</t>
  </si>
  <si>
    <t>…ales: Pablo Riaza Sanz, 8•: Manuel Vería, 8 : Francisco Rebollo, 20: Pedro Aguilar, 30: Alfonso Utrera, 8: Francisco Milano Reidero, 20: Melchor Milano, 40: Mariano Aranguren, 40: D. Juan Evaristo Echevar ría, 80: D, Vicente Antuñano, 80: D. Vicente Antuñano Daganzo, 40: Francisco Milano Milano, 60: Manuel Valles, 50: Eugenio Yepes, 11: Custodio Riaza, 10: Joaquín Espliguero* 10: Francisco Gordillo, 20: Miguel Orejón, 10; Manuel García .Granero , 20 : Antonio…</t>
  </si>
  <si>
    <t>Echevarría, Juan Miguel de</t>
  </si>
  <si>
    <t>Juan Miguel de Echevarría</t>
  </si>
  <si>
    <t>…ar-a la regencia del consejo djs Navarra á D. Juan Garrido López: para una plaza de oidor nacional del rtirmo consejo á D. Martin Xavier de Muzquiz : para otra también nacio nal á D. Juan Miguel de Echevarría: para otra de oidor no nacional á Don Ramón Macia de Lleopart: para otra á D. Santiago Suso y Anda: para una de alcalde nacional á D. Fermín Sanz y López: para otra á D. Manuel Arbizu: para otra á D. Pedro Lapuerta; y para otra no nacional á D. Map riano Rufi…</t>
  </si>
  <si>
    <t>Echeverría, Francisco Xavier</t>
  </si>
  <si>
    <t>Francisco Xavier Echeverría</t>
  </si>
  <si>
    <t>…pa en Junio de 1812 para auxilio de la dividan de D. francisco Espoz y Mina, mariscal de ampo. El Dr D. Saturnino García de Arazuri-, deán de esta santa iglesia, 500 pesos: el Dr. D. Francisco Xavier Echeverría, arcediano de la misma, too: el Dr. D. Cipriano Villota, chantre de ídem-, 200: el Dr. D. Juan Felipe Portu, prebendado de ídem, 25 : el Dr. D. Francisco Pantaleon Uztariz, cura ré'tor del sagrario de ídem, 24: D. Juan José de Cáceres, teniente de ídem, 4: D.…</t>
  </si>
  <si>
    <t>Echeverría, José</t>
  </si>
  <si>
    <t>José Echeverría</t>
  </si>
  <si>
    <t>…oficial gravemente herido, y de 13 soldados en igual estado. Por nuestra parte quatro soldados han sido heridos, y el capitán de cazadores ha sacado también su caballo herido. El teniente D. José Echeverría, que iba por la izquierda, y llevaba la orden de incendiar el campamento de Mespia, lo ha executado á mi satisfacción, haciendo retirar á los enemigos que le cubrían al reducto de Lasa, y se ha puesto en comunicación y apoyo de la tropa que perseguía á la emb…</t>
  </si>
  <si>
    <t>Echmult, Príncipe de</t>
  </si>
  <si>
    <t>Príncipe de Echmult</t>
  </si>
  <si>
    <t>…ft. En seguida se tomaron disposiciones para atacar al enemigo el 2 de di ciembre. Los generales conde Vvoronzowy Tettenborn recibieron orden de pasar el Elba por Boitzemburgo. El mariscal Príncipe de Echmult abando nó su posición poir la noche, y se retiró mas allá de Bille. El mayor Cebestrom con' un cuerpo ligero pasó al mismo tiempo el Elba por Geschstadr. Xas tropas pasaron el1 Stecknitz, persiguieron la retagua rdia del enemigo, é hicieron algunos prisionero…</t>
  </si>
  <si>
    <t>Eckhard</t>
  </si>
  <si>
    <t>…s vínculos que le unen á ellos. ■—Munich 17 dé octu bre de 1813.“’ ' . '' " ITALIA. • ■ , Trehto j de noviembre. El general Stahrembérg entró ayer en Padua con Su vanguardia, y el general Eckhard ha entrado en Verona. La mayor parte de la izquierda fue á la ciudadela. Las avanzadas del general Blasitz marcharon á Peri. Las alturas de Abaso y Sta. Ana, igualmente que Montebaldo, junto á Jerera, se tomaron por asalto. Todas las .noticias convienen en qu…</t>
  </si>
  <si>
    <t>Ecpaña, Carlos de</t>
  </si>
  <si>
    <t>Carlos de Ecpaña</t>
  </si>
  <si>
    <t>…y hospital de Jerusalen se halfa vacante por muerte del Infante Don Pedro,:que ,1a obtenía y y por no haber Yo decidido aun á qual corresponda suceder en ella de los dos Infantes D. Carlos de Ecpaña y D. Sebastian de Portugal; y mediante á que los graves perjuicios que resultan a la Re* lígion y al Estado por la falta autoridad con que se manejan ent ela di# los negocios de dicha* Orden, y-especialuiente los eclesiásticos, no dan lu^ gar á esperar aquella decisión para resolver lo…</t>
  </si>
  <si>
    <t>Eenayides, Antonio</t>
  </si>
  <si>
    <t>Antonio Eenayides</t>
  </si>
  <si>
    <t>…al mariscal de campo D. Luis Wimpífen, segundo gefe que ha sido del estado mayor general abolido : por la caballería al brigadier D. Anto nio Cea: por ingenieros al de igual clase D. Antonio Eenayides; y por arti llería al mariscal de campo conde de Casasarria; y finalmente que en los exércitos primero y quarto se establezca el estado mayor prevenido en las ordenanzas generales mientras subsistan en las fronteras de Francia, dirigien do sus generales en ge…</t>
  </si>
  <si>
    <t>Egaña, Casimiro Xavier de</t>
  </si>
  <si>
    <t>Casimiro Xavier de Egaña</t>
  </si>
  <si>
    <t>…mina ciones y otros festejos, finalizándose tan alegres como sencillos obsequios con cena, y en seguida bayie, que duró toda la noche. Madrid 20 de Junio. El dia i.° del corriente D. Casimiro Xavier de Egaña, D. Manuel Díaz de Acevedo y D. Juan Antonio de Retana, diputados de la ciudad de Vi toria, tuvieron la honra de besar la mano á S. M., y de felicitarle á nombre de ella, pronunciando el primero de ellos el discurso siguiente: ,, Señor: la M. N. y M. L. ciuda…</t>
  </si>
  <si>
    <t>Egidua, Vicente Martínez</t>
  </si>
  <si>
    <t>Vicente Martínez Egidua</t>
  </si>
  <si>
    <t>…do llevar mas allá de su vida su adhesión á la justa causa nacional. Por el fuego ocurrido en esta corte el dia 7 de Febrero próximo pasado en la calle de Latoneros ^confitería de D. Vicente Martínez Egidua, se han extraviado ó perdido dos vales reales de á 15o pesos, creación de i.° de Enero, con los nú meros 272394 y 308303 , y dos dichos de á 300 pesos, de la misma creación , con los números 95*74 y 104279, y otro de 300 pesos, creación de i.° de Mayo, nú mer…</t>
  </si>
  <si>
    <t>Eguía, Félix</t>
  </si>
  <si>
    <t>Félix Eguía</t>
  </si>
  <si>
    <t>…o de la Penitencia á los que están en el artículo y peligro de muerte, y á los delincuentes de pena capital desde antes de intimarles la sentencia hasta el suplicio: compuesto por D. Félix Eguía, presbítero: segunda impresión, aumentada de varias preguntas y tratados, y uno de estos sobre 1a obligación y modo de hacer la operación cesarea : un tomo en 8.° á 9 rs. en pasta. Se hallará en la librería de Baylo, calle de las Carretas, casa n&amp;m. Nuevas ca…</t>
  </si>
  <si>
    <t>Eguía, Francisco</t>
  </si>
  <si>
    <t>Francisco Eguía</t>
  </si>
  <si>
    <t>…r el portillo de Embaxadores se le presentó, acompa ñado del estádo mayor de la&gt;plaza, el goberhador militar y político de Ma drid y capitán general de Castilla la Nueva el Excmo. Sr. D. Francisco Eguía, y entregando^á 5*rM&gt; las llaves de la plaza * pronunció el siguiente discurso: *'• ■ &gt; ■. - r - . „¡Señor: ¡quán’ felices 1 r-•;estos preciosos momentos para un general qüe. envejeció en¡ el» serv icien de*-Mi., viéndose distinguido por las honras extraordin…</t>
  </si>
  <si>
    <t>…de esta escuela se presentaron los primeros armados en los campos de Cabezón á oponerse á las huestes del tirano, y á morir por su Rey , su religión y su patria , testigo de ello D. Francisco Eguía, capitán general de Castilla la nueva. Todos sus maestros, que en el tiempo de la guerra' han sostenido la enseñanza publica sin interrupción alguna , á pesar de los graví simos obstáculos y peligros que han tenido que arrostrar y vencer, se han mantenido tan…</t>
  </si>
  <si>
    <t>Eguía, Francisco de</t>
  </si>
  <si>
    <t>Francisco de Eguía</t>
  </si>
  <si>
    <t>…is la vuestra entera. Tendreislo entendido, y lo comunicareis á quienes corresponda para su cumplimiento. = Señalado dé la réaí mano de S. M = én Palacio á 2 de Junio de 1814. = A D. Francisco de Eguía. 2.29 * *De* *las* *principales obligaciones y cuidados de la dignidad real el pro veer de dignos prelados y ministros á las iglesias, y de personas á propósito ¿ los consejos, tribunales y demas juzgados, sin duda es uno. Para satisfa cer á tan grave cargo,…</t>
  </si>
  <si>
    <t>Eguia, Francisco de</t>
  </si>
  <si>
    <t>Francisco de Eguia</t>
  </si>
  <si>
    <t>…de, Carabineros esTendreislo. entendido, y lo comunicareis á quienes corresponda para su cumplimiento. = Señalado de., la real niano.de S. M. = En palacio á 14 de Junio de i8i4=A D. Francisco de Eguia. ' ' ■ . '. • \» l\ i i ■ . 1 ■ ’ ' i • Aunque por mi real decreto dado en, Valencia á 4 (de Mayo último man. dé que en lo. político .y gubernativo; continuasen ios ayuntamientos de los pueblos según estaban ,y entretanto ¡se, estableció lo que conviniera* gu…</t>
  </si>
  <si>
    <t>…rramar sti sangre en defensa de su religión , de su Rey y de su patria = iendreislo entendido, y lo comunicareis á quien corresponda. = Madrid 15 de Junio de 1814. = ^O EL REY.=;A D. Francisco de Eguia. .</t>
  </si>
  <si>
    <t>…en el año de 1808. Tendreisio entendido, y lo comunicareis á quienes corresponda para su cumplimiento. = Señalado de la Real mano de S. M. = En Palacio á 14 de Julio de 1814. = A D. Francisco de Eguía.” Y lo traslado á V. de Real orden para su inteligencia, gobierno y cumplimiento en la parte que le toca.- Dios guarde á V. muchos años. Madrid 14 de Julio de 1814. Por el ministerio de la Guerra se ha comunicado la Real orden si guiente í ~ „ Por Real resolu…</t>
  </si>
  <si>
    <t>…i Hermano y Señor. Tendreisio entendido, y lo comunicareis á quienes corresponda para su cumpli miento. = En Palacio á 14 de Julio de 1814. = Señalado de la Real mano de S. M. = A D. Francisco de Eguía.” En conformidad del precedente Real decreto se ha servido S. M. nom brar Secretario del Sermo. Sr. Infante D. Cárlos para dirigir la correspon dencia militar de oficio que ocurra á S. A. R., y comunicar sus ordenes co mo Coronel de la expresada Real Brigada,…</t>
  </si>
  <si>
    <t>…fuerza y vigor. = Tendreislo entendido,, y lo comunicareis á quienes correspond í para su cum plimiento.? Señalado de la Real mano de $. M. = Eu Palacio á 18 de Agosto de 1854.= A D. Francisco de Eguía. : r ^ . ’ 2.0 En consecuencia.de mi.Real decreto de¡este día, por el que he tenido á bien determinar el modo en que ha de establecerse mi Consejo supremo dé la Guerra, quedando separados de su conocimiento los asuntos de Marina, de que ha de entender el Almi…</t>
  </si>
  <si>
    <t>2009</t>
  </si>
  <si>
    <t>…e*&gt;tab eeido. Tendreislo entendido, y lo comunicareis á quienes cor responda para su cumplimiento. =r Señalado de la Real mano de S. M. = En Palacio á 12 de Setiembre de 1814 = A D. Francisco de Eguía. Circular del Ministerio de Hacienda. Con el fin saludable del acierto en la eleccú n de personas que hayan de servir los empleos, del qual muy principalmente depende la prosperidad del</t>
  </si>
  <si>
    <t>2064</t>
  </si>
  <si>
    <t>2064 Rey de la plaza de Valencia por el correo ordinario dos supuestas Reales órdenes, firmadas al parecer por ei Sr. D. Francisco de Eguía, secretario de Estado y del despacho de la Guerra, en las quales se mandaba arrestar y quitar la vida ai capitán general de aquella provincia D. Xavier JEiio; de cuyo horrible atentado se dio aviso en ia gaceta de esta corte del dia 12 de Julio, ofreciendo el…</t>
  </si>
  <si>
    <t>…bos, tamboree y soldados. Tendreislo entendido, y dispondréis lo conveniente para su cum plimiento. = Señalado de la Real mano de S. M.= En Palacio* á; *4.de Octu bre de 1814. = A D. Francisco de Eguía. 2.0 Siendo tan ¡propio de mi paternal amor á mis vasallos dispensarles las gracias y alivios que permitan la equidad y la justicia; y habiendo debido á la divina Providencia mi feliz regreso ai trono de mis mayores, reuniéndose en este dia la celebridad de m…</t>
  </si>
  <si>
    <t>Eguía.’, Francisco</t>
  </si>
  <si>
    <t>Francisco Eguía.’</t>
  </si>
  <si>
    <t>…ue cometida. Tendreislo entendi do , y lo comunicareis á quienes corresponda para su cumplimiento. =s Seña lado de la Real mano de S. M. = En Palacio á 5 de Diciembre de 1814. s A D. Francisco Eguía.’* Por la secretaría de Guerra se ha comunicado la orden siguiente: Exento. Sr.: el Rey después de haber oido el dictamen de varios minis</t>
  </si>
  <si>
    <t>Eguíat, Francisco</t>
  </si>
  <si>
    <t>Francisco Eguíat</t>
  </si>
  <si>
    <t>…i8l4*s=YO EL REY.s A D. Pedro de Macanaz. .Por otro real decreto de 31 del mismo se ha servido el Rey nuestro Señor nombrar para secretario de Estado y del Despacho de la Guerra á D. Francisco Eguíat capitán general de Castilla la nueva: para secre tario de Estado y del Despacho de Hacienda á D. Cristóbal ae Góngora , presidente del tribunal mayor de Cuentas; y para secretario detes tado y del Despacho de Marina á D. Luis de Salazar, secretario de Estado…</t>
  </si>
  <si>
    <t>Eiío, Francisco Xavier</t>
  </si>
  <si>
    <t>Francisco Xavier Eiío</t>
  </si>
  <si>
    <t>…do contra nuestra patria los satélites del traydor de la Europa. Dios guar de á V. E. muchos años. Cantón de Xerta 25 de Febrero -de.18.14.3 Excuso. Sr.3José Antonio Sam.=z Excmo. Sr. D. Francisco Xavier Eiío.* Idem 8. Continúan los fuegos contra la plaza de Peñíscola con el mejor éxito; y una bomba felizmente dirigida ha hecho volar una parte del castillo, habién dose prendido fuego a! almacén de pólvora, en cuya explosión se asegura ha perecido el gobernador de…</t>
  </si>
  <si>
    <t>Eiio, Francisco Xavier</t>
  </si>
  <si>
    <t>Francisco Xavier Eiio</t>
  </si>
  <si>
    <t>…D. Cristóbal dé Gónigorá.’ El horrible atentado que alguno ó algunos malvados desearon executar (tomando sacníiegamerite para ello el respetable nombre del Rey) en ía per sona del general D. Francisco Xavier Eiio , capitán general del rey no dé Valencia, fingiendo úna real orden para que como á un traydor se ¡e arres tase, y con una trOpélíá tan inaudita comoagena de la soberana justiiíOa-^ cion y del augttétb.yárácfér que éhrfoblece y -brilla en la persona dé S M.; s…</t>
  </si>
  <si>
    <t>EIso, José Gerónimo</t>
  </si>
  <si>
    <t>José Gerónimo EIso</t>
  </si>
  <si>
    <t>…amor y fidelidad á V. M.” El referido dia 27 besaron también !a mano y cumplimentaron á S. M. y Sres. Infantes, á nombre de la villa de los Arcos, el Dr. D. Manuel Jo sé Lombardo, D. José Gerónimo EIso, el Líe. D. Francisco Miguel Lom bardo y el Dr. D. Fausto Galdiano; el primero de los quales arengó á S. M. en los términos siguientes: ,,Señor: la villa de los Arcos en vuestro reyno de Navarra, y su heroyco vecindario, representado en sus quatro diputados,…</t>
  </si>
  <si>
    <t>Elena</t>
  </si>
  <si>
    <t>…ena Magnamára para el cobro de varios créditos, y entre ellos el dotal consis tente en 287,592 reales de plata y 14 quartos, consiguiente á las pretensiones de los herederos de la Doña Elena, se manda, entre otras cosas, citar y emplazar á qualquiera que se considere con derecho al citado concurso para que acuda á for malizarlo, con los documentes necesarios, en el perentorio término de 1 2 meses contados desde la lecha de la publicación; baxo la…</t>
  </si>
  <si>
    <t>…asignados en el primer emplazamiento hecho en igual dia de este año; en el concepto de que pasado dicho término, se procederá al pago y reparto entre los herederos de la expresada Doña Elena‘Macnamara sin calidad de'fianzá ni otra responsabilidady parando asi esto como te demas que se actúe todo el perjuicio que en derecho haya lugar. ' ....... ' ' A instancia de los síndicos representantes de'lá masa común de'acreedores í lit testamentaría del E…</t>
  </si>
  <si>
    <t>Elgueta, Eusebio</t>
  </si>
  <si>
    <t>Eusebio Elgueta</t>
  </si>
  <si>
    <t>…Mariana Febrer y Jobani para entregarla quatro acciones del banco nacional de S. Cárlos. La persona que supiere de su paradero ó la misma interesada podrá acudir en esta capital á D. Eusebio Elgueta, que vive calle del Arenal, núm. 3, quarto segundo, casa que fué de los donados de Sta. Catalina. En la villa de Ezcaray se halla vacante la plaza de cirujano de estuche, con absoluta independencia del sangrador y barbero, cuya plaza se* halla también va cant…</t>
  </si>
  <si>
    <t>Elias</t>
  </si>
  <si>
    <t>…rs'6 de acreedores á Doña María Dolores Hermoso, en que tiene responsabilidad Tomas Llopis, y cuyo'juicio universal pende en el tri bunal del cortsñlado de'Cádiz, y 'escribanía de D. Elias* Izquierdo y Payan, se ha decretado citar y emplazar á quantos se estimen con derecho á los bienes de dicho concurso, para que en ei perentorio término de ocho meses'aeüdáffa formalizarlo con los documentos que les comprueben, con prevención qpe de no hacerlo…</t>
  </si>
  <si>
    <t>Elio</t>
  </si>
  <si>
    <t>…re oculto su nombre, aun qwando él denunciador sea uñó de ’os cómplices en él hecho, y ademas indultado de toda pen¿¡ por su complicidad y participaron en é!.— [El mismo ca.co del general Elio ha ocurrido con el conde de JLBisbal en Sevilla, y con Don Ju.¡n María de Villavicencio en Cádiz.] En virtud de rea! facultad se venden 150 fanegas de trer a de regadío, y de la mejor calidad que se conoce en la vega de Mejorada del Campo, distante tres le</t>
  </si>
  <si>
    <t>Elio, Francisco Xavier</t>
  </si>
  <si>
    <t>Francisco Xavier Elio</t>
  </si>
  <si>
    <t>…rmado un esquadron de Guardias de Corps. * S. M. había salido en la mañana del mismo día de Aranjuez, dando or den para que no le siguiesen las tropas de la división del mando del general D. Francisco Xavier Elio, que desde Valencia habían precedido á la mar cha dé S. M., y que quedaron con el sentimiento de no poder ver á su Rey colocado ya en su trono. Los habitantes de todos los pueblos inmedia tos se agolparon al camino, y de ellos recibió S. M. en su tránsito nue…</t>
  </si>
  <si>
    <t>Elipe, Francisco Xavier de</t>
  </si>
  <si>
    <t>Francisco Xavier de Elipe</t>
  </si>
  <si>
    <t>…ales casos, señalando el término de dos meses , contados desde el dia de la publicación, para que comparezcan en dicho supremo tribunal, y por su escribanía de cámara del cargo de D. Francisco Xavier de Elipe, á deducir lo que tengan por conveniente en los expresados autos; y pasado dicho término sin ha berío executado, se sustanciarán con los estrados, y les parará entero perjuicio, sin los mas citar m llamar, pues por el presente:se les cita, llama y emplaza has…</t>
  </si>
  <si>
    <t>Elizalde, Juan Francisco de</t>
  </si>
  <si>
    <t>Juan Francisco de Elizalde</t>
  </si>
  <si>
    <t>…aga , Don Julián Francisco delbarra, D. Francisco de Zavala y D. José Joaquín Hermoso. Sostuviéronla contra D. Juan Cruz delrigoyen, D. Manuel delturralde, p. Miguel Barcaiztegui, D. Juan Francisco de Elizalde. Hicieron de jueces para la decisión el teniente general D. Pedro Agustin Girón, el con de de Torre-Alta y D. Bernardino Evaña. S. M. manifestó dorante el par. tido un semblante el mas placentero y satisfactorio para los referidos juga dores , que tuvieron el…</t>
  </si>
  <si>
    <t>Elizalde, Pió de</t>
  </si>
  <si>
    <t>Pió de Elizalde</t>
  </si>
  <si>
    <t>…el año de 1808, nombrando por sus directores generales ai intendente honorario de provincia D. Juan José Marcó del Pont, caballero de la real y distinguida orden de Cárlos ni, y á D. Pió de Elizalde, director que fué de reales provisiones del segundo exército. En su consecuencia se hace notorio al público hallarse abiertas las oficinas de este ramo desde las nueve de la mañana hasta las dos de la tarde, todos los dias que no sean feriados, en el quarto b…</t>
  </si>
  <si>
    <t>Ello, Francisco Xavier de</t>
  </si>
  <si>
    <t>Francisco Xavier de Ello</t>
  </si>
  <si>
    <t>…s han maní— feítado mucha serenidad, valor y deseos de batirse. Dios guarde á V. E. muchos años. Cantón de Cherta 4 de Marzo de 1814. = Excmo. Sr.= José Antonio de Sanz. == Excmo. Sr. D. Francisco Xavier de Ello. Lo que se hace saber al público para su satisfacción. Valencia 8 de Ma rzo de 1814. = El comandante general de esta provincias: José Casimiro de LnvalíeC Ir un t r de Marzo. En l a acción de/Orthez se cogieron al enemigo 2$ prisioneros y ocho piezas de artil…</t>
  </si>
  <si>
    <t>Elola, Antonio</t>
  </si>
  <si>
    <t>Antonio Elola</t>
  </si>
  <si>
    <t>…iligencias oportunas. Palacio 8 de Abril de 1814. La Regencia del Rejmo, en atención á los distinguidos méritos y bue na disposición del contador principal de exército de Cataluña D. Antonio Elola, ha tenido á bien conferirle en propiedad la intendencia de la provin cia de Murcia. Y en atención al mérito y dilatados servicios del cemisario" ordenador honorario D. Pedro Artalejo López, tesorero que fue de exército de Va lencia , le ha conferido la conta…</t>
  </si>
  <si>
    <t>Elopkins</t>
  </si>
  <si>
    <t>…o un oficio del honora ble capitán Duncan , de la fragata Imperiosa, comunicando el apresamiento del corsario francés el Audaz el día 31 de agosto en el estrecho de Bonifa cio. El capitán Elopkins, de la corbeta Helicón, apresó al corsario franges Revenant de St. Malo, de 14 cañones y 70 hombres de tripulación. El capitán Chotam, de la Madriada, apresó el 12 del corriente el cúter armado del Rey de Dinamarca el Abigaii, con 40 hombres. El almirante sir…</t>
  </si>
  <si>
    <t>Elorduy, Ventura de</t>
  </si>
  <si>
    <t>Ventura de Elorduy</t>
  </si>
  <si>
    <t>…Brigadier Capitán de Reales Guar dias Españolas Marques dé la-Roca.” H1 Rey nuestro Señor se ha servido^ conferir la. contaduría dé exército dé’ Aragón, vacante por jubilación? de D. Ventura de Elorduy, que la obte nía , á D. Nicolás Lavaggi, 'tesorero que era; del exército y principado de Cataluña, y nombrar pata suceder á Lavaggi á.D. Miguel. Prats y Vilalba,, tesorero que fué del exéircito de Castilla la Vieja.</t>
  </si>
  <si>
    <t>Eloregui, Juan Bautista de Avendaño y</t>
  </si>
  <si>
    <t>Juan Bautista de Avendaño y Eloregui</t>
  </si>
  <si>
    <t>…ral de Calahorra , vacante por fallecimiento de D. Manuel Roiz de Bravo, á D. Fernando San Martin: para una ración de la misma iglesia , vacante por muerte de D. Diego Landivar, á D. Juan Bautista de Avendaño y Eloregui: para una canongh de la iglesia catedral de Cádiz, vacante por fallecimiento de D. Antonio Lade ro, á D. Manuel de Cos, medio racionero de la propia iglesia: para otra canongía de la iglesia colegial de Taiavera de la Reyna, dicce is de Toledo, vacante por mu…</t>
  </si>
  <si>
    <t>Elorriaga, Ildefonso</t>
  </si>
  <si>
    <t>Ildefonso Elorriaga</t>
  </si>
  <si>
    <t>…as desavenencias que reynan entre los capataces , de que sin violencia se pueden inferir las inejo'*res consecuencias á favor de la buena causa. : ; ' :: ; ’ ' Idem : '\ Parte del coronel D. Ildefonso Elorriaga al general dd exércitó real Pon Juan Francisco Sánchez. Habiendo sabido que el enemigo se hallaba poniendo balsas en Tal.amabida y Gualquí, salí de la Laja el miércoles y llegué á Gomeno, tres le guas delante de Rete. Ese mismo dia envié erpbs por ias dos par…</t>
  </si>
  <si>
    <t>Elorz, Felipe</t>
  </si>
  <si>
    <t>Felipe Elorz</t>
  </si>
  <si>
    <t>…............ D. Francisco Clivilles. En Ciudad- Real.............. D. Mateo Casao y Romero. En Córdoba........................ D. Rafael de Montis. En la Coruña,.................. D. Felipe Elorz. En Cuenca..........¡............... D. José Escolar y Noriega. En Canarias....................... D. Francisco María de Herrera» En Granada...................... D. Francisco Escovar. En Guadalaxara............. D. Joaquín Beladies. En Guipúzcoa y Vitoria. D…</t>
  </si>
  <si>
    <t>…la Piedra. * *J$nCartagena:’V.»...B. Francisco Clivilles.1 En; Ciudad-Real.i*.".:..... D. Mateo‘Casaó yRomero. ' ¡En Córdoba...... .......D. Rafael de Mofatis. En la Coruña....... D. Felipe Elorz. En Cuencal..................... D. José Escolar y Nbriega. En Canarias.................... D. Francisco María de Herrera* En Gfañada..;.'..?.^... ... D. Francisco Eseovar* ; r ■En Guadataxar#. ^ D.JoaqujnBeladies. En Guipúzcoa y. Vitoria C I&gt;. Francisco Arrí…</t>
  </si>
  <si>
    <t>Elorza, Francisco</t>
  </si>
  <si>
    <t>Francisco Elorza</t>
  </si>
  <si>
    <t>…ha tenido á bien promover á subtenientes 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t>
  </si>
  <si>
    <t>Elouza, Francisco</t>
  </si>
  <si>
    <t>Francisco Elouza</t>
  </si>
  <si>
    <t>…rancisco Azquen. Con la de 17 de Febrero de 812, á teniente de fusileros á D. Domingo Patino; á subteniente de granaderos á D/Jo^é Viüafranca, y á subteniente de bandera al cadete D. Francisco Elouza. Con la de 24 de Setiembre de 814, á capitán á D. Bartolomé Guilloto ; á ayu dante mayor á D José Benigno Cepero; teniente á D. José Ignacio de Castro; subteniente de granaderos á D. Jo é Romero, y á subteniente de bandera á D. Pedro de la Paz Acosta. Asimism…</t>
  </si>
  <si>
    <t>Elphinstone</t>
  </si>
  <si>
    <t>…la columna del centro á replegarse con una pérdida considerable por el terrible fuego de la plaza, y hallándose heridos el teniente coronel Mor rice, que la mandaba, y el teniente coronel Elphinstone, que mandaba el 33.°, formó de nuevo la columna el mayor Muttiebury, y dando una vuelta, se unió al mayor ge neral Cooke , dexando el ala izquierda del regimiento 55.0 para retirar los heridos del glasis. Sin embargo las Guardias sufrieron mucho durante la no…</t>
  </si>
  <si>
    <t>Emparan, Juan Bautista</t>
  </si>
  <si>
    <t>Juan Bautista Emparan</t>
  </si>
  <si>
    <t>…paradero, D. Juan de Sarasa, á Don Gerorumo de Sarasa ,v para otro beneficio simple servidero de la parroquia de la vida de Utiel, diócesi de Cuenca, vacante por fallecimiento de Don Juan Bautista Emparan, a D. José María Andion y Saavedra; y para la prestamera de la parroquia de Sta. María de CUdavedo, en la diócesi de Oviedo, vacante por fallecimiento de D. Juan Manuel González, á D. Faus tino García Loredo. , En virtud de despicho requisitorio librado por e…</t>
  </si>
  <si>
    <t>109^ . _ la propia diócesis, vacante por muerte de D. Juan Bautista Emparan, á Don José Moreno de Montalvo. Por Real orden de S. M.*y á consulta del Consejo pleno de 2 de este mesase ha restablecido ene la universidad de Huesca, en el rey rio de Ara gón , la enseñanza especulativa y práctica de medicina, á la qual se dará principio e…</t>
  </si>
  <si>
    <t>Én, J. M. G. N.</t>
  </si>
  <si>
    <t>J. M. G. N. Én</t>
  </si>
  <si>
    <t>…e Partidas, reducidas de estilo castellano antiguo, en cinco tomos en 8.°.á 75. rs., y. en uno en folio á 45 en rústica. El experimentado cazador y perfecto tirador, compuesto por D. J. M. G. N. Én esta obra se dan reglas para tirar en todas las situaciones, para conocer las que rencias de las distintas especies de caza, para criar, curar y educar los perros, y fi nalmente las reglas que deben observarse para preservarse de desgracias. Se hadará en las…</t>
  </si>
  <si>
    <t>Ena, Manuel de</t>
  </si>
  <si>
    <t>Manuel de Ena</t>
  </si>
  <si>
    <t>…Tabara á D. Manuel Xlmenez , y par ra ia dé Sald ña á D. José Benito Gutiérrez Bustamante. En atención á los distinguidos méritos y servicios del brigadier de los Reales exér itos D. Manuel de Ena, coronel del regimiento de infantería de la, Princesa, ha venido en conferirle S. M. el gobierno militar y político de la. ciudad de Alcañiz, en el reyno de Aragón* jurisdicción de la orden militar de Galatrava y su partido; Asimismo en atención á los méritos…</t>
  </si>
  <si>
    <t>Enguádanos, Tomas López</t>
  </si>
  <si>
    <t>Tomas López Enguádanos</t>
  </si>
  <si>
    <t>…profesores españoles de las bellas artes se emplean cada uno en su ramo en la nueva y grandiosa carrera que presenta á su genio el grande quadro de nuestra gloriosa insurrección, D. Tomas López Enguádanos, grabador de cá mara, ofrece á ia Nación española en una lámina de 20 pulgadas de alto y 14 de am.ho el retrato grabado de nuestro amado y deseado rey el Sr. D. Fernando vu# montado en un fogoso caballo, y con el uniforme de coronel de Guardias de Corps, Se h…</t>
  </si>
  <si>
    <t>Enguídanos, Tomas López</t>
  </si>
  <si>
    <t>Tomas López Enguídanos</t>
  </si>
  <si>
    <t>…e también sin láminas. Se hallará en la librería de Hurtado, calle de las Carretas. Los subscriptores á la estampa de nuestro Monarca el Sr. D. Fernando vit á caballo, grabada por D. Tomas López Enguídanos, grabador de cámara de' S. M.’, podrán acudirá recogerla á la librería de Matute, calle de las Carretas/ con las papeletas de subscripción, y 30 rs. para completo pago de cada exemplar.5 Se advierte que por no haber hasta el dia suficiente número de estampas…</t>
  </si>
  <si>
    <t>Entrena</t>
  </si>
  <si>
    <t>…yor en comisión Manuel Cortés. = Aprobada la presente capitulación. == El gefe de batallón comandante del fuerte de Denia Bin. = Aprobada y ratificada la presente capitulación. r= D. Entrena. = Es copia. zpyElío. MADRID EN LA IMPRENTA NACIONAL.</t>
  </si>
  <si>
    <t>Entrena, Diego de</t>
  </si>
  <si>
    <t>Diego de Entrena</t>
  </si>
  <si>
    <t>…rgidero, del que carece mucha par te de la costa de Levante, nos produce grandes ventajas, y la libertad de un pueblo rico y de una costa muy comerciante. »E1 comandante del sitio D. Diego de Entrena, teniente coronel de artillería, ha llenado completamente su deber; y á pesar de la obstinación délos sitiados, ha dirigido los fuegos y baterías con pulso; de modo que se ha apoderado de una plaza muy fuerte por su localidad con muy poca san gre durante el s…</t>
  </si>
  <si>
    <t>Erancisco</t>
  </si>
  <si>
    <t>…gro.. Se hallará en la librería de Qutroga, calle cíe las Carretas..».En la misma se hallan los de^D. ¿JuanMartin, el Empecinado, D. J ui ia$ Sánchez, D. JuanEalarer* el Mcdicopy. D. Erancisco¡ Abad y Moreno, Chaleco. í; .5 .a- ■.• ’ • • .. •: b k\. ri :v i 'f y .• T &gt;c i i madriq: en la imprenta nacional.</t>
  </si>
  <si>
    <t>Eraso, Tomas Arias Leiza de</t>
  </si>
  <si>
    <t>Tomas Arias Leiza de Eraso</t>
  </si>
  <si>
    <t>…lesia colegial de Briviesca, diócesis de Burgos, vacante por fallecimiento de D. Manuel de Miguel, á D. Apolinar Angulo. En atención á los distinguidos méritos y circunstancias de D. Tomas Arias Leiza de Eraso, canónigo de la iglesia metropolitana de Zaragoza , se ha servido S. M. nombrarle para la plaza del tribunal de la Rota de la Nun ciatura apostólica, vacante por renuncia que ha hecho D. Joaquín Palacio, auditor decano de dicho tribunal. El Rey ha resuelto qu…</t>
  </si>
  <si>
    <t>Erbach-Erbach</t>
  </si>
  <si>
    <t>…rta 4 de Noviembre, El 22 del pasado S. M. nuestro Emperador admitió i su audiencia una diputación de los antiguos estados de Alemania* compuesta del príncipe de Wied-Neuwied, del conde Erbach-Erbach , del Landgrave de Furstemberg, y de la princesa tutora de Furstemberg. El codde de Urbñá, gran camar lengo, recibió á la diputación en la escalera de palacio, y ia introduxo en el» salón de audiencias, en donde la Princesa tutora de Furstemberg expuso en nom…</t>
  </si>
  <si>
    <t>Erce, Diego de</t>
  </si>
  <si>
    <t>Diego de Erce</t>
  </si>
  <si>
    <t>…ro se retuvo en la oficina de renovación y ex pedición de documentos del crédito público un vale Real de 600 pesos de i.° de Setiembre de 1808, núm. 140507, que salió encabezado á D. Diego de Erce; y en virtud de providencia del Sr. D. Joaquín Almazan, del consejo de S. M., te niente corregidor de esta villa, por la escribanía del número de D Francisco Alcazar, se cita, llama y emplaza al nominado D. Antonio Garro, ó qualquiera otra persona que pretend…</t>
  </si>
  <si>
    <t>Ereyre</t>
  </si>
  <si>
    <t>…alabra á varios de los que tenían el honor de acompañarle, con objeto de informarse de las circunstancias que ocurrían. El regimiento de caballería de Santiago, á las órdenes &gt;del coronel Ereyre que desde Medina pasaba á la Bisbal, tuvo la satisfacción de hacer los ho nores al Rey aunque á cierta distancia en la misma mañana. Como á las 10 y quarto de ella se presentaron en la orilla izquierda del Fluviá como 3® infantes, 300 caballos y 15 piezas de…</t>
  </si>
  <si>
    <t>Eríce, Segundo</t>
  </si>
  <si>
    <t>Segundo Eríce</t>
  </si>
  <si>
    <t>…ación de la muralla); y despreciándolo, volvió á subir con la mayor bizarría ; el de! capitán D. Simón Perez, los subtenientes Don Pedro Espada y D. josef Vinegra; e! joven cadete D. Segundo Eríce; el sargento primero Josef Pavero , y los segundos. Eugenio Pipaon , Francisco jBraña. y Emeterio la Caridad, y los cabos primero y segundo Anselma. Na aclares y Juan Molina, todos de dicho regimiento; y del 7.0 los sargen tos segundos Josef Ai y Josef Pueyo,…</t>
  </si>
  <si>
    <t>Erice, Segundo</t>
  </si>
  <si>
    <t>Segundo Erice</t>
  </si>
  <si>
    <t>…dida no la considero de entidad, si se atiende al éxito de la empresa que me pro'puse, y consiste en unos quantos muertos y heridos, y entre estos el cade te de la segunda del 5.0 D. Segundo Erice. listado de las bocas de fuego que se hallaron en la cindadela de Jaca, Cañones montados: 2 de 40, 10 de 24, 7 de 12, 6 de 8, 20 de 4: 4 morteros de 12, 2 de 10, un obús real y 2 de 6. Idem desmontados: 2 de 40, 2 de 12 , 3 de 8, 1 de 6, un pedrero, 2 mortero…</t>
  </si>
  <si>
    <t>ÉriMont</t>
  </si>
  <si>
    <t>…ban en Ale mania han recibido orden para entrar en ios países hereditarios de4 Austria; de manera que toda la Alemania estará evacuada para fines del mes. Él cuerpo mandado por el general ÉriMont permanecerá en las posiciones que ocupa en el,díay asi en Maguncia como en las cercanías, donde •esperará á que.se decidaja suerte de esto&amp; palses. Augspurgo de Julio. Sé asegura que la ciudad de Tréveris, con una parte del antiguo elec torado de este nombre,…</t>
  </si>
  <si>
    <t>Es, Manuel Rubio</t>
  </si>
  <si>
    <t>Manuel Rubio Es</t>
  </si>
  <si>
    <t>…te tuvo el honor de besar la mano á S. M. y A A. una di putación de la villa de Talavera de ía Reyna, compuesta del Sr D. Ilde fonso Martin Gutiérrez, alcalde primero, délos Sres. D. Manuel Rubio Es cudero y D. Agustín Sobrinos, regidores, y del Dr, D. José María de la Paz Rodríguez, procurador síndico general de su ilustre ayuntamiento, el primero de los quales manifestó á S. M. en un breve y ■ enérgico discurso quan satisfactorio era al ayuntamiento y…</t>
  </si>
  <si>
    <t>Esandi, Fermín</t>
  </si>
  <si>
    <t>Fermín Esandi</t>
  </si>
  <si>
    <t>…casión nuevas pruebas de su actividad y zelo por el bien de! servicio, habiendo contribuido muy efi cazmente á tan digna empresa el teniente coronel comandante del 8.° regi miento D. Fermín Esandi, y cumplido á toda mi satisfacción sus deberes los señores oficiales y soldados del mismo, y de dos compañías del 9.0, á quienes recomiendo para que V. E. tenga á bien hacerlo ai gobierno. Nuestro Señor guarde á WE. muchos años. Quartel general de Lacarra 10…</t>
  </si>
  <si>
    <t>Escalera, Fermin</t>
  </si>
  <si>
    <t>Fermin Escalera</t>
  </si>
  <si>
    <t>…CITO.____QUINTA DIVISION. ,,Excmo. Sr : en cumplimiento de la orden de V. E. relevé la segunda división de este exército á las seis de la mañana, y á cosa de las nueve hice que el coronel D. Fermin Escalera, del regimiento i.° Cántabro, se apro xímase con seis compañías, y arrojase de los puestos avanzados hasta meterlos en sus parapetos á todos los enemigos situados á la izquierda del camino real de Bayona: efectivamente cumplió este gefe mi orden, habiendo exe…</t>
  </si>
  <si>
    <t>Escarnida, Lamberto</t>
  </si>
  <si>
    <t>Lamberto Escarnida</t>
  </si>
  <si>
    <t>…almente las cuentas para su aprobación, con entera separación de uno y otro ramo, pre via ia comprobación de la Contaduría general de Maestrazgos, para la que el Rey ha nombrado á D. Lamberto Escarnida, y examen del Procurador</t>
  </si>
  <si>
    <t>Escarza', Juana</t>
  </si>
  <si>
    <t>Juana Escarza'</t>
  </si>
  <si>
    <t>…nsualmente le produzcan sus discípulos. Los pretendientes á una y otra plaza dirigirán sus memoriales á su único alcalde ordinario D. Manuel Sainz. . Se desea saber el paradero de Doña Juana Escarza', ama de gobierno que fué en.el año de 1808 de D. Pedro González, comandante del resguardo de Vitoria. La persona que supiese su paradero se servirá comunicarlo en el almacén de aceyte de la plazuela de Sto. Domingo. Verd&lt;dera filosofía del alma, ó diario de m…</t>
  </si>
  <si>
    <t>Escobar, Cesario</t>
  </si>
  <si>
    <t>Cesario Escobar</t>
  </si>
  <si>
    <t>…mar ques del Palacio: para la de Galicia á D. Feiipe d¡e Saint Marcq: para la ide Castilla la Nueva á D. José Arteaga: para el gobierno .militar y político -de la plaza de Vich á D. Cesario Escobar;, para el de la plaza de'Cartage-na á D. Juan de Dios Topete: para el de Tortosa 4 D. Francisco Marcó del Pont: para el de Barcelona á D. Andrés Perez Herrasti: para el de Tarraigona á D. Carlos de España: para el de las quatro villas de Santander 4 vD. Vicen…</t>
  </si>
  <si>
    <t>Escobar, Juan</t>
  </si>
  <si>
    <t>Juan Escobar</t>
  </si>
  <si>
    <t>…squitu , D. Blas 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comandante del esquadron de dragones de Amotape. En las compañías sueltas de Truxillo empleo de capitá…</t>
  </si>
  <si>
    <t>Escobar, Pedro Manuel</t>
  </si>
  <si>
    <t>Pedro Manuel Escobar</t>
  </si>
  <si>
    <t>…conde de Villar de Fuentes, capitán de gra naderos del mismo cuerpo: la compañía de granaderos que este dexa al ca pitán D Lorenzo de Zarate: empleos de capitanes á los tenientes D. Pedro Manuel Escobar y D. José Ramírez Xarámillo: tenencia de granaderos al teniente D. Francisco de Torres: empleos de tenientes á los alféreces Don Pedro Cervileon , D. Francisco Castriilon y Taboada, D. José Antonio de la Vega, D. Manuel Vigil, y al teniente agregado D. Ignacio Cabero: empleos…</t>
  </si>
  <si>
    <t>Escobar, Rafael</t>
  </si>
  <si>
    <t>Rafael Escobar</t>
  </si>
  <si>
    <t>S48 S. M.' se ha servido conferir ia Comandancia de los resguardos de Ara gón ai Capitán graduado-de Teniente Coronel D. Rafael Escobar, y la de ios de la provincia de Toledo á D. Manuel Febrer de la Torre, Teniente Co ronel de infantería ligera de ios Reales exércicos, y Comandante del extin guido batallón-voluntarios de Peáíscola. . Se halla vacante el partido de médico de la villa de Alago…</t>
  </si>
  <si>
    <t>Escobedo, Miguel José</t>
  </si>
  <si>
    <t>Miguel José Escobedo</t>
  </si>
  <si>
    <t>…nrique, á D. Pedro José Bencomo: para el benefi cio simple servidero de la iglesia parroquial de Montoro, diócesis de Cór doba j vacante por muerte de D. Manuel Joaquín Condado, á D. Miguel José Escobedo: para la prestamera de Santaeíla, en la misma diócesis dé Cór doba, vacante por fallecimiento de D. S lvador Ximenez Coronado, á Don José María Arenas: para el beneficio simple de la parroquia de la villa de Santaeíla , en la propia diócesis de Córdoba, vacan…</t>
  </si>
  <si>
    <t>Escoiquiz, Juan</t>
  </si>
  <si>
    <t>Juan Escoiquiz</t>
  </si>
  <si>
    <t>…lguacil mayor. Idea sencilla de las razones qué motivaron el viage del Rey D. Fernando vil i Bayona en el mes de Abril de i3ó8, dada al publico de España y de Europa por ei Excmo. Sr. D. Juan Escoiquiz &amp;c. &amp;c. para su justificación y la de las demás pe sonas que componían entonces ei consejo privado de S, M. contra las imputa ciones vagas de imprudencia ó ligereza , divulgadas contra ellos por algunos suge tos poco instruidos de las expresadas razones, acom…</t>
  </si>
  <si>
    <t>…suplica , pues ,á los gefes militares que sepan de su paradero ó de su muerte, lo avisen á Osuna á Doña María de la Presentación Maldonado. Observaciones sobre la obra del Excmo. Sr. D. Juan Escoiquiz titulada Idea sencilla de las razones que motivaron el viage del Rey Fernando vn á Bayona* dedícalas á sus compatriotas.su autor el Consejero de Ésrado D. Pedro Cevallos: un quaderno en 8.° mayor. Se hallará á 4 rs. en la librería de Ibarra, calle de la Gorgu…</t>
  </si>
  <si>
    <t>…14 tomos en 10 volúmenes en 8.° mayor. Se vende en Cádiz á 280 rs. en pasta y 200 á la rústica en las librerías de Hortal, Pajares y Carsi. Observaciones sobre la obra del Excmo. Sr. D. Juan Escoiquiz, titulada Idea sencilla de las razones que motivaron el viage del Rey Fernando vn á Bayona. Dedícalas á sus compatriotas el consejero de Estado D. Pedro Cevalios; segunda edición, á beneficio de los reales hospitales General y Pasión de esta corte* Vén dese á…</t>
  </si>
  <si>
    <t>…ombrar para el arcedianato de Talavera, dignidad de la iglesia primada de Toledo, vacante por fallecimiento del señor cardenal de la iglesia romana D. Antonio Despuig y Dameto , á D. Juan Escoiquiz, con dimisión de la dignidad y canongía que obtiene en la misma iglesia pri mada: para la abadía de S Vicente, dignidad de la propia iglesia, vacante por muerte de D. Pedro Nieto Herrero, á D. Diego Martin Rorro: para i«na canongía de la iglesia catedral de C…</t>
  </si>
  <si>
    <t>…hallarán en la librería de Calleja, calle de las Carretas, frente á la imprenta Real, y en Zaragoza en la de Monge. Nuevas observaciones provocadas por la ofensiva nota con que el Sr. D. Juan Escoiquiz ha pretendido defender su obra titulada: Idea sencilla de las razones que motivaron el viage del Rey Fernando vii á Bayona: dedícalas á «us compa triotas su autor el consejero de Estado D„ Pedro de Cevallos: un tomo en 8.° ma yor. Se hallará en la imprenta de…</t>
  </si>
  <si>
    <t>Escoíquiz, Juan de</t>
  </si>
  <si>
    <t>Juan de Escoíquiz</t>
  </si>
  <si>
    <t>…Se halla en U librería de Quiroga, calle de las Carretas, debaxo de Ja fonda del Angel. ¡ El Paraíso perdido, poema épico de ÍMilton, traducido del ingles en verso cas tellano por D. Juan de Escoíquiz, arcediano de Alcaraz &amp;c. &amp;c., impreso en Bourges ano de 1813. Se hallará ele venta en la librería de la viuda de Quirogarf calle de las Carretas, núml 9 , frente á la imprenta real. Escuela completa de música. Sistema Fundado'en ¡1 a naturaleza, en la' exper…</t>
  </si>
  <si>
    <t>Escoiquiz, Juan de</t>
  </si>
  <si>
    <t>Juan de Escoiquiz</t>
  </si>
  <si>
    <t>…completa reunión de los dos mundos á una sola familia y un mismo interes/’ Asimismo en este dia se presentaron á S. M., como comisionados de la villa de Bilbao,, los Excmos. Sres. D. Juan de Escoiquiz, D. Francisco Xavier Castaños y D. Francisco Ramón ¿e Eguía, para cumplimentarle so bre su feliz regreso á España ; explicando el primero, que llevó la palabra, los sentimientos de aquel leal vecindario. en los términos-siguientes: „Señor: la villa de Bilbao…</t>
  </si>
  <si>
    <t>Escovar, Francisco</t>
  </si>
  <si>
    <t>Francisco Escovar</t>
  </si>
  <si>
    <t>…•»••»•«••»••.. D. helipe .Elorz. En Cuenca .................. . D. José Escolar y Noriega. En Canarias................. D. Francisco María de Herrera. En Gran rda................. D. Francisco Escovar. En Guadal^xara-........... D Joaquín Beladies. ■ '' ' -En Guipúzcoa y Vitoria. D F rancheo Arrieta ' • En J. 3en............................ D. José Arroyo y Serrano y D. Francisco Ló pez Zavala. En León............................... D. Toma* Díaz Serrano.…</t>
  </si>
  <si>
    <t>…D. Felipe Elorz. En Cuenca..........¡............... D. José Escolar y Noriega. En Canarias....................... D. Francisco María de Herrera» En Granada...................... D. Francisco Escovar. En Guadalaxara............. D. Joaquín Beladies. En Guipúzcoa y Vitoria. D. Francisco Arrieta. En Jaén............................... D. José Arroyo y Serrano y D. Francisco Ló pez Zavala. En León.............................. D. Tomas Díaz Serrano. En Málag…</t>
  </si>
  <si>
    <t>Escrita</t>
  </si>
  <si>
    <t>…dades. = Dios guarde á V. E. muchos años. Quartel general de Tolosa 14 de Abril de 1814.= Excmó. Sr. = Wdlingtony duque de Ciudad-Rodrigo.ss Excino. Sr. ministro de la Guerra.” P. D. Escrita esta, acabo de recibir la respuesta del mariscal Soult, negán dose á reconocer el gobierno provisional sin estar inas informado. Pide en conse cuencia un armisticio, que le he negado, enviando por extraordinario á Paris su respuesta. ÜGta. Los documentas cita…</t>
  </si>
  <si>
    <t>Escudero, Nicolás Martínez</t>
  </si>
  <si>
    <t>Nicolás Martínez Escudero</t>
  </si>
  <si>
    <t>…ida y cumplimentó á S. M. y AA. una di putación de la insigne iglesia magistral de la ciudad de Alcalá de Henares, compuesta de su abad mayor el Dr. D. José García Sánchez, el Dr. Don Nicolás Martínez Escudero, dignidad de chantre, y el Dr. D. Gerónimo López Bartolomé, dignidad de tesorero. El 24 del mes próximo pasado cumplimentó á S. M. por su feliz resti tución al trono el ayuntamiento de la M. N. y L. ciudad de Segovia por medio de sus comisionados D. Manuel de…</t>
  </si>
  <si>
    <t>Eseovar, Francisco</t>
  </si>
  <si>
    <t>Francisco Eseovar</t>
  </si>
  <si>
    <t>…oruña....... D. Felipe Elorz. En Cuencal..................... D. José Escolar y Nbriega. En Canarias.................... D. Francisco María de Herrera* En Gfañada..;.'..?.^... ... D. Francisco Eseovar* ; r ■En Guadataxar#. ^ D.JoaqujnBeladies. En Guipúzcoa y. Vitoria C I&gt;. Francisco Arríeta., ¡; En Jaén......................... D. José Arroyo y Serrano y D. Francisco Lo* • ' pez Zavala. En Leon'.Jt^..¿..¿i.¿-i.’./.ICU.¿ D. Tomas Diaz Serrano* ,EniMdfkgae^.…</t>
  </si>
  <si>
    <t>EsÍ</t>
  </si>
  <si>
    <t>74</t>
  </si>
  <si>
    <t>…ción , y no han querido dar batalla----El 7 marchó la séptima división inglesa al frente de Bayona, una de las que estaban en Azparren con la tercera y sexta ; y añaden que la del general EsÍ&gt;aña estaba también reunida con los ingleses. Parece se han retirado a4 otro ado del Aran , según escribe el general Hill. Por la parte de Bayona ocupa el enemigo las mismas po siciones, traba jando siempre en los reductos. Dias pasados fue conducido á ésta po…</t>
  </si>
  <si>
    <t>Esp, Francisco</t>
  </si>
  <si>
    <t>Francisco Esp</t>
  </si>
  <si>
    <t>…Sortis á los Sres. Tan tésio,&lt; capí tan; comandante de artille--? ría* é ingenieros de la ciudadela , y Rey de.M©rainde*,; capitán del io.ch&lt;in« ' fan te ría, de línea. Y el señor general D. Francisco Esp©z y .Mina á. los señoretel cororrd D. fJoaquín Gómez, y ef teniente coronel D. Marcelino¡Oraáp Estosoeificiaies* «reunidos entre la ciudadela y los puestos avalizados de la' dudad!; ¡después: de haber comunicado sus respectivos, poderes, han convenidd- Hoyí Í…</t>
  </si>
  <si>
    <t>Espía, Fidel</t>
  </si>
  <si>
    <t>Fidel Espía</t>
  </si>
  <si>
    <t>…ti radores que la noche del 16 de setiembre anterior tuvieron ia felicidad de poder librarse del dominio del tirano de Europa, saliendo de.la plaza de Magdeburgo con los oficiales D. Fidel Espía y f). Tomas Áldao, á las or denes de su comandante D. Antonio Villaíba. Llegaron ú los aliados, y el 18 del mismo fueron presentados á S. A. R. el príncipe de Suecia , quien les pasó revista-, y permitió volviesen á su patria armados, dando sus órde nes para…</t>
  </si>
  <si>
    <t>Espiel, Mariano</t>
  </si>
  <si>
    <t>Mariano Espiel</t>
  </si>
  <si>
    <t>…n el de Arequipa:, de infantería disciplinada ,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infantería urbana, subtenencias á Don Lúeas Caballero y D. Pedro Guerrero.</t>
  </si>
  <si>
    <t>Espino, Martin</t>
  </si>
  <si>
    <t>Martin Espino</t>
  </si>
  <si>
    <t>…acra Cupido, el paquebot Borja, y las goletas Galga y Junta de Sevilla, mandados respectivamente por los tenientes de navio Don Manuel Funes, D. Adrián Morquecho, y los de fragata D. Martin Espino y D. Manuel Pardo, y todos baxo las ordenes del primero como mas an tiguo* Su destino era conducir al puerto de Sta. Marta 138 soldados y 16 oficiales de los cuerpos de la Albuera y fixo de Panamá, 100 quintales dé pólvora , 700 balas de todos calibres ,* varios caxones con ca…</t>
  </si>
  <si>
    <t>Espinosa, Francisco García de</t>
  </si>
  <si>
    <t>Francisco García de Espinosa</t>
  </si>
  <si>
    <t>…y se hallan; al gefe de esquadra jt). José de Espinosa Tello secretario con voto; al de igual-clase D. Francisco Vázquez de Mondragon vocal interino hasta el relevo de Apod.¡ca; á D. Francisco García de Espinosa vocal in tendente general, y á D. Manuel Fernando Ruiz del Burgo vocal auditor general. Posteriormente y habiendo hecho (dimisión el Sí. baylfo Fr. D. Antonio Valdés, se dignó el Rey exónerarie enteramente de aquel cargo en consi deración á los motivos que ex…</t>
  </si>
  <si>
    <t>Espinosa, Gonzalo Joré</t>
  </si>
  <si>
    <t>Gonzalo Joré Espinosa</t>
  </si>
  <si>
    <t>Eduardo O ;aro!, á D. Gonzalo Joré Espinosa: para una canongía da la iglesia colegial de S. Felipe de Xátiva , vacante por promoción de D. Ma nuel de Roa á otra canongía de la ig!esia metropolitana de Valen.ia, á D José Antonio Sainper : para otra canongía de la iglesia catedral de C diz, vacante por m…</t>
  </si>
  <si>
    <t>Espinosa, Manuela González de</t>
  </si>
  <si>
    <t>Manuela González de Espinosa</t>
  </si>
  <si>
    <t>…, y en Salamanca á su padre D. Domingo Osorio, teniente coronel de infantería retirado. El cura párroco de la villa de Ares, arzobispado de Santiago, desea saber la re sidencia de Doña Manuela González de Espinosa, para comunicarla asuntos que la interesar. Se dírsea saber el paradero de D. Francisco Casal y Morado, teniente de tira dores del regimiento provincial de Monterey , cuya existencia se ignora desde los primeros ataques que hubo con los franceses hacia Salama…</t>
  </si>
  <si>
    <t>Espinosa, Miguel</t>
  </si>
  <si>
    <t>Miguel Espinosa</t>
  </si>
  <si>
    <t>…Gabriel del Risco. En el regimiento de Lambayeque compañía al teniente D¿ Antonio Agustiot. v. En el de Urubamba el empleo de teniente coronel al sargento mayor del propio cuerpo D. Miguel Espinosa. ^ E-n ei de Aragón de Jauja el empleo de coronel 3 D. Marcelo Grana dos , teniente coronel del mismo. En el batallón de Puno el empleo de coronel al teniente coronel del ¡pro-6 pió cuerpo D. Rufino Bercolme.</t>
  </si>
  <si>
    <t>Espoz</t>
  </si>
  <si>
    <t>…r oposición, y aun manifestación de su imposibilidad, como sucedió al alcalde del pueblo de Larraga, persona condecorada y de distin—‘ cíon, dispuso con acuerdo del auditor que el general Espoz pusiese inme diatamente en libertad al referido alcalde j y diese5 cuenta del origen de la prisión ; á cuya orden contestó-Espoz con. fecha de. 6 que había pedido in-: forme acerca de la prisión, quedando á su cargo pasarlo á conocimiento del virey, y repinó…</t>
  </si>
  <si>
    <t>Essen</t>
  </si>
  <si>
    <t>…a de la Noruega, y por ellos se manifiestan bien el corazón y sentimientos mpgnáirimcs del Rey. Va á convocarse una nueva dieta para fines de Setiembre ó principios de Octubre. £1 conde Essen está nombrado gobernador general de la Noruega. ESPAÑA. Madrid 79 de Setiembre. La imprenta Real, sumamente aumentada después de so establecimien to, y en especial desde qne se agregaron á ella las oficinas de fundición de le tras y de calcografia, hacia espe…</t>
  </si>
  <si>
    <t>Essen, Adierkreux y</t>
  </si>
  <si>
    <t>Adierkreux y Essen</t>
  </si>
  <si>
    <t>…o á esta provincia, asimismo que el re gimiento real sueco. Dentro de poco todas las tropas se hallarán reunidas/y prontas á obrar contra la Noruega, con el cuerpo dé exército del general Adierkreux y Essen, en el caso de que aquellos habitantes insistan en opo nerse á su reunión con la Suecia. PRUSIA. Berlín 8 de Junio. , ___ j En el dia no se habla de otra cosa sino de los grandes negocios' que ha# de arreglarse en el congreso de Viena. Se cree que la Prusia n…</t>
  </si>
  <si>
    <t>Estado, Secretario de</t>
  </si>
  <si>
    <t>Secretario de Estado</t>
  </si>
  <si>
    <t>221 í f . ’ 1 : : { AATICUtO DÉ OFICIO. ■ ' El general éfo gefe del quarto exército ha camónicado aI Sr. Secretario de Estado y del Despachó de la Guerra lo siguiente: ,, Aconipaño á-V. E. Iív adjunta relación que el Excmo. Sr. conde de JBerbedel rae liadi rígido , en laí que verá V. E. los donativos patrióticos quetmuchosí'Vecinos del pueblo de* Argandá han.hecho eti' alivio de ¡lo…</t>
  </si>
  <si>
    <t>…nocimiento de S. A. la Re gencia del Reyno. Dios guarde a V.. E. muchos años. Quartel general de Gerona 24 de Marzo de 1814. = Excmo. Sr. zz Francisco de Copons y AVVia. zz Excmo. Sr. Secretario de Estado y del Despacho de la Guerra.” MADRID EN LA IMPRENTA NACIONAL.</t>
  </si>
  <si>
    <t>…eneral en gefe é intendente, esperando que merecerá la aprobación de S. A---- Dios guarde á V, E. muchos años. Gerona 27 de Marzo de 1814.= Excmo. Sr. z=:Valentin Llocer.zz Excmo. Sr. Secretario de Estado y del despacho de Ja Gobernación de la Península/' Itinerar io que seguirá S. M., su Real Familia , comitiva y acom pañamiento desde ia ciudad de Cíe roña á la raya de la pro vincia de Valencia. Lunes 28 de Marzo.. De Gerona á Calella......... ........... 10…</t>
  </si>
  <si>
    <t>…versal de Gracia y Justicia , ha comunicado al Excmo. Sr. Duque del Infantado, Presidente ael Consejo, con fecha 25 de Agosto último, la Real orden que dice asi: ,, Excmo. Sr.: El Sr. Secretario de Estado y del Despacho del mismo negociado me dice con fecha de 12 de este mes de orden de S. M. lo si guiente: ,, Excmo. Sr.: Habiendo llegado á noticia del Rey que en la Isla de Cór cega y en la de Capraya se ha manifestado una enfermedad epidémica, se ha dignado m…</t>
  </si>
  <si>
    <t>…ia y cumplimiento en la par te que Je toca. Dios guarde ¿ V. muchos años. Madrid de Octubre de 1814. Al Director general del Real Cuerpo de Artillería se ha dirigido por el Excmo. Sr. Secretario de Estado y dei Despacho de la Guerra con fecha de 7 del actual el Decreto siguiente: „ Al Sr. Secretario interino de Estado y del Despacho de Hacienda digo con esta fecha lo siguiente: Enterado el Rey de la buena conducta que ha observado en los depósitos de Francia e…</t>
  </si>
  <si>
    <t>2090</t>
  </si>
  <si>
    <t>…” ARTICULO DE OFICIO. Circular de la Real Tesorería general. Con fecha 8 de Setiembre último me comunica el Sr. Secretario del Des pacho de Hacienda la Real orden siguientes ,, El Sr. Secretario de Estado y del Despacho de la Guerra con fecha 28 de Agosto último me dice lo que sigue: El Rey ha tenido á bien mandar que el Regimiento de infantería del Príncipe, que se halla en el Exército d§ Cataluña, continúe denominándose del Príncipe, conservando la antigüeda…</t>
  </si>
  <si>
    <t>ARTICULO tíE CfclCIO. • j; * * '■ . í ¿ ? ‘ • ‘ •* • t # ■ --r:¿ r • ■ Circulares del Mini¿tcria de Guerra. ; ,,Ti\ ih A. i.a El Sr. Secretario de Estado y del Despacho universal de Indiás en del presente mes me ha comunicado lo que sigue: ' ‘ I „El 5 del corriente resolvió el Rey nuestro Señor enviar á Nueva-Es^ paña una expedición de ocho mil hombresj, al cargo del Mariscal "de CarrTpc* D. Pascual tiñan, y e…</t>
  </si>
  <si>
    <t>…so. Palacio d veinte y cinco de Noviembre de mil ochocientos y catorce; = YO EL REY. = A D, J-uan Garrido. Circular de la Tesorería general. . r En 15 de Octubre ultimo me dice el Sr. Secretario de Estado y del Despacho de Hacienda lo que sigue: ‘ „Con esta fecha digo á la junta de Montes píos lo que sigue: El Rey se ha enterado de la consulta que V\V: SS. me han remitido en 10 de Se-’ fiembré último sobre la éxclusion del Monte pío del Ministerio de todos los…</t>
  </si>
  <si>
    <t>Gaceta de Madrid n.º 166 (extraordinaria)</t>
  </si>
  <si>
    <t>…..1T .00í.'r • i j‘j OJ;&lt;iJ-.0 ’.J i.' ■ i*)jiü , *r IijÍ. • ’ ¿ O -* - i.* 1i C; .1 - # . ;'J3 • L¿&gt; ü-r.íntr..; .« I :,i;r ARTltiüXÓ DBOFIÓlO. ‘ cv; ■ !ü : ; J -n&gt; .;; EhExcriuU Sr. Secretario de Estado y del Despacho;universal derí fcdíás' ha racíbído? el oficio siguiente (del virey de Nueva-Españaí&gt;¿-'Péli* Mafia (DaUé]*: ¡u, t&gt; *&lt;h vn-a.c in-r, noihobi .... -uin 1 EstcmoA Sn i subsistiendo eaun intetrqmpidanla ~común icaciótf' con VfcíaíírUa'* por las fca…</t>
  </si>
  <si>
    <t>Estado, Secretario del Despacho de</t>
  </si>
  <si>
    <t>Secretario del Despacho de Estado</t>
  </si>
  <si>
    <t>942</t>
  </si>
  <si>
    <t>…u cumplimiento, = Señalado de ia Real mano de S. M. En Palacio á 18 de Agosto de 1814. = Al Secretario del Con sejo de Hacienda.” Circular del Ministerio de Jtlacifndá* • • r;« El Sr. Secretario del Despacho de Estado, con fecha de \% del corriemte, me dice lo que sigue: ^ . ¡ .ó Excmo. Sr.: habiendo llegado 4 noticia del Rey que en la Isla de Cór cega y en la de Capraya se ha manifestado una enfermedad epidémica; se ha dignado mandar S. M- que la incomunicación decretada…</t>
  </si>
  <si>
    <t>Estal, Lorenzo del</t>
  </si>
  <si>
    <t>Lorenzo del Estal</t>
  </si>
  <si>
    <t>2020</t>
  </si>
  <si>
    <t>…dro Ramírez de la Piscina al obispado de Ciudad Rodri go, á D. Pedro Ignacio Garbiso: para una capellanía de Sres. Reyes nue vos de Toledo, vacante por muerte de D. Pedro Guaza, á D. Lorenzo del Estal, cura párroco de la villa de Venturada, en 1&gt; misma diócesis de Tole do ; y para el arciprestazgo de Herrera de rio Pisuerga, diócesis de P. lencia, vacante por promoción de D. Saturnino Sta. María á una canongía de la iglesia metropolitana de Burgos, á D. Be…</t>
  </si>
  <si>
    <t>Estanga, Francisco</t>
  </si>
  <si>
    <t>Francisco Estanga</t>
  </si>
  <si>
    <t>…tres mil duros i que D. Jaywie Doz, que lo es del de esta corte, satisfaga la de mil duros: que D. Juan Doz, su hijo, lo haga de la de seiscientos.ducados: que D. Láza ro de Rada, D. Francisco Estanga, D. Manuel de Córdoba, D. Juan Bau tista Maygñen , Doña Luisa Robinet y Dominica Grifón, pague cada uno la multa de doscientos ducados, haciéndoles entender lo desagradable que me ha sido su conducta , y que no den lugar á que se sospeche mas de ella; pre vin…</t>
  </si>
  <si>
    <t>Estanga, José</t>
  </si>
  <si>
    <t>José Estanga</t>
  </si>
  <si>
    <t>…onde en, el desempeño de su destino., porque en otro caso será castigado severamente. Recójanse los veinte mil reales depositados en el D. Jayme Doz y los doce rail que existen en D. José Estanga, vecino de Cdatayud; y uno y otro</t>
  </si>
  <si>
    <t>Esteban</t>
  </si>
  <si>
    <t>…ayuntamiento de la ciudad de Alcalá de Henares, compuesta de los Sres. D. José Antonio Rayón, al calde; D. Lorenzo de la Torre, regidor; D. Fernando Sabugo, procurador síndico , y D. Esteban -Azaña , escribano, en cuya ocasión el primero pro nunció «^discurso siguiente; t ... k &gt;</t>
  </si>
  <si>
    <t>Estéban</t>
  </si>
  <si>
    <t>…ervido conferir la tenencia comandancia del resguardo de Córdoba á D. Antonio de Aroca, comandante con el grado de capitán del extinguido esquadron de húsares francos de Vallecas. D. Estéban y D. Juan José Rodríguez , hermanos , canónigos de la san ta iglesia colegial de Añtequera, han ofrecido á S. M. la mitad del producto de sus respectivas prebendas en eí año corriente para auxilio de las necesi dades del estado ; cuya oferta se ha dignado S. M. aceptar, mandando se h…</t>
  </si>
  <si>
    <t>Estéfani, Francisco González</t>
  </si>
  <si>
    <t>Francisco González Estéfani</t>
  </si>
  <si>
    <t>…apellanes de honor á D. Ma tías Vinuesa López de Alfaro; á D. Blas Ostoiaza, y á D. Alfonso Ximenez de Cisneros. Los honores del consejo de Hacienda á D. Manuel López de Araujo, á D. Francisco González Estéfani, á D. Francisco Ortiz Taraa* co, á D. Nicolás Lamiel, y á D. José Teodoro Santos. Conformándose el Rey nuestro Señor con el parecer de su consejo supre mo de la Guerra, se há servido declarar por distinguida y digna de premió la acción del puente de S. Andrés…</t>
  </si>
  <si>
    <t>Estefani, Francisco González de</t>
  </si>
  <si>
    <t>Francisco González de Estefani</t>
  </si>
  <si>
    <t>…par de Roeabjruna, D. José Ma ría de Torrijos, D. Gaspar Dirweil, D. Gregorio Piquero, D. Joaquín de Ribicoa, y D. Leoncio Carrasco. La gracia que concedió el Rey nuestro Señor, á D. Francisco González de Estefani de ios honores dél consejo de Hacienda, es la de antigüedad del mismo tribunal, entendiéndose desdeT.° de Abrí! último. El Rey nuestro Señor, á consulta de la junta del Crédito público, ha tenido á bien resolver por sa Real orden de 9 del corriente que la ren…</t>
  </si>
  <si>
    <t>Estefanía, León González del Camino y</t>
  </si>
  <si>
    <t>León González del Camino y Estefanía</t>
  </si>
  <si>
    <t>…Botella; de U.ciés á D. José Mari s de Eguizabal; de Manzanares á D. Félix González Vizcaíno; de Brozas á Don Agu.tin Lozano; de Ceclavin á D. José Potes y Puig; de Pedro Muñoz á D. León González del Camino y Estefanía; de la Mota del Cuervo á</t>
  </si>
  <si>
    <t>Ester, Pablo</t>
  </si>
  <si>
    <t>Pablo Ester</t>
  </si>
  <si>
    <t>…n, el conde Bubna, su escudero mayor; el conde Juan dé Traúttmansdorf; los generales barón Duka; Kutschera, primer edecán del conde Manuel Wratisia; el príncipe Luis de Rohan y el príncipe Pablo Ester3zi. Tres destacamentos de las guar dias de los nobles de' Alemania, de Hungría y de Bohemia formaban tam bién parte del ostentoso acompañamiento. El concurso de gentes en toda la extensión de Un camino tan largo era inmenso, y por todas partes han re sonado l…</t>
  </si>
  <si>
    <t>Esteve, Rafael</t>
  </si>
  <si>
    <t>Rafael Esteve</t>
  </si>
  <si>
    <t>…en la librería de Perez, calle de las Carretas. Retratos de espinóles que se han hecho dignos de la gratitud de su nación por sus distinguidos servicios, grabados por los artistas D. Rafael Esteve, D. Blas Ameller y D. Tomas López Enguádanos, profesores conocidos por su distinguido mérito: contiene el primer quaderno que se da al público los retratos del marques de la Romana, D. José Palafox y Melcy, D. Martin de la Carrera, el Empecina do , D. Juan Pa…</t>
  </si>
  <si>
    <t>Estrada, Domingo</t>
  </si>
  <si>
    <t>Domingo Estrada</t>
  </si>
  <si>
    <t>698 En este mismo día fueron admitidos también á cumplimentar á S. M. una diputación del ayuntamiento de la M. N. é I. ciudad de Zaragoza , com puesta de D. Domingo Estrada y D. Juan José Baerla, regidores; y disgíendo aquel la palabra á S. M. se expresó en estos términos: ,, Señor: el ayuntamiento de la ciudad de Zaragoza repite por segunda vez a V- M. el testimonio mas ardiente de su fidelidad , añadiéndolo á aquel que ofreció á S R. P. entre las r…</t>
  </si>
  <si>
    <t>Estrada, José</t>
  </si>
  <si>
    <t>José Estrada</t>
  </si>
  <si>
    <t>…ieron á aquel punto á la cabeza de la nu'estra para rechazarlo, como io consiguieron; en cuyo encuentro se distinguieron el teniente de fragata D. Juan Bermuy y el guar dia marina D. José Estrada. El enemigo perdió en este reencuentro mucha gente entre muertos, heridos y caídos al agua; y se dexó correr para la popa , en donde impunemente batió al bergantín , que no obedeciendo al ti món ni aparejo, no pudo presentarle el costado , y ya no habia queda…</t>
  </si>
  <si>
    <t>Estrada, Nicolás de</t>
  </si>
  <si>
    <t>Nicolás de Estrada</t>
  </si>
  <si>
    <t>Julián de Retatnosa, D. Nicolás de Estrada y D. Juan Ruíz de Apodaca; entendiéndose por lo que respecta á este general y á D. Juan Viliavicencio, para el caso en que S. M. se sirva disponer el relevo de los destinos en que hoy se hallan; al gefe de esquadra jt). José de Espinosa Tello secretario con voto; al de igual-clase D.…</t>
  </si>
  <si>
    <t>EU, Eusebio</t>
  </si>
  <si>
    <t>Eusebio EU</t>
  </si>
  <si>
    <t>…arques de Villafranca, ministro de ella; Don Luis del Rio y del Barrio, presbítero y coadjutor del ministro; D. José Pé rez Ochoa y Sevillano, presbítero y secretario de gobierno; D. Eusebio EU gueta Vigil de Quiñones, secretario de enfermería; D. Félix María de Zurbano, procurador general; D. Juan Agustín Lepez Moron, presbítero, vi cario del culto divino, y el conde de Alba Real de Tajo, vocal; el primero de los quales habló en ios términos siguie…</t>
  </si>
  <si>
    <t>Eugenio</t>
  </si>
  <si>
    <t>…se de agricultura de la real sociedad económica de Madrid: 16 tomós en 4.0, á 30 rs. cada uno en rústica. Se hallará en el despacho de la imprenta nacional. Elogio fúnebre del Dr. D. Eugenio de la Peña, catedrático del colegio nacio nal de S. Carlos*, por su amigoT). Ramón López Mateos. Véndese en la librería de Hurtado, calle de las Carretas. - ■— , , - — ■ ■■■ 1 .■ ■ ■■ - ,‘w1 MADRID EN LA IMPRENTA NACIONAL.</t>
  </si>
  <si>
    <t>…ífice á aquella capital el 21 del corriente, y que el general napolitano Pignatelli entregó á S. S. el gobierno de aquella ilustre metrópoli. Milán a 8 de Abril. Se asegura que el príncipe Eugenio salió con toda su familia para Veroña. * El cornejo municipal ha declarado que la guardia cívica ha merecidp btea de la patria por la conducta que ha observado durante los acontecimientos ocurridos en esta ciudad. La regencia provisional acaba de decretar lo…</t>
  </si>
  <si>
    <t>…, ] r*7 GACETA DE MADRID DEL MARTES 31 DE MAYO DE 1S14. ITALIA. Milán 24 de Abril. El teniente general conde Grenier lia tomado el mando en gefe def exércuo de Italia de orden del príncipe Eugenio. El 16 de este mes se celebro-el siguiente convenio entre los exércitos de las potencias aliadas en Italia y el que está al mando del príncipe Eugenio. Los infrascritos, después de haber cangeado los plenos poderes que tie nen de sus generales en gefe respect…</t>
  </si>
  <si>
    <t>…zclaron con el concurso que se hallaba allí, y hablaron con grande afabilidad á todos, llevando su política hasta el ex tremo de hacer lugar para que se acomodasen las señoras. El príncipe Eugenio llegó ayer á París, é hizo una visita al rey á las 3 de la tarde. Luis Bonaparte está en camino para la Stiria, donde ha pasado muchos años. Gerónimo Bonaparte llego el 25, de Abril á Neufchate!, y el 27 salió para Arberg. . , . José Bonaparte se propone toma…</t>
  </si>
  <si>
    <t>…tivos cuerpos, baxo las ór denes de los príncipes nombrados coroneles generales. El 15 de Mayo fue el emperador de Rusia á comer al palacio de S. Leu, cerca de Montmorency, con el príncipe Eugenio, su madre y su her mana: el rey ha nombrado á este príncipe mariscal de Francia.__ Ha ha bido en Paris algunas riñas entre las tropas de las diferentes naciones; pero se tranquilizaron ios ánimos con las providencias vigorosas que se tomaron, asi como contra…</t>
  </si>
  <si>
    <t>7^5 Hyde-Park. Jamas se ha visto un espectáculo militar mas magnífico. Des pués de ia revista se publicó la paz con grande solemnidad yaparato. FRANCIA. Parts 2j de Junio. v El príncipe Eugenio marchará muy pronto á Munich, y se asegura que ha tenido una audiencia del Rey para irse. También se dice que quando se arreglen las cosas de Alemania en el congreso que se ha de celebrar ea Víe— na , le nombrarán Príncipe del imperio con una soberanía. ESPAÑ…</t>
  </si>
  <si>
    <t>…onde •esperará á que.se decidaja suerte de esto&amp; palses. Augspurgo de Julio. Sé asegura que la ciudad de Tréveris, con una parte del antiguo elec torado de este nombre, se dará al príncipe Eugenio. “ ' GR A N BRETAÑA.:/^ ; .-T^ ■ r • r Londres jj de Julio. , Se han publicado de oficio en nuestra gaceta los detalles de un combate</t>
  </si>
  <si>
    <t>…iente general de Decken, del te niente coronel Reynett, del inspector Bischoffshausen, del mayor Linsingen, y de los, capitanes Da vis y Prott. BAVIERA. Munich *7 de Setiembre. El príncipe Eugenio salió de aqui en la tarde del 2 5 con dirección á Viena • • ..... . •, c. .•" El feld mariscal príncipe de YVrede, que tambien. se encamina á Viena, ha sido recibido en todo el camino con las &gt;tna$.^expresivas demostraciones de regocijo. ESPAÑA. : Madrid ro d…</t>
  </si>
  <si>
    <t>…elipe Martin Manrique, ^calificador del santo oficio de la Inquisición de Valladolid: para el beneficio de la villa de Mondejar en el arzobispado de Toledo , vacante por muerte de D. Eugenio;Ló pez Soldado , á D. Saturnino Legaspi: para ia media prestamera de Baylen, vacante pór muerte de D. Mateó González, á D. Juan Manuel Gil López de lá°Mota: para el beneficio préstamo de Fuente el Rey, vacante por fa llecimiento de Di Antonio Rbfcó Cajoneé, y…</t>
  </si>
  <si>
    <t>Eulate, Fermin Alvarez de</t>
  </si>
  <si>
    <t>Fermin Alvarez de Eulate</t>
  </si>
  <si>
    <t>…besar la mano á S. M., como diputados del cabildo de la santa iglesia catedral dé Osma, D. Pablo Pedro de la Rocha» del hábito de Santiago, deán; D. Manuel Vetarde, ca nónigo , y D. Fermin Alvarez de Eulate, canónigo doctoral de la misma santa iglesia; el primero de los quales habló en estes términos: ,, Señor: el cabildo catedral de Osma, siempre fiel á sus Reyes, nos en vía hoy para renovar á V. M. sus profundos sentimientos de amor y fide lidad , tanto mas de…</t>
  </si>
  <si>
    <t>Evaña, Bernardino</t>
  </si>
  <si>
    <t>Bernardino Evaña</t>
  </si>
  <si>
    <t>…anuel delturralde, p. Miguel Barcaiztegui, D. Juan Francisco de Elizalde. Hicieron de jueces para la decisión el teniente general D. Pedro Agustin Girón, el con de de Torre-Alta y D. Bernardino Evaña. S. M. manifestó dorante el par. tido un semblante el mas placentero y satisfactorio para los referidos juga dores , que tuvieron el honor de proporcionarle tan sencilla y pequeña divet-f $¡on.</t>
  </si>
  <si>
    <t>Exarque, Luis de</t>
  </si>
  <si>
    <t>Luis de Exarque</t>
  </si>
  <si>
    <t>…rihuela, vacante por muerte de D. Gabriel Andu ez2: á D. Gerónimo Merino para una canongía de la metropolitana de Valencia, vacante por fallecimiento de D. José Faustino Alcedo: á D. Luis de Exarque para otra de la misma, vacante por muerte de D. Francisco Vailejo: á D. Manuel de Roa para otra de la misma iglesia, vacante por fa llecimiento de D. Francisco María Vich; y para otra canongía de la metro politana de Valencia , vacante por muerte de D. Vicent…</t>
  </si>
  <si>
    <t>Excmo</t>
  </si>
  <si>
    <t>…ré sin encontrar ninguna oposición, y dexando en él el 2.0 y 3.0 regimien to, pasé con el r.° á S. Martin de Arrosa , donde permanecí hasta el dia 16, en que recibí orden de dicho Sr. Excmo. para que me acantonase en las in mediaciones de S. Juan de Pie de Puerto, y bloquease estrechamente di cha piaza. En efecto, me puse en marcha el mismo dia 16 llegando á la vis ta de S. Juan con los regimientos, y arrojando á los enemigos de tres re ductos q…</t>
  </si>
  <si>
    <t>…su situación lo favoreció para alejarse de nosotros en una dispersión muy vergonzosa y poco consecuente á las atrevidas intima Iones que había hecho á esta ciudad. Tengo el honor, Sr. Excmo., de comunicar á V. E. que el rebelde Mó telos ha perdido en las tres acciones 1500 hombres muertos, 30 piezas de to dos calibres, multitud de municiones, todo su campamento, víveres y otras menudencias ' Ademas ha huido con solos 100 hombres por las aspereza…</t>
  </si>
  <si>
    <t>…situación los favoreció para alejarse de nosotros en una dispersión muy vergonzosa, y poco consecuente á las atrevidas intimaciones que habían hecho á esta ciudad. Tengo el honor, Sr. Excmo., de comunicar á V. E. que el rebelde Mo relos ha perdido en las tres acciones 1500 hombres muertos, 30 piezas de todos calibres , multitud de municiones, todo su campamento, víveres y otras menudencias. Ademas ha huido con solos roo hombres para las aspereza…</t>
  </si>
  <si>
    <t>…. por la feliz restitución al solio pontificio de Ntro. Smo. P. Pío vn, lo que verificó dicho canónigo el 24 de este mes, entregando cartas gratulatorias de su cabildo al referido Sr. Excmo. para S. S. y para S. E., á quien habló ademas en los términos siguientes: ,, Excmo. Sr.: á nombre del cabildo de la insigne iglesia colegial del Sa cro-Monte, extramuros de la ciudad de Granada , como individuo y diputa do suyo tengo el honor de ofrecer á la…</t>
  </si>
  <si>
    <t>IOíV se resienta con singularidad del golpe que le hiere, y que del mismo modo se restablezca v regocije en el momento de su restauración. „ AVi es, Sr. Excmo, que según la profundidad de su dolor, no parece sino que sobre sola la colegial del Sacro-Monte de Granada cayeron en nuestros malos dias los oprobios de los impíos exprobadores, que se atrevie ron a insultar en su misma persona, y en la de V. E. su legado,…</t>
  </si>
  <si>
    <t>Ezpdeta, Juan Bautista</t>
  </si>
  <si>
    <t>Juan Bautista Ezpdeta</t>
  </si>
  <si>
    <t>…. Juan de la Nava, en la diócesi de Avila, á D. José Lucas y Ramospara la presentera de las villas de Belalcazar é Hinojosa, en la diócesi de Córdoba, vacante por fallecimiento de D. Juan Bautista Ezpdeta, á Don 'i, j w1?0,?. J^steasu&gt;a,n i Para el beneficio de la parroquia de Sta. Ceci lia de Medeihn, en el obispado de Plasencia, vacante por haber emprendido la carrera de las armas, y no saberse su paradero, D. Juan de Sarasa, á Don Gerorumo de Sarasa ,v para…</t>
  </si>
  <si>
    <t>Ezpeíeta, D José de</t>
  </si>
  <si>
    <t>D José de Ezpeíeta</t>
  </si>
  <si>
    <t>…ado á pie por la pedida de su caballo. El auxilio que me prestó este general lo consi dero como una de las cosas que mas; corjtribu}»eron á ^victoria. Las heri das que. recibió el brigadier D José de Ezpeíeta me privaron de su asistencia desde la mañana, y la quarta división que mandaba quedó desde muy tem prano sin este digno gele, que en todas ocasiones ha manifestado su méritó</t>
  </si>
  <si>
    <t>Ezpeleta, Di José</t>
  </si>
  <si>
    <t>Di José Ezpeleta</t>
  </si>
  <si>
    <t>…otivos para estar satisfecho de la conducta.del teniente, general D. Manuel Freyre,&lt; del de igual clase D. Ga briel Mendizabal, y del mariscal de campo D? Pedro de la Barcena, dei brigadier Di José Ezpeleta , del mariscal de campo D. Antonio Garcés de MarciÚá-', y del géfe del Estado * mayor1 del quarté-exército D. Estanislao Sanche^ Salvador. Los Oficiales y tropa se;por'taróitr,bien''e« todos los ataques* qtie sucesivamente sé dieron , después dé haberse vuélt…</t>
  </si>
  <si>
    <t>Ezpeleta, José</t>
  </si>
  <si>
    <t>José Ezpeleta</t>
  </si>
  <si>
    <t>…uellos cubrían en fren te de Bayona. La primera brigada de la quinta división, al mando del co ronel D. Francisco Plasencia, y las dos de la quarta, al de su comandante general el brigadier D. José Ezpeleta, fueron encargadas de aquella opera ción , que han executado, desalojando á los enemigos de todos los puntos que ocupaban al amanecer, hasta dexarlos encerrados en el campo atrinche rado que tienen delante de la plaza. Han mantenido todo el dia un fuego de gu…</t>
  </si>
  <si>
    <t>Ezpeleta, José María de</t>
  </si>
  <si>
    <t>José María de Ezpeleta</t>
  </si>
  <si>
    <t>…. Mi guel Ignacio Mari mon, D. Pedro Dávalos Santa María, D. Vicente Osorio, D. Joaquín Ibarra, D. Guillermo Parker Carrol , D. Juan de Pontous y Moxica , t D. José de, Aymerich , D. José María de Ezpeleta., D. José de O-Lawlor, D. Manuel de Artazo, D» Francisco D’IIautregard, D. José</t>
  </si>
  <si>
    <t>Fa</t>
  </si>
  <si>
    <t>…el resto de la segunda división y la quinta, del mando del brigadier D. Juan Martin, que se hallaban dis puestas á executarlo.-El batallón de Molina quedó en Cherta al cargo de su coronel D. Fa cu fleta- Afarcon, y también el coronel ayudante general de ntado-mayor D. Manuel Rodríguez Fito, con objeto de disponer el bre te paso del ri&amp;podás' tropas, y situar dos cañones, que se dexaron con el</t>
  </si>
  <si>
    <t>…cia, ,á D. Antonio Garcimartin. . . - r . • * • \ , t &gt; . ; • ,i .j- - . r» * i i - ■ ' .( - - » • ^ J , • C , t. • J ' ' Un vecino,de Lugo impulsado de su adhesión al Rey nuestro Señor Fa remitido por via de donativo una barra de oro de peso de 50 onzas con. Ja calidad de que no $e publique su nambr é Ty-én cbnsecuen c ia -ha mandado “S. *M. que se publique enría gaceta esta generosa;ódefoo&amp;trácioo &lt; cl amor-á ¿u.Real Persona. ■' ^ ' -1 u Dese…</t>
  </si>
  <si>
    <t>Fabian, Francisco</t>
  </si>
  <si>
    <t>Francisco Fabian</t>
  </si>
  <si>
    <t>…de Medellin á •D. Feliciano Centeno: .para Ja de Guadalaxara á D. Estéban Rodríguez Ga llego: para la de Laseca á D. Pablo Blanco Caballero: para el corregi miento de Calahorra á D. Francisco Fabian: para el corregimiento de Es^ ¿epa á D. Manuel Valdes; y para que sirva interinamente el de Jaén á Don Carlos Carabantes, comandante de armas de aquel rey no. También se ha servido nombrar S, M. para la capitanía general del prin*cipado de Cataluña, con la pr…</t>
  </si>
  <si>
    <t>Fabrat, D Víctor</t>
  </si>
  <si>
    <t>D Víctor Fabrat</t>
  </si>
  <si>
    <t>…erinamente del estado mayor de la brigada, por el tino y serenidad con que comunicó sus órdenes, cruzando continuamente ios fuegos enemigos; y al capitán Don Sebastian Capdevila y teniente D Víctor Fabrat, que hallándose casual mente en aquel punto para pasar la revista dé comisario de Enero, acom pañaron al brigadier durante la acción. =;E1 ayudante general gefe de esta-’ do mayor = JF. AT. Gabanes. Idem En este quartel general se ha publica io hoy la s:guien…</t>
  </si>
  <si>
    <t>Fadrique</t>
  </si>
  <si>
    <t>202 ) ,,Señor: te villa de ls Puebla dé D. Fadrique, ^nc fue de tes primeras que proclamaron á V. M. en 1808, y que tiene la gloria de que todos sus hijos se hayan conservado fieles á V. M., sin que ni uno solo se haya de clarado por el intruso, &lt;5 se haya contaminado con las máximas de los no vadores, nos ha…</t>
  </si>
  <si>
    <t>Fagel</t>
  </si>
  <si>
    <t>…. Extracto de un oficio del conde de Clonearty recibido en esta secretar (a, Haya 5 de Febrero. El príncipe de Orange rae participo esta mañana que acababa de recibir un parte del coronel Fagel, reducido á noticiarle la rendición -de la plaza de Gorcum por capitulación. S. A. R. no pudo infor marme de las condiciones de esta por no haberlas recibido con el parte. Des pués he visto á Mr. Bentinck, ministro del departamento de la Guerra* quien me ha d…</t>
  </si>
  <si>
    <t>Fal, José</t>
  </si>
  <si>
    <t>José Fal</t>
  </si>
  <si>
    <t>…D. Felipe KeatingRoche, y D. Francisco Cabrera. A mariscales de campo á los brigadieres D. Miguel de los Ríos , D. Car los de Gunchi, D. Bartolomé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t>
  </si>
  <si>
    <t>Falcon, José María</t>
  </si>
  <si>
    <t>José María Falcon</t>
  </si>
  <si>
    <t>…de id. D. Martafio Castell, teniente coronel, sargento mayor de la Corona. D. Tomas Noriega, teniente de id D. Mariano Canalls, subteniente de id. D. Ventura Noguérra, id. de id. D. José María Falcon, sargento mayor del de Ri bero. D. Ramón de Castro, capitán de id. D. Pedro Neyra, teniente de id. XX Ruperto Otero, id. de id. D. José Sousa, subteniente de id. D. Mi guel Santos, id. de id. D. Tomas Nogueyra, id. de id. D. Francisco Villariño, id. de id. D&gt;…</t>
  </si>
  <si>
    <t>Fane</t>
  </si>
  <si>
    <t>…fuerza destacada del exército del mariscal Suchet, que salió de Cataluña en la última semana de Febrero.__ Durante esta detención envié el dia 7 un destacamento i las órdenes del general Fane á tomar posesión de Pau, y otro baxo el mando del mariscal Beresford para que se posesionase dé Burdeos___.Tengo el gusto de informar á V. E. íque el mariscal llegó allí el dia de ayer después de haberse retirado del otro lado del Garona la pequeña tuerza que…</t>
  </si>
  <si>
    <t>…aquella noche y dias siguientes, y ayer llegó á !a ciudad de Toiosa. Sus tropas :han marchado con tal celeridad, que exceptuando la vanguardia de la caballería, que manda el mayor general Fane, pertenecien te al cuerpo del teniente general sir Rowland Hill, que atacó su retnguar- . día en St. Gaudens, no han podido nunca nuestras tropas venir á las-ma nos con ellas. Incluyo á V. E. el parte de esta acción que da el mayor ge neral Fane al teniente g…</t>
  </si>
  <si>
    <t>Faraudo, María Teresa</t>
  </si>
  <si>
    <t>María Teresa Faraudo</t>
  </si>
  <si>
    <t>…Galdón», Don Joaquín Diego de Saracoiz, Doña María Concepción Antonia de Umendia, D. Vi cente Joaquín de Barrutia, Doña Josefa Joaquina de Aizolares, D. Joaquiu María ¡BarróeVi , Doña María Teresa Faraudo, Doña María Antonia de Goycneche é Indaburu, con el citado consulado de Cádiz sobre paga de los réditos de los capita les qde le prestaron sus causantes ; y como hallándose estos autos suspensos, hecho ya é impreso el memorial ajustado, con citación, desde el…</t>
  </si>
  <si>
    <t>Farquar</t>
  </si>
  <si>
    <t>113: é capitán Farquar desde Gluckstadt, su fecha 2 y 6 &lt;íel corriente ^participan do que después de 16 días de sitio y seis de bombardeo, se rindió por ca pitulación la plaza de Gluckstadt á los ofiJales que mandan la esquadrilla inglesa y-á una división del exército sueco. La gua…</t>
  </si>
  <si>
    <t>Farquhar</t>
  </si>
  <si>
    <t>…os buenos franceses. Los fuertes de Carlsburgo y Blexen han sido tomados por un destaca mento á las órdenes del coronel Riedinger., auxiliado por un bergantín ingles del mando del capitán Farquhar: en esta ocasión se cogieron 20 oficiales, 534 sargentos y soldados, y 30 piezas de artillería. La navegación del Weser está ya libre. El pueblo de Stade, fuerte por hallarse situado en medio de un terreno pantanoso, estaba ocupado por una numerosa guarnición…</t>
  </si>
  <si>
    <t>Faulcon, Félix</t>
  </si>
  <si>
    <t>Félix Faulcon</t>
  </si>
  <si>
    <t>…den alfabético de los miembros del cuerpo legislativo que se han adherido al asta constitucional. El conde Henrique de Montesquiou, vice-presidente. El caballero Bouchet, ídem. El caballero Félix Faulcon, ídem. El barón Boidi de Ardizoni, ídem. El caballero Chauvin de Bois-Savary , Laborde, secretario. Estanislao Baure, ídem. Aber, Barrot, Bassenge (L), Blanqjuart de Bailleul, Botta, BruysCharly-Caze de la Bove, Cazenave, Cavagnary, Challan ( le Chevalier) Ch…</t>
  </si>
  <si>
    <t>Faus</t>
  </si>
  <si>
    <t>…a D. José María Andion y Saavedra; y para la prestamera de la parroquia de Sta. María de CUdavedo, en la diócesi de Oviedo, vacante por fallecimiento de D. Juan Manuel González, á D. Faus tino García Loredo. , En virtud de despicho requisitorio librado por el juez de letras de la ciudad de Sevilla D. Juan Perez de Mafure , refend.ido por el escribano D. Antonio Domincriif*.7 - V ciimnlim^ntsi-ln r,r\r C. O C--------i * , . , i, pe na en autos,…</t>
  </si>
  <si>
    <t>Fe</t>
  </si>
  <si>
    <t>…José de Zayas Fernandez de Córdoba. También se ha servido nombrar. S. M. para quatro plazas de oidor de ía chancillería de Granada á B. Andrés Subiza, D. Mateo Bautista del Cerro, D. Fe mando Carvia y D. Francisco del Castillo. Y para siete plazas de al caldes del crimen de la misma chancillería á D. Manuel de Viiches, D. An tonio Lorenzo Martínez del Pozo, D. Matías Herrero Prieto, D. Manuel Martin Berna!, D. Maurteio Baradat, B. Ignaro Mar…</t>
  </si>
  <si>
    <t>Fe, Montes de Santa</t>
  </si>
  <si>
    <t>Montes de Santa Fe</t>
  </si>
  <si>
    <t>…ns, entre esta ciudad y la de Troyes. .. ESPAÑA. Puerto-Cabello'£ de Noviembre He 18 r$. Ha entrado hoy una goleta* procedente de Maracaybo, con la noticia de haberse apoderado el general Montes de Santa Fe y valles de Cucuta, y que continuaba felizmente sus operaciones. PitcrtQ-li fco jp de ¿Diciembre. El benemérito Ceva 1 los (gobernador de Coro) consiguió en los dias 16, 17 y 18 de Octubre y 10 de Noviembre señaladas ventajas sobre los rebel des, á quienes as…</t>
  </si>
  <si>
    <t>Febrer, Manuel</t>
  </si>
  <si>
    <t>Manuel Febrer</t>
  </si>
  <si>
    <t>S48 S. M.' se ha servido conferir ia Comandancia de los resguardos de Ara gón ai Capitán graduado-de Teniente Coronel D. Rafael Escobar, y la de ios de la provincia de Toledo á D. Manuel Febrer de la Torre, Teniente Co ronel de infantería ligera de ios Reales exércicos, y Comandante del extin guido batallón-voluntarios de Peáíscola. . Se halla vacante el partido de médico de la villa de Alagon, en el reyno de Aragón, distante quatro leguas de la ciu…</t>
  </si>
  <si>
    <t>Federico</t>
  </si>
  <si>
    <t>…las dos de la tarde ha llegado aqui en medio de las aclamaciones de un inmenso concurso S. M. I. el emperador de Rusia, acompañado de nuestro soberano el príncipe de Italia y del príncipe Federico: venían en una carroza descubierta, desde la qual han sido testigos del entusiasmo coii que estos habitantes miraban al monarca libertador de la Europa. Apeáronse S. M. y los príncipes en el pabellón del Hout, y de alii se dirigieron á la catedral, en donde o…</t>
  </si>
  <si>
    <t>Feemantle</t>
  </si>
  <si>
    <t>…rapidez de nuestros movimientos no había permitido el transporte de un tren de artillería de sitio; en consecuencia no teníamos mas recurso que los cañones de la esquadra, que el almirante Feemantle hizo desembarcar con presteza , y al mismo tiempo se principiaron á construir las baterías. El 12. tomó la ciudad de Trieste el barón de Aspre, y adelantamos nuestros pues tos hasta el pie de las murallas. El coronel Robertson llegó de Lissa, y des embarcó co…</t>
  </si>
  <si>
    <t>Feiipe</t>
  </si>
  <si>
    <t>…de Sevilla al conde del Abisbal: para la de Aragón á D* José Palafox: .para la de Granada al conde de Montijo: para la de Extremadura al mar ques del Palacio: para la de Galicia á D. Feiipe d¡e Saint Marcq: para la ide Castilla la Nueva á D. José Arteaga: para el gobierno .militar y político -de la plaza de Vich á D. Cesario Escobar;, para el de la plaza de'Cartage-na á D. Juan de Dios Topete: para el de Tortosa 4 D. Francisco Marcó del Pont: pa…</t>
  </si>
  <si>
    <t>Feínan-Nuñez</t>
  </si>
  <si>
    <t>…a blecimiento de la paz ) á la qual S. A. R. respondió benignamente. FRANCIA. París 16 de Junio. Uno de los mas espléndidos banquetes dados últimamente en esta capi tal fué el del conde Feínan-Nuñez, duque de Monteílano, embaxador de S. M, Católica, en; la corte de Londres, el dia ^o del anterior , con motivo de los dias de S. M. el Rey de España. Asistieron á esta función las prin cipales personas d¿ la corté; á saber, el príncipe de Benevento, conde de…</t>
  </si>
  <si>
    <t>Feli</t>
  </si>
  <si>
    <t>…andante del tercer esquadton á D. Nicolás Bracamente, marques de-Herrera , y el de sargento mayor á D. José López Merino, En el deCumaná, de la propia arma, el empleo de coronel á D. Feli pe Antonio de La-Torre. Y en el de dragones urbanos de Celendin igual empleo de coronel á I&gt;. Mariano de Castro y Tabeada. CREDITO PUBLICO. En cumplimiento del decreto de las Cortes generales y extraordinarias de 13 de Setiembre de 1813 ha resuelto la Junta n…</t>
  </si>
  <si>
    <t>Felipe</t>
  </si>
  <si>
    <t>…gata D. iFrancisco de ¡Paula Saavedr^ *-jteniúnteL cP^Or nel; á capitanes de fragata tenientes de navio D. :Fduaitdo~.Mosqiiera, sargento mayor, á D. Francisco íCafvo del Manzano, D. Felipe del $á#Q. y D. Gabriel de Pazos; á teniente de navio al de fragata D. Antonio Doral#</t>
  </si>
  <si>
    <t>Gazeta de la Regencia de las Españas n.º 68</t>
  </si>
  <si>
    <t>…servicio los sacerdotes, los ordenados in sa~ cris, y los de tonsura y menores que gocen del fuero con arreglo á I ■ dis puesto por el santo concilio de Tiento é instrucciones del Sr. D. Felipe 11; los diputados en Cortes y de provincia, los consejeros de Estado, los secre tarios pde Estado,y .d^i despacho, .y- los oficiales ,de sus secretarías; los ,ma-' gístrados de tribunales de justicia , jueces y alcaides constitucionales; gefes políticos* y lo…</t>
  </si>
  <si>
    <t>…res y municiones, y el haber dexado el campo sembrado de sus cadáveres. Este triunfo nos ba costado la pérdida de algunos sobresalientes oficiales, entre ellos la muy sensible del coronel D. Felipe de la Hera , ofi cial de ios mas completos de este exército por su valor, conocimientos mi-</t>
  </si>
  <si>
    <t>…años del reynado de mi augusto Padre, fué sin duda la mas útil y mas sabiamente acordada, como lo ha mostrado la experiencia por mas de dos siglos, desde el año de 1604 en que el Sr. D. Felipe m le dió una nueva ordenanza. Todavía en la tumultuaria innovación que se hizo de casi todos los antiguos establecimientos, con que los naturales habían vivido contentos y en paz , también á la sala de corte alcanzó este mal ; y en Madrid , como en qualquier…</t>
  </si>
  <si>
    <t>Jas posteriores‘derogadas, y, señaladamente la que dio en 6 de. Enero de 1588 el Sr. D. Felipe 11, que es la ley xi, tít. 17 , lib. 1, y la 1 del tít. 4, lib. iv déla novísima Recopilación. = Tendreislo entendido, y lo comunicareis á quien corresponda.= Madrid 5 de Junio de 1814. YO EL REY. =s A Don Pedro de Macanaz. , _ i Circulares del ministerio de…</t>
  </si>
  <si>
    <t>…dad que nos asegura vuestro »»paternal gobierno,” El 20 del corriente fueron admitidos á cumplimentar á S. M. por su fe liz restitución al trono en nombre de la ciudad de Palencia D. Felipe d-e Bedoya y Dueñas, alcalde primero de ella, y los regidores D. Manuel Mozo Bastamente y D. Miguel Palacios; el primero de los quales arengó á S. M. en estos términos : ,,Señor: la ciudad de Palencia, siempre fiel y siempre constante en amar á sus Soberanos,…</t>
  </si>
  <si>
    <t>…y reproducción sucesiva contra ¡as calamidades de ios años, falta de medios, y trastorno de fortunas de las personas destinadas al cultivo de la tierra : que desde el reynado del Sr. Don Felipe 11 habían estado al cuidado del mi Consejo, hasta que por Real de creto de 16 de Marzo de 175-1 tuvo á bien el Sr. D. Fernando vn atribuir le á la Secretaría de Estado y del Despacho de Gracia y Justicia, y en tan larga época habían tenido los aumentos que po…</t>
  </si>
  <si>
    <t>…o, á quien tenemos el honor de pertenecer y hacer sus veces, por su constante adhesión y amor á la Real y esclarecida familia de los Borbones el que vuestro augusto pro genitor el Sr. D. Felipe v le honrase con el alto y estimable título de M. N. y M. L. ciudad , constante sietppre en el mas exacto'desempeño de las obli gaciones en que le constituy&amp;í este glorioso distintivo , ha demostrado eon la mayor energía en los dias de revolución quanto puede…</t>
  </si>
  <si>
    <t>2209</t>
  </si>
  <si>
    <t>…tico de ella, que como militar se había hallado en Mayo de 1809 en -la gloriosa jornada que sostuvieron los alcañizanos contra las tropas francés sas, y al marques de Santa Coloma D. Felipe de la Torre, alguacil mayor -de la Real audiencia de Aragón., y mayordomo de semana de S. M., que como vecino y propietario de la misma ciudad está bien informado de las ruinas y pérdidas que habían sufrido sus vecinos, siendo quizá el que mayo res las ha ten…</t>
  </si>
  <si>
    <t>…s; quiere.repetirlas de nuevo por- nuestro medio» porque quiere que fre cuentemente oyga V. M. que Fraga, ilustre por sus antiguo^ hazañosos he chos* favorecía* y honrada por el. :Sr. D. Felipe v en premio de su cons tante fidelidad , nunca ha sido ní mas ilustre ni mas honráda qoe quando sufiria.con ánfino resuelto y con noble firmeza la muerte y todo genero de (mi serias por co1nservar pura y sin.mancilla,la lealtad que. á V.-M. tenia ofren cida y…</t>
  </si>
  <si>
    <t>…mo que ha acreditado en defensa del Rey y de la religión: para el beneficio simple servidero de S. Vicente de la ciudad de Avila, vacante por muerte dé D. Francisco Porquerizos, á D. Felipe Do mínguez : para el téróió beneficio de S. Pedro de Garmona, en el arzobis pado de Sevilla , que ha vacado por fallecimiento de D. José Martínez, ¿ D. Jasé Ferraz: para el beneficio simple de Sta. Colonia de Vez de Marban , en el obispado de Zamora, vacante por…</t>
  </si>
  <si>
    <t>Félix</t>
  </si>
  <si>
    <t>…do se me díó orden para ello * sin haber ocurrido novedad. Dios guarde á V. E. muchos años. Valladolid y Enero 15 de 1814 = Excmó. Sr. =r Dominga jL anda zury.^. Exorno. Sr. virey D. Félix: Calleja. Intimación hecha, al teniente coronel D. Domingo Landazury , comandan te militar de Vallado id » por ei cabecilla MorelosAquellas armas» á cuyo estruendo se rinden Tas ciudades» y abaten las fortalezas , se ven ya al rededor de las fortificaciones d…</t>
  </si>
  <si>
    <t>Fer</t>
  </si>
  <si>
    <t>…mente sus planes. Traspaderne 14 de Marzo. En celebración de las plausibles noticias que á las quatro de la tarde de ayer 13 recibió esta villa de que nuestro mui 2mado monarca el Sr. D. Fer nando vil estaba para ponerse en camino, y que nuestro dignísimo.príncipe de Ja iglesia católica se dirigía á ocupar su silla apostólica, este cabildo ecle siástico, acompañado del alcalde constitucional, ayuntamiento y demas con ciudadanos, se encaminó á la…</t>
  </si>
  <si>
    <t>…Morales y Carrero, canónigo de la iglesia catedral de Mondoñedo ; para una canongía de la iglesia catedral de Cala horra , vacante por fallecimiento de D. Manuel Ruiz de Bravo, á D. Fer nando de San Martin; para una ración de la misma iglesia, vacante por muerte de D. Diego Landivar, á D. Juan Bautista de A vendarlo y Elaregui; para una canongía de la iglesia catedral de Cádiz, vacant-e por falleci miento de D. Antonio Ladero, á D. Manuel de…</t>
  </si>
  <si>
    <t>Fer, Francisco Domingo</t>
  </si>
  <si>
    <t>Francisco Domingo Fer</t>
  </si>
  <si>
    <t>…16 del mes próximo pasado tuvieron el honor de presentarse á cumplimentar á S. M.‘ y AA. el ilustre abad de la iglesia colegial de Medinaceli Dr. D. Joaquin María deElizondo; Dr. D. Francisco Domingo Fer ro, dignidad de arcipreste de la misma, y el canónigo D. Juan José Ló pez , y después de besar la mano á S. M., el primero le dirigió el discurso siguiente: • „ Señor: el abad y cabildo colegial de Medinaceli ofrecen á V. M. to dos los homenages de su respeto…</t>
  </si>
  <si>
    <t>Fer, IX</t>
  </si>
  <si>
    <t>IX Fer</t>
  </si>
  <si>
    <t>…d económica de amigos del país establecida en esta capital de los mismos sentimientos que han animado á todos los bue nos españoles por la restitución de nuestro amado Soberano el Sr. IX Fer nando yn al trono de sus mayoreSj determinó en acuerdo de 20 de Mayo último se celebrase ona función de iglesia en acción de gracias al Todopode roso con ía solemnidad y magnificencia correspondiente. Para 'ello nom bró quatro comisarios, que lo fueron los Sr…</t>
  </si>
  <si>
    <t>Fer, José María</t>
  </si>
  <si>
    <t>José María Fer</t>
  </si>
  <si>
    <t>892</t>
  </si>
  <si>
    <t>…n la suprema cabeza de la Iglesia. Madrid 8 de Agosto. El dia 2 del mes próximo pasado tuvo la honra dé besar la real mano •de S. M. y felicitare por su feliz restitución al trono D. José María Fer nandez y Al mansa abogado de la real audiencia de México y de su M. I. y Real colegio, y capitán del regimiento urbano de infantería de voluntad nos dei Sr. I&gt;. Fernando vn en la ciudad de Puebla de les Angeles de Nueva-España , pronunciando el discurso sigui…</t>
  </si>
  <si>
    <t>Fer, Manuel</t>
  </si>
  <si>
    <t>Manuel Fer</t>
  </si>
  <si>
    <t>…e las Carretas; en Búrgos en la de Revi lla; en Soria darán razón en la botica de Valderrama; en Sto. Domingo de la Cal zada en la de Montejo; en Logroño D. Nicolás Peral; en Haro D. Manuel Fer nandez Mariaca; en Náxera el médico de ciudad; en Calahorra el de cabildo; en Pamplona D. Pedro Guardamíno, oficial primero del Crédito público, y en Vi toria D. Pedro López Alegría, calle de la Correría. Memoria geográfico-cconómico-política del departamento…</t>
  </si>
  <si>
    <t>…erizan á S. M., exercitando con algunos su notoria cle mencia ; y habiendo presenciado en audiencia pública y sala de visitas ia causa que estaba señalada para el mismo dia por el teniente D. Manuel Fer nandez Gamboa contra Justo Fernandez y Félix Puebla, vecinos de Vicálvaro , por haber robado el primero una muía ¿ y tener del segundo sos pechas de complicidad: oido su defensor D. Joaquín Sánchez Igual, y el promotor fiscal D. Jayme Ferrer, y enterado S. M.…</t>
  </si>
  <si>
    <t>Fermartine</t>
  </si>
  <si>
    <t>…efectivo de S. M. I. R. y A-., ministro de Estado de las conferencias, y mi nistró1 de Negocios extrangeros: y S. M. el rey de la Gran Bretaña al lord Gordon, conde de Aberdeen , vizconde Fermartine, lord Haddo, Melblie, Jervis y Kellié &amp;c., uno de los* 16 pares de Escocia , caballero de la anti quísima y mobilísima orden del Gardo, tu enviado extraordinario y ministro plenipotenciario cerca de S. M. I. R. y A;.; ios quales ¿ habiendo cangeado ■stís resp…</t>
  </si>
  <si>
    <t>Fermín</t>
  </si>
  <si>
    <t>…d Ramiro y Art&amp;yosí, 'vicario eclesiástico; Don Manuel de HerciHa* Visitador ecle^tico-;'D.-Rafael R*eynaUe, -regidor-de Madrd; D. Juan Antonio Salcedo, euira pá/roco:de S. Ginés; D. Fermín</t>
  </si>
  <si>
    <t>Fermín.Perez</t>
  </si>
  <si>
    <t>…subteniente á D. Pedro Antonio García. En el de Voluntarios de la misma plaza teniente á D. Diego Mar tín Martínez. En el de infantería ligera Voluntarios de Chiloe subteniente á D. Fermín.Perez. En el regimiento Real de Lima en el Perú subteniente de bandera á D. Juan Urribarri. En las compañías de infantería ligera de Cataluña fixas de la Havana subteniente, á D¿ Rafael José Moreil. En el re gimiento de dragones de la misma plaza comandante de esqu…</t>
  </si>
  <si>
    <t>Fernan</t>
  </si>
  <si>
    <t>…edicto ■declarando &gt;aquella plaza en estado de si tio, han aparecido impresos y-.anuncios yerbales del misma Habert manifes tando que se esperaba en Barcelona á nuestro monarca el Sr. D. Fernan do vn ,&gt;para cuyo alojamiento sé estant haciendo dispendios 'de muehS en - • tidad , y preparán el palacio yotros edificios. Fita diputación provincial, habiendo leído . eh la gaceta de la Regiiictk , de las Españas de $ del corriente el soberano decreto d¿ S…</t>
  </si>
  <si>
    <t>Gazeta de la Regencia de las Españas n.º 32 (extraordinaria)</t>
  </si>
  <si>
    <t>…stado y del despacho de la Guerra por extraor dinario el oficio siguiente: ,, Excmo. Sr.: he recibido por distintos conductos la no ticia de haber pasado por Tolosa nuestro Rey el Sr. D. Fernan do vil con dirección á Perpiñan; pero aun no he podido sa ber con certeza si efectivamente llegó S. M. á aquella ciu dad , sin embargo de tener tomadas mis providencias para sa ber con seguridad su aproximación á la frontera. „ Las noticias particulares que c…</t>
  </si>
  <si>
    <t>…esmeran á poríia en referir el indecible gozo y regocijo de todos los pueblos con motivo de la plausible noticia de haber llegado al territorio español el deseado de la Nación el Sr. D. Fernan do vil. Ninguno de ellos en su concepto halla expresiones capaces! de ex presar dignamente una alegría y alborozo, que ha hecho á toaos olvidar el cumulo de males y desgracias que los han afligido por espacio de seis años, los horrorosos peligros que han arro…</t>
  </si>
  <si>
    <t>…rid destronar al tirano de la Francia, vió cum plidos sus votos en el Abril de 1814, después de haber asegurado su liber tad é independencia , y de ver restablecido en su trono al Sr. D. Fernan do vn.'SsLo tendrá entendido la Regencia del Reyno , y dispondrá lo neee-</t>
  </si>
  <si>
    <t>…de esta ciudad y su provincia el oficio siguiente:. ,, Excmo. Sr.: llegado el feliz y deseado dia de haberse sentado en el trono de sus mayores nuestro ¿ugusto y amado Soberano el Sr. D. Fernan do vil, he dispuesto con tan plausible motivo que hoy á las 12 del dia se llagan salvas de artillería en esta plaza en celebridad dé tan fausto aconteci miento, sin perjuicio de ía función que en acción de gracias al Todopode roso ha de executarse el domingo…</t>
  </si>
  <si>
    <t>…nes, y de la sabiduría y prudencia necesa rias para el mejor acierto en el gobierno de esta vasta monarquía; y que asi como V. M. lleva el nombre* y es digno sucesor del Santo Rey D. Fernan do, lo sea también de sus virtudes religiosas, de su heroyco zelo por la exal tación de nuestra santa fe católica, y de su infatigable desvelo en procurar el sosiego y la prosperidad de sus leales vasallos. A este fin dirige el cabildo sus votos al Altísimo,…</t>
  </si>
  <si>
    <t>2112</t>
  </si>
  <si>
    <t>…a de Malta ni la de Corfú. ESPAÑA. Murcia 14 de Octubre. Conforme á lo acordado en junta de 29 de Setiembre último, y en ce lebridad de ser hoy el feliz cumpleaños del Rey nuestro Señor D. Fernan do vil, tuvieron lugar en las salas consistoriales, á presencia de la sociedad y cón asistencia de un lucido y numeroso Concurso dé todas las clases dis tinguidas de esta capital, los exáhienes de tres discípulos de la Real cátedra de economía política, que s…</t>
  </si>
  <si>
    <t>…o., y publicado ¡en el Ti mes, periódico bien acteditadonde aquella ciudad ,:el 28 de Julio del presente año, luego que en aquella corte se recibió el decreto deyS. M. Católica el Sr. D. Fernan do vii del 4 de Mayo. Se hallará cU la. librería dc Castülo, frente á S. Felipe el Rea). ' Medicina operatoria, ó tratado elemental de las operaciones de cirugía: escrita en francés por el ciudadano Pedro ¿assus, profesor de la junta de sanidad de París, y tr…</t>
  </si>
  <si>
    <t>…de los franceses en el mes de Noviembre de 1808 privó por entonces á los leales vecinos de esta ciudad del dulce placer de celebrar la proclamación de nuestro augusto Soberano el Sr. D. Fernan ■ vi 1., dispuesta para uno de aludios dias, que «por desgracia nos cubriedo ron de lino,; pero apenas Arrojados los enemigos de la ^península, y restitui do el Rey nuestro Señor á su trono,. se restableció.» el ayuntamiento ert la forma que lo estaba antesde…</t>
  </si>
  <si>
    <t>Fernan, Juan Antonia</t>
  </si>
  <si>
    <t>Juan Antonia Fernan</t>
  </si>
  <si>
    <t>…D. Josef Perez Caballero; D. Josef de Ibarra ; D. Sancho de Llamas;D. Pedro Nicolás del Aballe; O. Tadeo Segundo Gómez; D. Antonio Al calá Galiano; D. Jayme Aivarez de Mendieta,y D. Juan Antonia Fernan dez de Quesada. Ministros de Capa y Espada■. D. Pantalecn de Beramendi; Conde de Lereua; D. Víctor Rascón .Cor nejo, Contador general de Valores; D. Luis Gacel, Contador general de la D ¡stribucion; D. Josef Martínez de Bustos; D. Felipe de Córdoba; D. Ma nue…</t>
  </si>
  <si>
    <t>Fernan, Manuel</t>
  </si>
  <si>
    <t>Manuel Fernan</t>
  </si>
  <si>
    <t>…icina, á la qual se dará principio el 18 del mes de Octubre próximo: io que se avisa al público para su inteligencia. ' Por el juzgado del Sr. teniente de'cOrregidor de esta villa D. Manuel Fernan dez Gamboa, y escribanía del número de D. Ramón García Xinienez, se vende, en virtud de Real facultadf una casa sita én esta corte, calle de la Cruz, que dá á Ja delGato, núm. 3 , manzana 213, valuada eri 291420 rs. vn. Lo que se anun cia al público para que…</t>
  </si>
  <si>
    <t>Fernan, Sebastian</t>
  </si>
  <si>
    <t>Sebastian Fernan</t>
  </si>
  <si>
    <t>e! mérito que han contraído mis subalternos y soldados, á quienes reco miendo á V. E., y muy particularmente al coronel D. Sebastian Fernan dez, coma&amp;danjfce del, 5 .° -régifínernp, „al teniente coronel del mismo Don Marcelino Oraá, y aljdp. igual ^ clase comandante del 7.0 D. Antonio Oro, los que de^di^y, de npphe y sin cesar han contribuido, á la par de sus ofi ciales y. so Idatfesjá 3Gt;ivar}l…</t>
  </si>
  <si>
    <t>Fernán-</t>
  </si>
  <si>
    <t>…ustre ayuntamiento á la santa iglesia catedral á un solemne Te Deum en acción de gracias al Todopoderoso por hallarse ocu pando el trono de las Espaúas nuestro augusto Soberano el Sr. D. Fernán-</t>
  </si>
  <si>
    <t>Fernandez, Andrés García</t>
  </si>
  <si>
    <t>Andrés García Fernandez</t>
  </si>
  <si>
    <t>…us vasallos»” En 3 del corriente tuvieron la honra de besar la mano y cumplimentar á S. M. en nombre del obispo y cabildo de la santa iglesia de Mondoñedo sus individuos el Excmo. Sr. D. Andrés García Fernandez» arcediano de Vivero; D. Miguel Salazar, maestrescuela, y D. José Morales, canónigo, el primero de los quales pronunció el siguiente discurso: ,,Señor:el obispo y cabildo de la catedral de Mondcñedo, enagenados del mas puro gozo, no pudieron menos de reunirse…</t>
  </si>
  <si>
    <t>Fernandez, Antonio</t>
  </si>
  <si>
    <t>Antonio Fernandez</t>
  </si>
  <si>
    <t>…Sres. D. Josef Mariano, D. Francisco Severo y Doña Joaquina de Larrea, y en esta corte á D. Paulino Sorzano y Soria, del comercio, portales de Santa Cruz. ^ , Se han extraviado á D. Antonio Fernandez^ presbítero, en la ciudad de Astorga, entre otros papeles y vales reales tres de 300 pesos, lino creación de Mayó, número 395476, y los dos de Enero, números 374114 y 375476; lo que se avisa al público á fin de que el que los obtenga se sirva entregarlos ál m…</t>
  </si>
  <si>
    <t>Fernandez, Felipe</t>
  </si>
  <si>
    <t>Felipe Fernandez</t>
  </si>
  <si>
    <t>…l término de 30 días para la admisión de memoriales á las seis plazas de colegiales no contribuyentes. A instancia de los herederos abintestato de Doña Anastasia Vadíllo, viuda de D. Felipe Fernandez, se cita y llama á los acreedores á sus bienes, para que en el término de nueve dias, siguientes á la publicación de este aviso, comparezcan an te el Sr. D. Francisco de As«ín, y escribanía del número de D. Casimiro Antonio Gómez, para averiguar las cantidade…</t>
  </si>
  <si>
    <t>Fernandez, Francisco</t>
  </si>
  <si>
    <t>Francisco Fernandez</t>
  </si>
  <si>
    <t>…Excmo.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 histórico del emperador Trajano, á que siguieron la palabra del maestro seis discípulo…</t>
  </si>
  <si>
    <t>Fernandez, Francisco Enciso</t>
  </si>
  <si>
    <t>Francisco Enciso Fernandez</t>
  </si>
  <si>
    <t>99 5 Madrid 2 de Setiembre. &gt; El día 4 del mes de Julio último tuvieron la honra de felicitar á S. M. y besar su Real mano D. Francisco Enciso Fernandez y D. Félix López de Murilias á nombre de la villa de Munilla; el primero de ios quales dirigió á S. M. ei discurso siguiente: „ Señor: D. Francisco Enciso Fernandez y D. Félix López de Murilias, comisionados por la villa de Munilla, provincia de Soria, á los R. P. de V. M. co…</t>
  </si>
  <si>
    <t>Fernandez, Garlos</t>
  </si>
  <si>
    <t>Garlos Fernandez</t>
  </si>
  <si>
    <t>…raza; á teniente de granaderos á D. Luis Mi randa, y de cazadores á D. Domingo Viejobueno ; á segundo ayudante á D. Tomas de Vargas; á tenientes de fusileros á D. Valentín Baudet, D. Garlos Fernandez y D. Miguel Manrique.; á subteniente de granaderos á D. Bernabé García Ábreu , y de cazadores á D. Salvador Hernández Abad; á subteniente de fusileros á D. Domingo Hernández Leal, y de bandera á D. Lu s Román y Franco y.,D. José González Arauz. Y á subtenientes en ei batallón de…</t>
  </si>
  <si>
    <t>Fernandez, Jorge</t>
  </si>
  <si>
    <t>Jorge Fernandez</t>
  </si>
  <si>
    <t>…rte de D. Lorenzo de Roxas, á D. Cayetano Puerta: para el de la igle sia parroquial de Cañete, en el obispado de Córdoba, vacante por faUecimiento de E&gt;. Diego Rafael'Caballero,'á D. Jorge Fernandez: para el arce dianato de Berberiego, dignidad de la iglesia catedral de Calahorra, vacante por muerte de D Blas Aguiriano y Gómez, á D. Fermín Francisco S. Juan, canónigo de la misma: para el arciprestazgo de Santa Olalla , en el arzobis pado de Toledo , vaga…</t>
  </si>
  <si>
    <t>Fernandez, Juan</t>
  </si>
  <si>
    <t>Juan Fernandez</t>
  </si>
  <si>
    <t>…egron y D. Juan de Dios Brito: en el de infantería voiun-^ tarios de Montevideo grado de teniente coronel, y retiro con el u o de uni forme de retirado y goce de fuero militar, al capitán D. Juan Fernandez: en el regimiento infantería Real de Lima agregación en clase de capitán á D. Mariano Cucalón , capitán en el exército de Quito: en ei fixc de Carta gena de Indias nombrado .capitán á D Antonio Fominaya, y subtenientes á D. Jo é Villarino y D. Francisco Uribi…</t>
  </si>
  <si>
    <t>Fernandez, Juan Nieto</t>
  </si>
  <si>
    <t>Juan Nieto Fernandez</t>
  </si>
  <si>
    <t>…imo tuvo el honor de felicitar á S. M. y besar su Real mano una diputación de los ayuntamientos de las Nuevas Poblaciones de Andalucía y de las de Sierra-Morena, compuesta del Dr. D. Juan Nieto Fernandez, capelian mayor por S. M., vicario y juez eclesiástico de las pri meras, y de D. Francisco Delgado, secretario del ayuntamiento de las se gundas, pronunciando el primero el discurso siguiente: „Señor: los ayuntamientos de las Nuevas Poblaciones de Andalucía y…</t>
  </si>
  <si>
    <t>Fernandez, Luis</t>
  </si>
  <si>
    <t>Luis Fernandez</t>
  </si>
  <si>
    <t>…en la parte que á.cada uno toque, y á íin de que lle gue á noticia de todos: que asi es mi voluntad. Dado en Palacio á 2 de Se tiembre de 1814.:= YO EL REY. = Francisco de Eguía. Don Luis Fernandez, visitador de los tintes del rey no, y fabricante de sedas de ía Real casa, con agregación á la guardaropa del Rey, ha hecho á S. M. Ia oferta de 50® rs. vn. de los caídos de una pensión que le está con cedida sobre los fondos del consulado de Valencia. ; A n…</t>
  </si>
  <si>
    <t>Fernandez, Mariano</t>
  </si>
  <si>
    <t>Mariano Fernandez</t>
  </si>
  <si>
    <t>…cisco Assin , teniente de corregidor de esta villa de Madrid, y por la escribanía del número de D. Ja cobo Manuel Manrique, se están siguiendo autos de abintestato á los bienes dé D. Mariano Fernandez, catedrático segundo que fué de la real academia de S. Fernando; lo qne se noticia al público para que los que conceptúen teper derecho, le deduzcan ante dicho señor juez y referida escribanía, en el término de 30 dias, contados desde 9 del corriente, entendi…</t>
  </si>
  <si>
    <t>Fernandez, Pedro María</t>
  </si>
  <si>
    <t>Pedro María Fernandez</t>
  </si>
  <si>
    <t>…co Xavier Pialanzat, teniente coronel de voluntarios.de la Carona, D.*Mapuel José Pii^a, teniente de id. D. Francisco Ajan &gt; subtenienteid., D^Jos# Moreno, ayudante del de Oviedo. D. Pedro María Fernandez/ teniente de id. D. José Castañon, subteniente de ud. D. José Gómez, s.uStjménte.;dé Laredo. D. Leonardo Sicilia, coronel de tiradores de Cantabria. .©..Pascual Perez Lazarraga, teniente de id. - , . , . r3 ' ... ■ . Heridos. ' \ El teniente general D. Gabrie…</t>
  </si>
  <si>
    <t>Fernandez, Prudencio</t>
  </si>
  <si>
    <t>Prudencio Fernandez</t>
  </si>
  <si>
    <t>…as: para tenientes de corregidor de Madrid á D. Manuel de Gamboa, D. Francisco Assin, D. Luis Gabaldon y López, D. León de la Cámara y D. Joaquín Almazan: para la vara de Burgos á D. Prudencio Fernandez de la Pelilla : para el corregimiento de Molina de Aragón á Don Francisco Estéban y Ranz: para la vara de Osuna á D. Juan Antonio Del gado: para la de Don Benito á D* Eusebio Lampie: para la de Medellin á •D. Feliciano Centeno: .para Ja de Guadalaxara á D. Es…</t>
  </si>
  <si>
    <t>Fernandez, Salvador</t>
  </si>
  <si>
    <t>Salvador Fernandez</t>
  </si>
  <si>
    <t>…se ha servido conferirle grado de coronel., &lt; í. • : ±jl Siguiéndose por el juzgado del SK D. Ramón Quintero Gómez,* corregidor de la villa de Illescas, y escribanía del número de D. Salvador Fernandez de fa O, autos con motivo del fajlécimienítoabin testa to de Doña Rbl^ def|a Cruz Matos y Guzrmn , vecina cjue'fué de dich^Villa ¿ ^ nattsráfdé la de 'PredraVttá, diócesis de 'Avila', se cita á &amp;s que sé:^resumítt dóH’dérechó#Ioé bi'éneS' deja insinuada Doña…</t>
  </si>
  <si>
    <t>Fernandez, Sebastian</t>
  </si>
  <si>
    <t>Sebastian Fernandez</t>
  </si>
  <si>
    <t>…Mayo. Parte dirigido por el mariscal de campo D. Francisco Espoz y Mina al Excmo. Sr. duque de Ciudad-Rodrigo. Excmo. Sr.: el coronel del 5.0 regimiento de Voluntarios de Navarra Don Sebastian Fernandez, encargado del sitio del castillo de Benasque, me dá parte con fecha 2 del corriente de haber conseguido la rendición de dicho fuerte: con el competente conocimiento tomó del castillo de Jaca un mortero de á 10 pulgadas, y un morterete, que á pesar de la difi…</t>
  </si>
  <si>
    <t>…ras tropas el castillo de Benasque. Un cabo del 9.0 regimiento fué muerto, y tres soldados heridos. Los enemi gos tuvieron ocho muertos y ió heridos, entre estos dos oficiales. El coronel D. Sebastian Fernandez hace mención del capitán Cortazar, infatigable en las baterías; merece su atención el teniente Arregui por su bizarría en la to ma del reducto, y advierte el acierto y conducta de los tres cabos de ar tillería. El coronel D. Sebastian Fernandez ha dado en est…</t>
  </si>
  <si>
    <t>Fernando</t>
  </si>
  <si>
    <t>Gazeta de la Regencia de las Españas n.º 4 (extraordinaria)</t>
  </si>
  <si>
    <t>…gobernador de Madrid diciendo: „ que todos los co razones de la plaza que tenia la honra de mandar, deseaban admitir en su se no la legítima representación de su amado Monarca el Sr. D. Fernando v?r, asegurándolo de su parte con los votos de todos los militares.” A lo qué contestó el S. Presidente de la Regencia en los términos mas expresivos. Después recibió S. A. á la diputaciou provincial, cuyo presidente pro nunció el siguiente discurso: Serenísi…</t>
  </si>
  <si>
    <t>…r su residencia en esta Villa; sus profundos planes y rectas miras ciment an del modo mas sólido la conservación de nuestra, sagrada religión, libertad, inde pendencia y trono del Sr. D. Fernando vn: la base de todo es la Constitu ción que hemos jurado; nuestras gloriosas banderas y estandartes son fieles testigos que ante ellas lo hicimos, y que añadimos con carácter impertur bable el de morir ó ser libres; reiterémoslo en este feliz dia, y sea qual…</t>
  </si>
  <si>
    <t>…mo estado que Tarragona. ARTICULO DE OFICIO. Al señor secretario del despacho de la Gobernación de la península se ha servido dirigir la Regencia del Reyno el decreto siguiente : „Don Fernando vn, por la gracia de Dios y por la Constitución de la monarquía española, Rey de las Españas, y en su ausencia y cautividad la Regencia del Reyno nombrada por las Cortes generales y extraordinarias: Habiéndome hecho presente D. Juan O-Donojú, secretario de Es…</t>
  </si>
  <si>
    <t>…la l«as inmediata, todo baxo las mas rigurosas penas. ESPAÑA. '■ , ‘ ' ;; Haro jo de "Enero. Deseosa esta villa de dar una prueba de su acendrado amor á nuestro augusto monarca el Sr. D. Fernando vn, resolvió su ayuntamiento colocar en la sala consistorial un retrato del rey, mar-dado hacer con la perfección posible; y el dia 8 del mes pasado se yeriiicó la ceremonia de su.cploca? cion de! modo siguiente. •, ,,La tropa se tendió en dos filas á lo larg…</t>
  </si>
  <si>
    <t>…l. Pero el 19 llegaron los pasaportes para Caulincourt, que marchó al punto á Basiíea. . ARTICULO DE: OFICIO. j La Regencia del reyno se ha servido expedir el decreto siguiente: ,,Don Fernando vil por la gracia de Dios y, por la Constitución de la monarquía española , Rey de las Espanas, y en su ausencia y cautividad la Regencia del reyno nombrada pojr. las Cortes generales y extraordinaras, á todos los que las presentes vieren y entendieren, sabed…</t>
  </si>
  <si>
    <t>…indepen dencia, alterar nbestras relaciones con las potencias amigas , &lt;5 sembrar la discordia en esta Nación magnánima , unida én defensa de sus derechos y dé su legítimo Rey el Sr. D. Fernando vil, han venido en decretar y decretan: i.° „ Conforme al tenor del decreto dado por las Cortes generales y ex traordinarias en i.° de Enero de 1B11, que se circulará de nuevo á los ge nerales y autoridades que el Gobierno juzgare oportuno, no se reconocerá p…</t>
  </si>
  <si>
    <t>…--------------------------- —------- - " Manifiesto de las Cortes á la Nación con motivo de los nuevos artificios de que se ha vaJidoiBonapartepára que nuestro; cautivo Rey el Sr¡ D. Fernando vn fírma le tm tratado; de pary amistad con la Francia. Se hallará en el despacho de la im prenta nacional. ' MADRID EN LA IMPRENTA NACIONAL. "</t>
  </si>
  <si>
    <t>…pira partir el dia siguiente á ¡as cinco de la mañana á incorporarse con él Lord. •ARTICULO DE OFICIO. ’ JLa Regencia del rey no se ha servido expedir el decreto siguiente: ? • ,, Don Fernando vn, por la gracia de Dios y pbr ia Constitución de ía monarquía española,Rey de las Españas, y en su ausencia,y cautividad la Regencia del reyno nombrada por las Cortes generales y extraordinarias, á todos los que las presentes vieren y entendieren, $a!bed: q…</t>
  </si>
  <si>
    <t>279</t>
  </si>
  <si>
    <t>…l legítimo soberano. Hart'ivell¿ condado de Buckingham, d i.° de Febrero de /¿&gt; ¡4. — Luis." ARTICULO DE OFICIO. La Regencia del Rey no se ha servido expedir el decreto que sigue: D. Fernando vil, por la gracia de Dios y por ia Constitución de la Mo narquía española , Rey de las Españas, y en su ausencia y cautividad )a Re gencia del Rey no nombrada por las Cortes generales y extraordinarias, á to dos los que las presentes vieren y entendieren, sa…</t>
  </si>
  <si>
    <t>…uerra tres oficios del tenor siguiente : i.°i Los señores diputados á las actuales Cortes han cedido sus dietas correspondientes al dia en que se sepa que el rey de las Españas el Sr. Don Fernando vil está en camino para la capital de la monarquía, para dote de una doncella madrileña que se case con el granadero soltero y mas antiguo del exército español. Dé orden de las Cortes lo comunicamos á V. S. para' inteligencia de la Regencia del Reyno y efecto…</t>
  </si>
  <si>
    <t>…los ingleses, y la segunda división, al mando del general España, se dirige á la ciudadeia. ARTICULO DE OFICIO. La Regencia del Rey no se ha servido expedir el decreto que sigue: D. Fernando vil, por la gracia de Dios y por la Constitución de la mo narquía española , Rey de las Españas, y en su ausencia y cautividad la Re gencia del Rey no nombrada por las Cortes generales y extraordinarias, á to dos los que las presentes vieren y entendieren, sa…</t>
  </si>
  <si>
    <t>…pronunció un discurso aná logo á las circunstancias de este célebre dia, que recuerda á la nación la épo ca de su independencia, la exáltacion al trono de nuestro amado Monarca el Sr. D. Fernando vn y la publicación de la Constitución de la Monar quía española. El señor presidente de .las Cortes contestó en los términos siguientes :</t>
  </si>
  <si>
    <t>…areciendo como el humo, sufre, quando menos lo esperaba, el golpe que terminó la carrera de so elevación. Este acontecimiento y la abdicación de la co#ona en nues tro amado Rey el Sr. D. Fernando vil, premio concedido á su virtud y constancia, hicieron al pueblo español recobrar su invencible valor, con que arrojó de su suelo algún dia las huestes agarenas; y lejos de acobardarlos el jrobo pérfido de su amado rey las 100© bayonetas francesas introduci…</t>
  </si>
  <si>
    <t>…general Copons. ,, Excmo. Sr.: El día 19 del corriente recibí un pliego del Excmo. Señor duque de San Carlos, por el que tuve la satisfacción de saber que nuestro amado Monarca el Sr. D. Fernando vil debería llegar el 20 á Perpiñan para continuar su viage á esta plaza, pasando por Figueras. Con esta agradable noticia me trasladé el dia 21 al pueblo de Bascara para tomar con anticipa ción las providencias convenientes, y situar las tropas que mandé ade…</t>
  </si>
  <si>
    <t>…e recibió un expreso despachado por los señores ge,fe político é intendente de Cataluña, en el que daban aviso á los de esta provincia de que el 20 debía llegar nuestro monarca el Sr. D. Fernando vil á Figueras-, y que en el 21 se hallaría en el quartel general dé Gerona. El señor gefe superior político dispuso que se publicara por bando tan agradable suceso en la misma noche, y el vuelo de campanas anunció á toda la comarca el exaltado gozo de los ha…</t>
  </si>
  <si>
    <t>…vanzadas del exército que obra sobreda parte de Barinas, cuyo contenido es como sigue:, — „A las 11 del dia de hoy sejtomó felizmente por las armas del católico rey de las Espalas D. Fernando vn , Dios ie guarde, esta ciudad , sin ha berse podido haqer ningún prisionero de ios traydores, por haber huido an ticipadamente. Tampoco se han aprehendido ningunas armas , porque lasque había salieron á atacar el pueblo del, Papelón; pero seguramente se la…</t>
  </si>
  <si>
    <t>…siguiente i ,jExcmo. Sr.: con fecha de 24 del corriente di parte á V. E. de la llegada á esta ciudad, á las quatro horas de Ja tarde del mismo dia , de nuestro adorado Monarca el Sr. D. Fernando vn en compa ñía deh Sr. Infante,I}.. Antonio. Ayer á las tres horas de la tarde llego el Sr. Infante Di Qáríos, habiendo ¡salida á recibirle S. M. y comitiva á caballo una hora antes. Tanto S. M. como SS. A A. si guen sin novedad en. su importante salud; y es…</t>
  </si>
  <si>
    <t>El general en gefe del primer exérclto ha dirigido al secretario interino de Estado y del despacho de la Guerra el parte siguiente: „S. M. el Sr. D. Fernando vn, Rey de las Españas,'y los Sertnos. Sres. Infantes D. Carlos y D. Antonio gozan de la mas perfecta salud, y hoy salen S. M. y AA. de esta plaza con di rección á la provincia de Valencia para continuar el viage á la cor te___Tengo el honor de acompañar á S.…</t>
  </si>
  <si>
    <t>?354 El general en gefe del primer exército ha dirigido al secretario interino del despacho de la Ouerra el parte siguiente': „Excmo. Sr. : S. M. el Sr. D. Fernando vil y el Sermo. Sr. Infante S&gt;. Carlos siguen el viagecon- dirección á esa corte sin la menor novedad en *u importante salud. El Sermo. Sr. Infante D. Antonio ha quedado hoy e&gt;n .batato con motivo de una ligera indisposición; pero según manifestaron los médic…</t>
  </si>
  <si>
    <t>…y Don Juan José Palma, sargentas del propiobeuerpov &lt; * ; ' D. Gonzalo de Herrera, diputado en Cortes por la isla de Cuba, deseo so de dar pruebas de su amor á riuestró monarca el Sr. D. Fernando vn, ha puesto á disposición del Gobierno un coche con su tiro para que sirva en el viage de recibo y acompañamiento de S. M., costeándose de su cuen ta quantos gastos ocasioné. S. A. lo ha admitido, y ha mandado se le den gracias por una oferta tan generosa,…</t>
  </si>
  <si>
    <t>…esiones extraor dinarias de-las noches dei 28 y 30 de Marzo último para que se imprimie sen dos gacetas extraordinarias coii motivo de la llegada de S. M. nuestro amado monarca el Sr. D. Fernando vn á territorio español, y que el pro ducto de ellas se aplicara al hospital General de esta corte, se han entre gado á su tesorero interino D. Narciso Gonzalo del Rio 7152 rs. y 32 mrs., que ha producido la venta de 22© exemplares de la primera, y 8400 déla…</t>
  </si>
  <si>
    <t>,, Excmo. Sr.: esta diputación provincial transferida á esta ciudad con el objero de prestar el debido homenage á la persona de nuestro amado mo narca el Sr. D. Fernando vir, ha tenido la inexplicable satisfacción de verle entrar á ella á las tres y media de esta tarde ; y habiendo determinado es perarle en la entrada de la casa del alojamiento que se tenia preparado á S. M. , ha merecido la honra esta diputación de habérsele…</t>
  </si>
  <si>
    <t>…los de 40 á 50 á ia del respecti vo prefecto, y los de 50 á 60 á la de los alcaldes. ESPAÑA. Tarragona i.° de Abril. Hoy ha sido para esta ciudad el día de mayor júbilo. S. M. el Sr. Don Fernando yii ha entrado en ella en medio de los mayores aplausos, vivas y aclamaciones de gratitud. Un concurso numeroso aguardaba con impaciencia la vista de un Monarca idolatrado, y consiguió esta dicha quando á las 12 dei dia vio á S. »M. corresponder con bs mayore…</t>
  </si>
  <si>
    <t>…e avisan el Gefe polí tico y el Intendente de la Provincia de Aragón con fecha del .6, que entre tres y quatro de aquella tarde habían entrado en Zaragoza nuestro amado Monarca el Sr. D. Fernando vn y el Sermo. Sr. Infante D. Carlos sin la menor novedad en su importante salud, rodeados de un inmenso concursó, en medio de continuas y repetidas aclamaciones, y con toda la alegría, gusto y regocijo que excita en los ánimos de todos los españoles tan feli…</t>
  </si>
  <si>
    <t>…D. Tomas López Enguádanos, grabador de cá mara, ofrece á ia Nación española en una lámina de 20 pulgadas de alto y 14 de am.ho el retrato grabado de nuestro amado y deseado rey el Sr. D. Fernando vu# montado en un fogoso caballo, y con el uniforme de coronel de Guardias de Corps, Se ha propuesto el autor representar la augusta persona del rey en Ja forma que ve rificó su primera entrada en la villa y corte de Madrid el dia 24 de Marzo del año de 1808.…</t>
  </si>
  <si>
    <t>…o el honor de ser elegido, veo con inexplicable sa tisfacción cumplidos mis ardientes deseos; pues he recibido la gustosa y an helada notí Ja de que S. M. nuestro amado monarca el Sr. D. Fernando vir, acompañado de su hermano el Sermo. Sr. Infante D. Cárlos,ha resuelto se guir su viage para la corte pasando por esta heroyea capital, á la que debe llegar mañana, cuya feliz determinación hago saber á las tropas de esta guar nición para que puedan celebr…</t>
  </si>
  <si>
    <t>…comandante general de la provincia para recibir á S. M. á inmediación del arrabal. ;= De orden del ge neral = Ramón Gayan, teniente de rey. , ~ . El 6 llego á esta ciudad S. M. el Sr. D. Fernando vn, acompañado de su hermano el Sr. Infante D. Cárlos: las salvas de artillería anunciaron á las dos de la tarde su próxima entrada, y los corazones de todos sus habitan tes comenzaron á dar rienda suelta á los vivos sentimientos dei mas puro amor. No puede h…</t>
  </si>
  <si>
    <t>…ones el grandioso contraste que formaban sus pasadas desgracias y sus presentes felicidades ? ARTICULO DE OFICIO. La Regencia del Reyno se ha servido expedir el decreto siguiente: D. Fernando vil, por la gracia de Dios y por la Constitución de la mo narquía española, rey de las.Españas, y en su ausencia y cautividad la R egencia del Reyno nombrada por las Cortes generales y extraordinarias, á todos los que las presentes vieren y entendieren, sabed…</t>
  </si>
  <si>
    <t>…mplimiento de los artícu los precedentes. Quartel general delrun 8 de Abril de 1814.—Anglona. ARTICULO DE OFICIO. La Regencia del Reyno se ha servido expedir el decreto que sigue: D. Fernando vn , por la gracia de Dios y por la Constitución de la mo?* narqüía española , rey de las Españas, y en su ausencia y cautividad Ja Regencia del Reyno nomUr'ada por las Cortes genérales y extraordinarias, á todos los que las presentes vieren y entendieren, sa…</t>
  </si>
  <si>
    <t>…del bloqueo de Saltona. Mañana á las 12 se saludará por las tropas del bloqueo y fuertes de la línea en felicitación de la llegada al territorio español de nuestro legítimo rey el Sr. D. Fernando vil zzSandórente. = Es copia.zzR tf.i l Diez. Forma en que se verifico. El saludo empezó por el fuerte de la Atalaya de Laredo con una descarga que hicieron 300 infantes del 2.J regimiento de tiradores de Cantabria, en el terraplén del mismo. Concluida rompie…</t>
  </si>
  <si>
    <t>445</t>
  </si>
  <si>
    <t>…ción de ella, premiará la ácáaeniia ál autor con la imprésióft y publicációtí de sü escrito. ' ARTICULÓ; DE : La Regencia delJLeym &amp; Jia. servido &lt;&lt; qpedir /as djqr^tQSsiguientes: D. Fernando vií, por IfeSgVaciádé Dfos íyfpoi^lír Gonstitüción de íá; mo narquía española ,r rey de tes^Espáñás^ y 'étf su cá¿Séticiá y'éáutividad la Regencia del* Réy rio nótnbtada^^W lás1 GoFttS^généíáté's y étftraordiriarias, á todos lós que lás presenté^ Rieren y éfi…</t>
  </si>
  <si>
    <t>446</t>
  </si>
  <si>
    <t>…, ca-rdenal de Sea la» arzobispo ds Toledo, presidente. = Pedro de Agar.—Gabriel Ciscar.zzEn Madrid á 21 de Marzo de 1814.=A D. Julián Fernandez Navarrete. * • - - • - •' .Tí. » * D. Fernando vil, por la gracia de Dios y por la Constitución de la mo narquía española , rey de las Éspañas, y en su ausencia y cautividad la Regencia del Reyno nombrada por las Cortes generales y extraordinarias, á todos los que las presentes vieren y entendieren, sabed…</t>
  </si>
  <si>
    <t>…ta villa, antigua capital de las merindades de Castilla la Vieja, poseidas del mayor júbilo con la plausible noticia de la feliz llegada á España de nuestro amado y deseado rey el Sr. D. Fernando vn , han cele brado en este dia tan dichoso acontecimiento con una solemne función de iglesia para dar gracias al Todopoderoso: á este fin convidaron al cabildo ecle siástico , ayuntamiento constitucional, personas distinguidas, y al comandan te ingles y comi…</t>
  </si>
  <si>
    <t>460</t>
  </si>
  <si>
    <t>…L. de Barbón, cardenal de Scala, arzobispo de Toledo, presidente. = Pedro de Agar.—Ga briel Ciscar.zzEn la Isla de León á 22 de Noviembre de 1813. =A Don Manuel García Herreros.* D. Fernando vir, por la gracia de Dios y por la Constitución de la mo narquía española, rey de lasEspañas, y en su ausencia y cautividad la Regencia del Reyno nombrada por las Cortes generales y extraordinarias, á todos los que las presentes vieren y entendieren, sabed:…</t>
  </si>
  <si>
    <t>…lará una can ción alusiva á la venida de nuestro amado monarca Fernando vii, compuesta por D. José María Lemayre: su precio 8 rs. Estampa que representa á nuestro amado monarca el Sr. D. Fernando vir, en 4.0 Este retrato, el mas propio quizá de quantos han salido al público, está copia do del busto trabajado por D. José Gines, escultor de cámara, cuyo nombre so lo hace su elogio; dibuxado por D. José Maea, y grabado por D. Mariano Brandi. Estos profes…</t>
  </si>
  <si>
    <t>…imprima, publique y circule ==En palacio á 14 de Abril ¿e 1,814. = Ausente el señor cardenal presidente, vxPedro tde Agar.zz. Gabriel Ciscar. = A D. Manuel García Herreros; ’ • i* D. Fernando vil, por la gracia de Dios y por la Constitución de la mo narquía española, rey de las Españas, y en su áuséncia y caurividad la Regencia del Reyno nombrada por las Cortes generales y extraordinarias, á todos los que las presentes vieren y entendieren ^ sabed…</t>
  </si>
  <si>
    <t>…el Sr. D. Domingo de Campománes, diputado por As turias , y para secretario el Sr. D. Martin José de Muxica. La Regen- ia del Rsyno se h¿i servido expedir los decretos siguientes: D. Fernando vn, por !a gracia de Dios y por la ConstitucioA de la mo narquía española, rey de las Españas, y en su ausencia y cautividad la Regencia del Reyno nombrada por las Cortes generales y extraordinarias, á todos los que las presentes vieren y entendieren, sabed:…</t>
  </si>
  <si>
    <t>…ondréis se imprima, publique y circule ssFb palacio á 19 de Abril de 1814.:= Ausente el señor cardenal presidentes Pedro de Agar. = Gabriel Ciscar.zz A D. Manuel García Herreros.” D. Fernando vil, por la gracia de Dios y por la Constitución de la mo narquía española , rey de las Españas, y en su ausencia y cautividad la Regencia del Reyno nombrada por las Cortes generales y extraordinarias, á todos lps que las presentes vieren y entendieren, sabed…</t>
  </si>
  <si>
    <t>…ien haya logrado la dicha de ver Tas urnas de Daoiz y Velarde llevadas en triunfo. Idem 4. ARTICULO DE OFICIO. La Regencia, del Reyno se ha servido expedir los decretos siguientes D. Fernando vil, por U gracia de Dios y por la Constitución de la mo narquía española, rey délas Españas, y en su ausencia y cautividad la</t>
  </si>
  <si>
    <t>…ue las Cortes han decretado lo que sigue: „ Deseando las Cortes perpetuar la memoria del 24 de Marzo próximo pasado, en cuyo venturoso día hizo su entrada en territorio español el Señor D. Fernando vi!, rey de las Españas, libre ya de la fuerza enemiga que le oprimiera, por la admirable constancia y heroyco valor de sus fieles y leales súbditos, han tenido á bien decretar lo siguiente: en la orilla derecha del rio Fluviá, frente del pueblo llamado Basca…</t>
  </si>
  <si>
    <t>…el último sacrificio prodigaron sus vidas paia afianzar la felicidad de la nación entera. ARTICULO DE OFICIO. La Regencia del Rey no se ha servido expedir los decretos siguientes: D. Fernando vn, por la grada de Dios y por la Constitución de la mo narquía española, rey de las Españas, y en su ausencia y cautividad la Regencia del Reyno nombrada por las Cortes generales y extraordinarias, á todos los que las presentes vieren y entendieren, sabed: q…</t>
  </si>
  <si>
    <t>…generales y extraordinarias, á todos los que las presentes vieren y entendieren, sabed: que las Cortes han decretado lo siguiente: „La^ Cortes, teniendo presente que en quanto el Sr. D. Fernando vn haya prestado el juramento prescri o por la Constitución, exercerá con to* da plenitud las facultades que la misma le señala; y que de consiguiente ce sarán las Cortes en el exercicio de aquellas que siendo del poder executivo, se habían reservado hasta ah…</t>
  </si>
  <si>
    <t>…uctivo no pone término la voluntad general de la nación ? Este es, pues, el medio de asegurar la paz de la Europa, y no habrá cosa que. la altere en adelante.” ARTICULO DE OFICIO. D. Fernando vil, por-la gracia de Dios y por la Constitución de la mo narquía española, rey de las Españas, y en su ausencia y cautividad la Regencia del Reyno nombrada por las Cortes generales y extraordinarias, á iodos los que las presentes vieren y entendieren, sabed:…</t>
  </si>
  <si>
    <t>…y de que el Gobierno tiene pruebas convincentes, siempre constantes en su conducta patriótica y enérgica, y llenos de respeto y entusiasmo por la libertad de nuestro Rey amado el Sr. D. Fernando vil, determinó verificar unas funciones capaces ae llenar un objeto tan grandioso, á pesar de sus muchos sacrificios en 70 ataques que han experimentado por no sujetarse á la dominación del tirano de Francia. En los dias 23 , 24 y 25 de Abril se solemnizó tan…</t>
  </si>
  <si>
    <t>$28 Madrid 13 de Mayo» El ayuntamiento de esta capital recibió el miércoles último un real de creto de nuestro deseado y amado Monarca el Sr D. Fernando vn, el qual á la letra dice asi: . „El Rey: alcaldes, regidores y ayuntamiento de la mi villa de Madrid. Aunque en todos tiempos el pueblo de Madrid ha dado á los Reyes mis pre decesores decididas pruebas de su amor y lealtad, todavía las que ha dado á mi per…</t>
  </si>
  <si>
    <t>…yer por la tarde etv medio de las: aclamaciones mas afectuosas de un inmenso pueblo de esta vecindad y de los lugares comarcanos llegó á este real Sitio nuestro deseado Monarca el Sr. D. Fernando vil, volviendo después, de siete años de cautiverio á ocupar el trono de una nación cuyos individuos supieron durante su ausencia arrostrar toda especie de peligro* y privaciones antes que desmentir Uíi solo instante ei amor y fidelidad que ■te habían jurado.…</t>
  </si>
  <si>
    <t>…) 539 GACETA E X T RAORDINARIA DE MADRID DEL MARTES 17 DE MAYO DE 1814. Luego, que se recibió en esta capital la faustísima nueva de la próxima venida de nuestro amado Soberano el Sr. D. Fernando vn, tomó el ayun tamiento las disposiciones oportunas para recibir á S. M , si no con toda la magnificencia debida á su real persona, por lo menos con el decoro y os tentación que permitían las circunstancias. La puerta de Atocha , que era por donde debía ent…</t>
  </si>
  <si>
    <t>…Alcalá se erigió un so berbio arco de triunfo semejante al de Tito en Roma, con alusión ai que este heroyco pueblo, ha conseguido en la libertad y rescate de su amado Mo narca el Sr. D. Fernando vn como principal móvil de ello por la constancia, magnanimidad y patriotismo que ha conservado hasta conseguirlo. Este arco, que se elevaba á la altura de 34 pies, estaba decorado con dos columnas de orden corintio, situadas sobre un zócalo, y embebidas en d…</t>
  </si>
  <si>
    <t>…elo de conservar sus vidas fatigadas. Estas, Señor, ofre cen hoy á V. M. con el placer derramado en unos corazones que ni han si do ni serán de otro que de su amado Rey y Soberano D. Fernando vn, que Dios guarde , para que baxo las dulzuras del mas feliz rpynado florezca la santa religión católica con todo su esplendor y pureza, y para que uni dos todos los españoles en rededor del solio que ocupa V. M. como padre á quien universalmente han jurado…</t>
  </si>
  <si>
    <t>…cree firmísim.imente que asi como quando la* iglesia de España se hallaba dilacerada por la multitud de sectarios y musulmanes que inundaban la Península, ia proveyó del Santo Rey D. Fernando 111 para librarla de aquel azote, erigir y restaurar las principales catedrales, entre las que no debió menos á su piedad la de Búrgos, fundada por el mismo Santo Rey ; al presente que las circuns tancias son acaso mas ominosas todavía por la solapada raAicia…</t>
  </si>
  <si>
    <t>…glesia parroquial de Santa Cruz á una solemne misa y Te Deumt que mandó celebrar en acción de gracias al Todopoderoso por el feliz arribo á esta corte de nuestro amado Soberano el Sr. D. Fernando vir. Luego que el tribunal de las Ordenes Militares tuvo noticia de la lle gada de S. M. al territorio español celebró en acción de gracias un TV Deum y misa solemne en el convento de religiosas Calatravas de esta corte el dia 31 de Marzo último; y habiendo t…</t>
  </si>
  <si>
    <t>…rados para condenar las heregías. Cádiz 20 de Mayo. El dia de ayer, en que se publicó aquí la noticia de hallarse ya sentado en el solio de sus mayores nuestro augusto Soberano el Sr. D. Fernando vn de Borbon, fue para estos leales habitantes un dia de júbilo inexplicable. Veía se pintado el gozo en todos los semblantes, y no se oian por la ciudad otras voces que las de viva Fernando vn entre las salvas de artillería y el alegre ruido de las campanas.…</t>
  </si>
  <si>
    <t>…que D. Lorenzo Béltran, alcalde de esta villa , recibió la gaceta’ extraordinaria de Madrid d,el jueves \% del corriente,, en que se inserta ef real decreto de nuestro amado Rey y Señor Fernando vil, dado en Va lencia, el 4 de este mes, declarando nula y de ningún efecto la Constitución: sancionada en Cádiz, se creyó en la. precisa obligación de hacer, entender su1contenido: al pueblo para su mas puntual observancia. A este fín dispuso,, con acuerdo…</t>
  </si>
  <si>
    <t>…r con danzas, bayles é ilumina ciones sb regocijo al ver por ñn restituido á su amado Monarca al trono de sus mayores. Madrid 30 de Mayo. Con motivo de ser hoy dia del REY nuestro Señor D. Fernando vir se lia vestido la corte de gala con uniforme, y ha habido besamanos, al que han asistido los grandes, ministros i embaxadores extrangéros, los tribunales, prelados, los generales y oficiales de los exércitos de mar y tierra, que han tenido la honra de cum…</t>
  </si>
  <si>
    <t>…Mayo* ' ■ Hoy se ha Celebrado úna magnífica función religiosa en la santa iglesia catedral para dar gracias al Todopoderoso por el feliz regreso de nuestro amado Soberano el Sír. D. Fernando vil. El templo sé hallaba suntuosamen te adornado, y el altar mayor con ún sobrepuesto de plata baxo un pabe llón de terciopelo carmesí con franjas de oro. Gélebfó la misiá de pontifical el limo? S*. obispo de; Albarraciñ , y predicó ePseíñbr canónigo magistr…</t>
  </si>
  <si>
    <t>…anos de España y Francia. ESPAÑA. Cor uña 22 de Mayo. Los regocijos públicos de esta ciudad en obsequio de la llegada y ocu pación del trono de las Españas p«&gt;r su legítimo Rey el Sr. D. Fernando vil habían comenzado con iluminación general, fuegos artificiales y músicas en la misma noche de 17 del comente, dia en que el busto del Soberano se sa có en procesión por el pueblo, acompañado de todas las autoridades milita res y civiles de esta plaza. La i…</t>
  </si>
  <si>
    <t>…lle Don Lorenzo de Angulo Guardamino. San Roque j6 de Mayo, r En el momento que en esta ciudad se recibió la plausible noticia de la llegada á Gerona de nuestro deseado Monarca el Sr. D. Fernando vil, para dar una prueba del constante amor que le profesaba, dispuso que sin pérdi da de tiempo hubiese un repique general de campanas en todas sus iglesias; é instruido el público del justo motivo qne lo ocasionaba principió á acom pañarlo con multitud de t…</t>
  </si>
  <si>
    <t>…Mayo. El tribunal eclesiástico de esta ciudad y obispado, á la primera noticia que tuvo por lá gaceta extraordinaria del 12 de Mayo del real decreto dé S. M., que Dios guarde, el Sr. D. Fernando vil, fecho en Valencia á 4 del mismo, y de hallarse colocado en su real trono, por que tanto suspira ba la nación, se apresuró á dar gracias á Dios Todopoderoso por tan feliz como dichoso acontecimiento; y á éste fin dispuso que en la mañana del 17 se celebra…</t>
  </si>
  <si>
    <t>…la calle de Santiago, casa núm. 10, quarto segundo, en donde darán rázon de un hijo que dexó este en ama durante el segundó .sitio de Zaragoza. Memorias para la vida defsanto Rey D. Fernando, dadas á luz por D. Miguel de Manuel y Rodríguez, bibliotecario primero de los reales estudios de Madrid. F1 nombre del P. Marcos Burriel, autor dé estas memorias, y las doctas adkiones con que el editor las ha ilustrado, y de que da razón en el prólogo, bast…</t>
  </si>
  <si>
    <t>…ados los mas sinceros y mas respetuosos testimo nios de su amor y fidelidad á la augusta persona de V. M. „La misma santa iglesia, que favorecida por la acendrada piedad del santo rey Fernando ni y de otros predecesores de V.M., dio desde su erec ción las mayores pruebas de reconocimiento y, lealtad al trono español, las ha renovado con la mayor energía desde la gloriosa proclamación deV. M., tan suspirada como merecida por sus excelsas virtudes; y…</t>
  </si>
  <si>
    <t>648</t>
  </si>
  <si>
    <t>648 los gefes y empleados de las oficinas de rentas de esta capital dar tina señal de sus fieles sentimientos de amor y respeto á nuestro augusto Soberano el Sr. D. Fernando vil, escogieron el día del gloriosísimo samo de S. M. ( 30 de Mayo) para celebrar una función de iglesia en acción de gracias al Todopo deroso sacramentado, porque prodigiosamente conservó su real persona en medio de los peligros de su cautiverio, y la restit…</t>
  </si>
  <si>
    <t>661</t>
  </si>
  <si>
    <t>…ustre villa de Asturias en unían con su ayuntamien to , penetrados de los sentimientos de su lealtad y de justo regocijo por el feliz y deseado regreso de nuestro amado Monarca el Sr. D. Fernando vn, considerando que los acontecimientos de la memorable crisis que ha sufrido la patria en esta época tuvieron, principio en la víspera y dia de S. Jo^é, en que subió al trono nuestro adorado Soberano, ;y que este año en su octava había entrado en España de…</t>
  </si>
  <si>
    <t>668</t>
  </si>
  <si>
    <t>…las gradas de S. Felipe el Real. Va adornada de quatro láminas y una viñeta con el retrato del autor. Esta obra ha tenido ei honor de ser presentada y admitida por el Rey nues tro Señor D. Fernando vn, y al Excmo. Sr. embaxador de Inglaterra. &lt; EN I.A IMPRENTA REAL.</t>
  </si>
  <si>
    <t>…s ni, vicario, visitador y juez eclesiástico ordinario de esta ciudad, su partido y campo de Calatrava, la faustísima noticia de haber llegado á la corte nuestro amado Soberano el Señor D. Fernando vu, .dispuso á sus expensas que se diesen gradas á Dios por tan feliz acontecimiento, y se proporcionase á los leales habitantes de esta ciudad el poder manifestar el regocijo de que se hallaban poseídos: y ha biendo destinado para este efecto el dia del Rey…</t>
  </si>
  <si>
    <t>675</t>
  </si>
  <si>
    <t>…^arzobispo obispo y cabildo de la catedral de Badajoz acordaron dar gracias ¡al Todopoderoso en una solemne función de iglesia por la libertad •yifeliz. arribo ^España delSr Rey. D. Fernando vn. ,A;esfe efecto se ador ar© é:üujn«iD la fachada de la iglesia y.la tp.rre * á pesar dé ia,;e?casez ,de. me'dios.queshay,en el ¡templo¿, ’ ya rpor Jos,donativos hechos voluntariamente á 4os ¿xéteitos i ¡espado lesi,? ya por, las contribuciones en tiempo de…</t>
  </si>
  <si>
    <t>…ie accioii de gracias al Todopoderoso por los innumerables beneficios que ha dispensado á este reyno con devolver al seno de sus vasallos á nuestro muy amado y legítimo Monarca el Sr. D. Fernando vu, resolvió executarlo en el dia de S, Fernando Rey de las Españas. * médití kliá dé-lá''víspera de este dia un repique general de campanas anunció la solemne funcitfci'quepreparaba: inmediatamente todo su vecina darfó’con la ínas cofdiabbnion" acudió lleno…</t>
  </si>
  <si>
    <t>686</t>
  </si>
  <si>
    <t>…ermo, barón de Humboldt. ESPAÑA. ' ' . , * • . \ Vbrique 25 de Mayo. Habiendo llegado á esta villa el 4 de Abril último la noticia de la entra da en Gerona de núestro amado Rey el Sr. D. Fernando yii , sus habitan tes dieron las mayores demostraciones de júbilo con repetidos vivas, salvas y repiaue general, á que se siguic5 un solemne Te Deum é iluminación por tres noches, sin haber precedido orden alguna superior-; y luego que supie ron qüc S. M. hab…</t>
  </si>
  <si>
    <t>…ar un testimonio público del mas acri solado amor á su legítimo Soberano, y de la fidelidad y alegría de que se halla poseído por la suspirada restitución y exaltación de S. M. el Sr. Don Fernando vn al trono y soberanía de las Esparus, de que fue despojado por el mas pérfido de ios liranos, ofreció el 30 de Mayo último un lucidísi mo convite en la caca de su residencia. Con motivo tan plausible convidó i lo&lt;&gt; Excmos. gobernadores de e-tos rey nos, y á…</t>
  </si>
  <si>
    <t>…deros del regimiento de Hibernia, y 500 pesos á D. Gui llermo Q-Cancanen, teniente retirado á la plaza de Tuy, se hace saber á ios inte resados á fin de que acudan á su albace3 el capitán D. Fernando de la Puente, en Florida , para tratar sobre estos pagos. Se desea saber el paradero de D. Antonio Carrero, secretario interino que fué de la dirección general de provisiones del reyno en Cádiz en el año próximo pa sado de 18 ro , para comunicarle asuntos que…</t>
  </si>
  <si>
    <t>…esanos: por el R. P. Fr. Manuel de Hercc y Portillo: un tomo en 4.0 Se hallará en la librería de la viuda de Barco López, calle de la Cruz. Himno patriótico al regreso de S. M. el Sr. D. Fernando vil ( que Dios guar de ) : por D. Eugenio Rufino Hernández: puesto en música con acompañamiento para forte-piano. Se hallará con la música , grabada con el mayor esmero , en Ma drid en la librería de Sojo, calle de las Carretas, y en las demas donde se vende…</t>
  </si>
  <si>
    <t>…iende á 154; entran en este número todos ios mariscales, excepto Davoust. Estos nombramientos son vitalicios. ESPAÑA. Oviedo 2 de Junio. La restitución de nuestro amado Monarca el Sr. D. Fernando vil al tro no de las Españas, ha sido celebrada aqui con aquel entusiasmo y regocijo que solo pueden inspirar la verdadera lealtad y el amor mas acendrado. Apenas se tuvo noticia de ene feliz acontecimiento el ayuntamiento, al mis mo tiempo que se apresuró á…</t>
  </si>
  <si>
    <t>…és de ella continuaron las diversiones y regocijos, que duraron toda la noche. Cuenca u de Junto. Luego que se recibió en esta ciudad la plausible noticia del tránsito da S. M. el Sr. D. Fernando vn por algunos pueblos de esta provincia, e! ca bildo catedral de esta santa iglesia diputó á quatro de sus individuos capi tal ares para que tomando su representación felicitasen á S, M. Esta comi sión tuvo el honor de besar la mano á su real Magestad en el…</t>
  </si>
  <si>
    <t>…ción de S. S. Pío vil á su silla de Roma, celebró ayer una solemne función de iglesia con aquella misma pompa que lo hizo con ocasión del in teresante regreso de S. M. Católica el Sr. D. Fernando vil á su trono de España é Indias, habiendo habido la ¡particularidad únicamente de que ha llándose el Iluio» Sr. obispo dé esta diócesi, se proporcionó la satisfacción de que acompañado el prelado de su cabildo y clero, entonase un solemne Te JJeum con misa…</t>
  </si>
  <si>
    <t>…ue pertenece al real patronato, y que nuevamente-se acoge baxo la protección de V. M.” ARTICULÓ DE OFICIO. Se ha, éxpédido la real cédula siguiente de S. M. y señores del conseje» Don Fernando vil por la gracia de Dios, Rey de.Castilla&gt; de Leon,d© Aragón &amp;c. &amp;c. A los, del mi consejó, presidentes, regentes y Oidores de mis audiencias y chanciHerías,.alcaldes, alguaciles de nú;casa y corte, y á todos Jos corregidores, a ísi^nte, intendentes, goberna…</t>
  </si>
  <si>
    <t>…precio antiguo en favor del público ilustrado. Véndese dicho diccionario en la librería de Castillo, á 8 rs. cada tomo,.ó 48 el juego. Retrato del Rey nuestro augusto Soberano el Sr. D. Fernando tii en medio pliego de marca mayor, con adornos de trofeos militares, y un león que con sus garras despedaza el águila, dibuxido y grabado por D. Antonio Vázquez. Se ha llará cu las librerías de Escribano y de Barco, calle de las Carretas, k 10 rs. e* negro y…</t>
  </si>
  <si>
    <t>…20 de Junio. L&gt;eseosos los vecinos de este pueblo de dar á Dios las gracias por la ce sación de la guerra, y por la libertad y restitución al trono de nuestro ado rado Monarca el Sr. D. Fernando vn, resolvieron executar el 29 del mes próximo pasado una solemne función de iglesia, precedida y seguida de pú blicos festejos, para que sus leales vecinos pudiesen manifestar el gozo y sa tisfacción que les cabía por tan faustos acontecimientos. A este efec…</t>
  </si>
  <si>
    <t>…mereció por ser el mas correcto que se había publicado, se vende en el puesto de libros de Hermoso, frente de dicha real imprenta, Á4 rs. vn. A ia venida del mejor de ios Reyes el Sr. D. Fernando vn, nuestro legítimo Rey y verdadero Soberano, oda por D. Francisco Paula Garnier. Se vende en la librería de González, frente á los cinco Gremios.’ EN LA IMPRENTA REAL.</t>
  </si>
  <si>
    <t>…dos años para honor, gloria y felicidad de la monarquía española.** ARTICULO DE OFICIO. Se ha expedido la real cédula siguiente de S. AI. y señores de la Cantara del Consejo Real. D. Fernando vil por la gracia de Dios, Rey de Castilla, de León, de Aragón &amp;c. A los del mi Consejo, Regentes y Oidores de mis Audiencias, Alcaldes, Alguaciles de mi Casa y Corte , y á todos los Intendentes, Go bernadores militares y políticos, Jueces y Alcaldes ordinari…</t>
  </si>
  <si>
    <t>…ra ó por el correo á Doña María de Oria, que vive en la plaza Mayor, encima del peso real, escalera del alguacil mayor. Idea sencilla de las razones qué motivaron el viage del Rey D. Fernando vil i Bayona en el mes de Abril de i3ó8, dada al publico de España y de Europa por ei Excmo. Sr. D. Juan Escoiquiz &amp;c. &amp;c. para su justificación y la de las demás pe sonas que componían entonces ei consejo privado de S, M. contra las imputa ciones vagas de im…</t>
  </si>
  <si>
    <t>…ibrería de Perez, calle de las Carretas, y en la de Moreno, calle de Relatores. Cartilla de las cinco cosas, con las descripciones de los dos geroglíficos erigidos ,al Rey nuestro Señor D. Fernando vil en el año de 1808, baxo los mismos cálcu los y conceptos que está vinculada aquella, por D. Mariano Blas Garoz y Peñalver, 'oficial de la secretaría de Estado y del despacho de la Guerra. Se hallará á 4 tt» en las librerías de Perez, calle de las Carretas…</t>
  </si>
  <si>
    <t>…pies, y besando su mano, espera que como tan piadoso protege rá este establecimiento.” ARTICULO DE OFICIO. Se ha expedido la real Cédula siguiente de S. M. y señores del Consejo, Don Fernando vn por la gracia de Dios, Rey de Castilla, de León, de Aragón, &amp;c. &amp;c. &amp;c. A los del mi Consejo, Presidentes, Regentes y Oido res de mis Audiencias y Chancillerías, Alcaldes, Alguaciles de mí Casa y Corte, y á todos los Corregidores, Asistente, Intendentes, G…</t>
  </si>
  <si>
    <t>802</t>
  </si>
  <si>
    <t>…llos vecinos, y su indecible satisfacción ai verlo colocado en el trono de sus mayores. ARTrcüLO DE OFICIO. Se ha expedido la Real Cédula siguiente de S. M, y señores del Consejo. Don Fernando vil por la gracia de Dios, Rey de Castilla, de León , de Aragón &amp;e. &amp;c. &amp;c- A los del mi Consejo, Presidentes, Regentes y Oido res de mis Audiencias y Chancilieiías, Alcaldes, Alguaciles de mi Casa y Corte, y á todos ios Corregidores, Asistente, ln»endentes,…</t>
  </si>
  <si>
    <t>…eñanza , y animó á los discípulos á la continuación de sus tareas en beneficio público. ARTICULO DE OFICIO. Se ha expedido la Real Cédula siguiente de S. M. y Señores del Consejo. Don Fernando vil por la gracia de Dios, Rey.de Castilla, de León, de Aragón &amp;c. &amp;c. &amp;c. A los del mi Consejo, Presidentes, Regeñtes y Oido res de mis Audiencias y Chancille rías, Alcaldes, Alguaciles de mi Casa y</t>
  </si>
  <si>
    <t>…Se hallará á 7 rs. en lae librerías de Dávila y Perez, calle de las Carretas, y de Novillo, calle de la Con cepción gerónima. Proyecto de Real hacienda , que dedica al Rey nuestro Señor D. Fernando vn (que Dios guarde) el intendente de Guadalaxara D. José López Juana Pinilla. Se hallará á 4 rs. en la librería de Ranz, calle de la Cruz; y en el almacén de papel de D. Santiago Grimaud, calle de las Carretas. _En la misma librería de Ranz se hallan de vent…</t>
  </si>
  <si>
    <t>…despóticos, que han abusado del poder y de la confianza de los Reyes; pero lo mismo ha sucedido e-n España; y ya ese tiempo pasó. Teneis en Madrid á nuestro muy amado Soberano el Sr. D. Fernando vn, traído milagrosamente por la mano visible de la Providencia para reynar en paz y en justicia. Su afabili dad, su religiosidad y sus demas virtudes le hacen amable á todos, y mas á los que tenemos la dicha de conocerle y tratarle de cerca. El ha restituido…</t>
  </si>
  <si>
    <t>…en á la disposición de V. M. las que se han podido sal var de la general desolación.” . ARTICULO DE OFICIO. Se ha expedido la Real Cédula siguiente de S. M. y Señores del Consejo. Don Fernando vil por la gracia de Dios, Rey de Castilla, de León , de Aragón &amp;c. &amp;c. &amp;c. A los del mi Consejo, Presidentes, Regentes y Oido res de mis Audiencias y Chandlierías, Alcaides, Alguaciles de mi Casa y Corte, y á todos los Corregidores, Asistente, Intendentes, G…</t>
  </si>
  <si>
    <t>…8.°, adornado con 28 láminas finas: se vende también sin láminas. Se hallará en la librería de Hurtado, calle de las Carretas. Los subscriptores á la estampa de nuestro Monarca el Sr. D. Fernando vit á caballo, grabada por D. Tomas López Enguídanos, grabador de cámara de' S. M.’, podrán acudirá recogerla á la librería de Matute, calle de las Carretas/ con las papeletas de subscripción, y 30 rs. para completo pago de cada exemplar.5 Se advierte que por…</t>
  </si>
  <si>
    <t>…la adorable religión de Jesucris to, y formar la felicidad y delicias de la monarquía.” ARTICULO DE OFICIO. Se ha expedido la Real Cédula siguiente de S. M. y Señores del Consejo^ Don Fernando vn por la gracia de Dios, Rey de Castilla, de León, der Aragón &amp;c. &amp;c. &amp;c. A lós^dei mi Consejo, Presidentes, Regentes y Oido res de mis Audiencias y Chancille rías , Alcaldes , Alguaciles de mi Casa y Corte, y á todos los Corregidores,. Asistente, Intendente…</t>
  </si>
  <si>
    <t>949</t>
  </si>
  <si>
    <t>…i.0,, por la que se deduce llegaron las municiones ya dichas á su poder en la me jor oportunidad. La plausible noticia del regreso á España de nuestro ama*do y deseado Monarca el Sr. D. Fernando vn, que en la misma ocasión le participé con un exemplar impreso, en que se manifestaba tan feliz acon tecimiento, no dudo producirá los buenos efectos que.me propuse quandose la dirigí, y que se logre con ella el arrepentimiento de muchos de los re beldes. C…</t>
  </si>
  <si>
    <t>…derna filosofía desmascaradá, ó sea paralelo entre el estado monárquico del gobierno intruso de Napoleón y de la Regencia , que era electivo, y el actual demuestro augusto Monarca D. Fernando vn, que es hereditario, sólido y dura ble. Un tomo en 4.0, compuesto por el bachiller D. Fernando Hermoso, dedica do á S. M. Esta obrita interesante á los que se precian de católicos y amantes de^ Fernando y de su propia felicidad , se hallará en la librería…</t>
  </si>
  <si>
    <t>PDF p. 13</t>
  </si>
  <si>
    <t>…se llos de sus armas. Fecho en París el 2ode Julio del año de gracia de 1814. = (L. S.) Pedro Gómez Labrador. =r(L. S.) El Príncipe de Benevento. Plenipotencia de S. M. Católica. Don Fernando por la gracia de Dios; Rey de Castilla, de León, de Aragón, de las Dos Sicilias, de Jerusalen , de Navarra, de Granada , de To ledo , de Valencia, de Galicia, de Mallorca, de Sevilla, de Cerdena, de Córdoba, de Córcega, de Murcia, de Jaén, de los Algarbes, de…</t>
  </si>
  <si>
    <t>…on Real orden, que inmediatamente se publicase al son de los instrumentos militares, y que sucesivamente, presidiendo al ayuntamien?to y concurso del pueblo el retrato de S. M. el Sr. D. Fernando vil, se di rigiesen todós á la iglesia catedral á dar gracias á S. M. sacramentado. Asi se verificó, y el clero todo saió á recibir el Real busto debaxo de palio, le colocó al lado del evangelio; y todo el concurso postrado ante el Señor, entonó el Te Deum, y…</t>
  </si>
  <si>
    <t>…en el oficio anterior. Día feliz y tan deseado fué para el muy ilustre ayuntamiento de Puer to-Rico el 12 de Mayo, en que tuvo la agrad.ble noticia que nuestro au gusto Monarca el Sr. D. Fernando vil había llegado fe izmente con los Se ñores Infantes á la plaza de Gerona, y dia venturoso ei 30 de Ju;¡io, en que la go'eta correo M.riana nos ha dado testimonies públicos é irrefraga* bles de que nuestro ainado Soberano llegó el 10 del corriente al Real s…</t>
  </si>
  <si>
    <t>…la preciosa vida de V. M. dilatados años para gloria y felicidad de toda la España.’* ; ARTICULO DE OFICIO. Se ha expedido la Real Cédula siguiente de 5. M. y Señores del Consejo. Don Fernando vil por la gracia de Dios, Rey de Castilla, de León , de Aragón &amp;c. &amp;c. &amp;c. A ios del mi Consejo, Presidentes, Regentes y Oidoles de mis Audiencias y Chaneiilerías, Alcaldes, Alguaciles de mi Casa y Corte, y á todos los Corregidores, Asistente, Intendentes, G…</t>
  </si>
  <si>
    <t>…te. el modo y medio de solemnizarle por su parte; y á este efecto fué con ducido con gran pompa, acompañamiento, fuegos artificiales y roque de campanas el retrato de S. M. el Si. D. Fernando vn, y colocado baxo de</t>
  </si>
  <si>
    <t>…omana, escrita en francés por Mr* Vigne , ministro protcst ínté en G enoble, y traducida al español por D^M. A. S. D., graduado en sagrada teología, quien la dedica al Rey nuestro Señor Fernando vir. Véndese en la librería de Quiroga, calle de Jas Carretas, baxo la fonda del Angel: un tomo en 8.°, á 10 rs. en pasta. En la librería de Corral, calle de Sos Tintes á Puertacerrada, se halla de venta un gran surtido de música para piano y otros instrument…</t>
  </si>
  <si>
    <t>…españoles: carta del M. F. M. M. M. C. á un amigo suyo. Véndese á 2 rs. en el despacho de la im prenta Real. * Retrato en medio pliego de marca y de cuerpo entero del Rey nuestro Señor D. Fernando vrr, Rey de España y de las Indias, dibuxado por Altarríva, y gra bado por Alegre. Se hallará á 10 rs. en negro y 20 iluminado en la librería de Barco, calle de las Carretas, inmediato ¿ Correos. EN LA IMPRENTA REAL.</t>
  </si>
  <si>
    <t>…conforme al que ya babia autorizado S. S. en 1801 én Rusia, á petición de S. M. el emperador Paulo 1 , y al que en 1804 solicitó y consiguió para el rey no de las Dos Siciiias el rey Fernando, sin mas diferencia que aquellas eran precisamente para aquellos reynos, y este es extensivo para todos los países católicos, en lo qua! expresa S. S. que no ha hecho mas que condescender con las ardientes súplicas de los arzobispos, obispos, y de otras perso…</t>
  </si>
  <si>
    <t>1046</t>
  </si>
  <si>
    <t>…delante de turbar nuestra alegría, y baxaremos contentos á la lobreguez del sepulcro." ARTICULO DE OFICIO. Se ha expedido la "Real Cédula siguiente de S. M. y Señores del Consejo. Don Fernando vn por la gracia de Dios ,Rey de Castilla,de León, de Aragón &amp;c. &amp;c. &amp;c. A los del mi Consejo, Presidentes, Regentes y Oido res de mis Audiencias y Chancilierías, Alcaldes, Alguaciles de mi Casa y Corte, y á todos los Corregidores, Asistente, Intendentes, Gob…</t>
  </si>
  <si>
    <t>…iéndose al ayun tamiento por medio de¿su‘secretario, y se Ie$ avisará el día que deban presentarse á los exámenes. ■ ■ Idea sencilla de las razones-que motivaron- el viáge del Rey D. Fernando vir á Bayona en el mes de Abril de 1808 , dada al público de España y de Europa por el Kxcmo. Sr. D.?Ji$ajp 'Escóiquizi-segunda^edícicwi. Vértdiese á lo; rs. en el des pacho d&lt;i la imprenta Real* ./ ;; -nó,- o * -i . - v:/**--.. v ; •/. EN LA IMPRENTA REAL,</t>
  </si>
  <si>
    <t>…una larga y dichosa vida, un gobierno el mas acertado, y la felicidad de sus vasallos.” ARTICULO DE OFICIO. Se ha expedido la Real Cédula siguiente de S. M. y Señores del Consejo. Don Fernando vn por la gracia de Dios, Rey de Castilla, de León, de Aragón &amp;c. &amp;c. &amp;c. A los del mi Consejo, Presidentes, Regentes v Oido res de mis Audiencias y Chanei Herías, Alcaldes, Alguaciles de mi Qasa y Corte, y á todos los Corregidores, Asistente , Intendentes, G…</t>
  </si>
  <si>
    <t>2-024 mano, y Felicitar á 'V. M. |&gt;or el deseado regreso al trono de sus mayores y augustos predecesores* Y si entre estos la historia, nos presenta al Sr. Don Fernando v, á quien la Procidencia por los años de 1492 descubrió un nue vo mundo para su gloria, hoy en 1814 nos devuelve con la Real Persona de V. M. otro, que siendo el vn en la sucesión de la corona de España,sabrá conservarlo ahora en justicia y equidad para su e…</t>
  </si>
  <si>
    <t>…s sus habitantes de sacrificarse por ella, ofreciendo al efecto sus bienes y sus vidas. ARTICULO DE OFICIO. Se ha expedido la Real Cédula siguiente de S. M. y Señores del Consejo. Don Fernando vn por la gracia de Dios, Rey de Castilia, de León, de Aragón 8tc. &amp;c. &amp;c. A los del mi Consejo, Presidentes, Regentes y Oido res de mis Audiencias y Chancillerías, Alcaldes, Alguaciles de mi '. asa y Corte, y á tedos ios Corregidores, Asistente, Intendentes,…</t>
  </si>
  <si>
    <t>…0 idem........ En Madrid. 18106.................. 10000 idem.......... En Málaga. C ’ • ARTICULO DE OFICIO. Se ha expedido la Real Cédula siguiente de S. M. y Señores del Consejo. Don Fernando vil por la gracia de Dios, Rey ; de Castilla, de León , de Aragón &amp;c. &amp;c. &amp;c. A los del mi Consejo, Presidentes, Regentes y Oido res de mis Audiencias y Chancillerías , Alcaides, Alguaciles de mi Casa y Corte &amp;c. &amp;c., sabed: Que con Real Orden de id de este m…</t>
  </si>
  <si>
    <t>2040</t>
  </si>
  <si>
    <t>…r á V. M. el homenage de su acendrada lealtad, respeto y reconocimiento.” '_____ _______ ARTICULO DE OFICIO. Se ha expedido la Real Provisión siguiente de los Señores del Consejo. Don Fernando vn por la gracia de Dios , Rey de Castilla , de León, de Aragón &amp;c. &amp;c. &amp;c. A todos los Corregidores , Intendentes , Ansíeme, Gobernadores, Alcaldes mayores y ordinarios Scc. &amp;x\, sabed: Que habien do sido servido nuestra Real Persona nombrar por Superintende…</t>
  </si>
  <si>
    <t>…gustos Tio y Hermano para bien y felicidad de la nación es pañola.” —, ■■i»——■ciraw— «1 ARTICULO DE OFICIO. Se ha expedido la Real Cédula siguiente de S. M. y Señores del Consejo. Don Fernando vu por la gracia de Dios , Rey de Castilla, de León, de Aragón &amp;c. &amp;c. &amp;c. A los del mi Consejo, Presidentes, Regentes y Oido res ae mis Audiencias y Chancillerías, Alcaldes, Alguaciles de mi Casa y Corte &amp;c. &amp;c. sabed: Que con Real orden de 15 de Agosto próx…</t>
  </si>
  <si>
    <t>…plimiento. =s Señalado de la Real mano de S. M. = En Palacio á 14 de Octubre de 1814. = A D. Pedro Macanaz. Se ha expedido la Real Cédula siguiente de S. M. y Señores del Consejo. Don Fernando vn por la gracia de Dios, Rey de Castilla, de León, de Aragón &amp;c, &amp;c. &amp;c. A los del mi Consejo, Presidentes, Regentes y Oido res de mis Audiencias y Chancilíerías, Alcaldes, Alguaciles de mi Casa y Corte &amp;c. &amp;c., sabed: Que en el párrafo 3.a del estatuto 33 d…</t>
  </si>
  <si>
    <t>…sido recibido en todo el camino con las &gt;tna$.^expresivas demostraciones de regocijo. ESPAÑA. : Madrid ro de Octubre ' El 14 de este mes,dia del feliz cumpleaños. del; Rey nuestro Señor Don Fernando yn, se vistió la corte de gala con* nniforme,.ybubo.besamanos, al que asistieron los grandes, ministros, embaxadoresjéxtrajrgeros,ríos tri bunales, prelados, los generales y oficiales de los^exéreitcs de mar,y tierra, que tuvieron la honra de cumplimentar á S…</t>
  </si>
  <si>
    <t>…. gobernador él coronel D. José Abad y Anoro de que se celebrase con la solemnidad que permite el estado actual de esta plaza el cum pleaños de nuestro amado y deseado-'Monarca el Sr. D. Fernando vii , dis puso se anunciase al público el diá 13 del corriente la función del siguiente por&lt;ún repique, general de campanas é iluminación, en que se esmeraron los vecinos. El día 14, reunidos en la casa,del gobernador los demas gefes é in dividuos del estado…</t>
  </si>
  <si>
    <t>…ía de Calleja, calle de las Carretas, frente á la impren ta real, á 2 rs. en rústica. ■ r Representación y manifiesto que uno de los diputados de las Cortes ordinarias presentó al Sr. D. Fernando vn en Valencia al volver S. M. á su trono en Mayo de 1814, firmado del mismo y de otros muchos diputados de España y Ultramar, manifestando ai Rey el estado de la nación y el remedió que'creían oportuno, su plicando se dignase acordarlo. Se vende en la librer…</t>
  </si>
  <si>
    <t>…nálogo á las circuns* tandas, con expresiones séíúejantes a las anteriores.! ' : . . ARTICULÓ. DE ÓFICTO. Se ha exp 'dido la Real ¡Cédula siguiente de S. M. y Señores del Consejó, Don Fernando vil por la gracia de Dios, Rey de Castilla, de León, de *</t>
  </si>
  <si>
    <t>…l y Pamplona al clero y pueblo de sus diócesis.zzOración panegírica gratulatoria, que en acción de gracias al Todopoderoso por la feliz restauración al trono de nuestro Monarca el Sr. D. Fernando vn dixo el M. R. P. Fr. Manuel de la Vírsen del Rosario, de la orden de Tiinitmos descalzos, en la ciudad de Malaga. Se hallarán en la librería' de Barco 'López, cálle de la Cruz; en Málaga y Gra nada eh la de Martínez; en Sevilla en iá de Caro; en Cádizen la…</t>
  </si>
  <si>
    <t>…é dictasen en su juicio de testamentaría les parará el perjuicio que haya lugar. La persona que supiese el paradero de D. Diego Pascual de Angulo se^ servirá avisarlo á su hermano D. Fernando ea la^villa de Vara de Rey, en la provincia de Cuenca, partido de S. Clemente. Mauricio Hidalgo /soldado dél regimiento provincial de milicias de Sevilla, fue cogido prisionero en la acción de Ocuña {én Noviembre 'de- 809, y conducido a .Francia ; y «o habién…</t>
  </si>
  <si>
    <t>…no despertará en los jóvenes artistas ia augusta presencia de V. M.l Solo el recue;\io de este venturoso momento será suficiente para Reanimar sus esfuerzos: nuestro ama do Rey el Sr. D. Fernando vil (dirán») se dignó honrarnos é inflamarnos en los primeros pasos de nuestra carrera; pues caminemos en pos de ¿os h. re lés de las artes hasta conseguirlos, y procuramos ser dignos profesores, capa ces de ilustrar con nuestras obras el siglo y la nación/tr…</t>
  </si>
  <si>
    <t>…mo Señor t Habiendo llegado á manos del Rey un libro es- ’■ crito en francés y castellano, titulado Representación del Consejero de Es tado Español Di Fíancíáét» 'Af&amp;ofós á el Rey D. Fernando vn, im preso en París en el presente año, quiere S. M. que el Consejo dé lashórdetsar»es /iAnvoniAntac'convenientes rvovpara» recoger ria njano W;0*iFReat Aínntrk'quintos nvomninraCexempíares éose ¿nAit‘Jn__ertcuentren , é impedir su introdncciofir en el Rey'…</t>
  </si>
  <si>
    <t>…scriptores á la historia razonada de lo* principare* suceso* de la glorio sa revolución de España acudirán á recoger el primer tomo con el retrato de nues tro legítimo Soberano el Sr. D. Fernando vil á la librería de Perez: y sigue abier ta la subscripción para los que quieran hacerla por 40 rs. á toda la obra; elida in teligencia de que el segundo tomo está bien adelantado en la prensa, y que los otros dos se publicarán con la posible brevedad. / Los…</t>
  </si>
  <si>
    <t>…Aragón que gozó de La presencia de V*. M.; la primera que le prestó los homenages de; fidelidad * de a’mor y de respeto, como será siempre la primera para sacrificarse;por su Rey D. Fernando el Deseado. No se contentaron* los afectuosos derebs de Fraga con aquellas demostracio nes; quiere.repetirlas de nuevo por- nuestro medio» porque quiere que fre cuentemente oyga V. M. que Fraga, ilustre por sus antiguo^ hazañosos he chos* favorecía* y honrada…</t>
  </si>
  <si>
    <t>…que se congratula por ver reunidas en la augusta Per ona de V. M. las licitas qñalidades de sabio y justo, que le hacen fiel imitador de las virtudes de su pre decesor y santo Rey D. Fernando.” ARTICULO DE OFICIO. Circular del Consejo Real. Cerciorado el augusto Padre de S. M. reynante de que existían en la Córte de Roma muchos Clérigos y Religiosos secularizados, que se ocupa ban en negociar gracias Pontificias, y en ofrecerlas á los Regulares de…</t>
  </si>
  <si>
    <t>2263</t>
  </si>
  <si>
    <t>…inistro para entenderse con los enviados de la Suiza so bre las desgraciadas desa\renencias de aquel país, los quales celebran ya hace hoy cinco dias conferencias en la posada del barón Fernando def(MuIIer, agen te áulico actualmente. El resultado de sus tareas se someterá al congreso, que lo examinará y ratificará, si no halla obstáculos para ello. Se asegura que el cuerpo helvético cederá algunos distritos de la Suiza italiana en cambio de , otras…</t>
  </si>
  <si>
    <t>…a opi nión ha mejorado mucho; son infinitos los que se presentan al indul to; y con las noticias últimamente llegadas del regreso al seno de su nación de nuestro amado Soberano el Sr. D. Fernando vil, es probable que se presenten otros muchos cediendo en gran manera el espíritu de rebelión que ocasionaba la ausencia del Rey, y la casi extinguida esperanza de que Volviese á su trono. Tan plausible y li sonjera noticia ha causado aquí las mas vivas efus…</t>
  </si>
  <si>
    <t>…uspira do regreso al trono de sus mayores, que tan dignamente ocupa; y á poner se baxo vuestros Reales auspicios* Esta Real corporación, erigida por vues tro augusto predecesor el Sr. D. Fernando el vi, y que está encargada por su instituto de la educación pública de toda la nación y de la propaga ción de aquellas nobles artes, que son la base y fundamento de todas las demas ciencias, ofrece á V. R M. su ardiente zelo, y los mas enérgicos es fuerzos p…</t>
  </si>
  <si>
    <t>…á que asistió el limo. Sr. Arzobispo, y no es explicable et gozo de todas las gentes que apenas dexaban andar á S. E., manifestando en accio nes y palabras su júbilo y su amor al Sr. D. Fernando vil nuestro augusto Rey. Es imposible explicar el gozo que enagenaba todos los corazones, y seria precisa una larga relación para hacer solo un bosquejo de las muchas é inexplicables demostraciones de alegría que manifestaron los leales habitan tes de México…</t>
  </si>
  <si>
    <t>…bien S. M. mandar se haga público el anuncio siguiente: Entre las continuas disposiciones de beneficencia y utilidad pública que la nación debe á su augusto y deseado Soberano el Sr. D. Fernando vil des de que tuvo la gloria de volverlo á ver en su trono, se contará siempre la restitución del colegio de caballeros cadetes del Red cuerpo de Artillería* al alcázar de Segovia, “decretada por S. M. en 7 de Junio; de este año, y que</t>
  </si>
  <si>
    <t>…que pudo salvar de las 'hosti idades que suf. ió de «¡i corsario que encontró en la costa, en el qual se inserta un decreto, fecho én Valencia á 4 de Mayo último, en que S. M. el Sr. D. Fernando vii re asome la soberanía, de que ilegalmente pretendieron despojarle las ritmadas cortes generales y extraordinarias de la nación, se proceJio á tratar un pun to de tanta gravedad y consecuencia, no porque la diputación por sí vacila se en reconocer y asenti…</t>
  </si>
  <si>
    <t>…cientes á la prosperidad de ia provincia; y después del mas detenido examen acor daron lo siguiente: i.° Que respecto á que el dia 24 del corriente fue solemnemente pro clamado el Sr. D. Fernando vu por Soberano de España y de las Indias, á impulso general de las autoridades de los diversos órdenes del estado y de todo el pueblo de Mérida , que en el instante; se reunió en virtud de los in veterados sentimientos de amor y lealtad que le han sido tan c…</t>
  </si>
  <si>
    <t>Fernando'vil</t>
  </si>
  <si>
    <t>1049</t>
  </si>
  <si>
    <t>…a recibido el oficio siguiente del gobernador de la Havana. ,,£xcmo Sr.: el dia 27 de Mayo próximo pasado al anochecer llego aquí la noticia del arribo de nuestro amado Monarca el Sr. D. Fernando'vil á Gerona en 24 de Marzo anterior, libre y en perfecta salud, por una embar cación procedente de Puerto Rico, de donde traxa copiado é impreso de or den de aquel gobernador un artículo de la gaceta extraordinaria de la Regen cia de 29 del mismo.__ Desde la boc…</t>
  </si>
  <si>
    <t>Fernando, D</t>
  </si>
  <si>
    <t>D Fernando</t>
  </si>
  <si>
    <t>…na. A las 10 de la noche, después de haber servido un esquhito refresco, principió una can tata portuguesa, intitulada Anuncio de la faz, ofrecida por amor y fideli dad á S. M. el Sr. D Fernando vn, composición de uno de los mas fecun dos ingenios portugueses, y cuya música habia compuesto el famoso profe sor Juan Domingos Bomreinpo, siendo inter'ocutores la alegría y el valor, y los pueblos aliados formaban los coros. E^ta cantata fué recitada por l…</t>
  </si>
  <si>
    <t>Fernando, Di</t>
  </si>
  <si>
    <t>Di Fernando</t>
  </si>
  <si>
    <t>…. en la librería de Gila, calle de las Carretas, frente á la botillería. -Mis sentimientos y desahogos a láí ninfas del Bétis en el triste cautiverio de nuestro amable Soberano el Sr. Di Fernando víí por el emperador de los franceses, y mis repetidas albricias á las mismas por la suspirada y milagrosa restauración en su trono. Véndese en las librerías de Pérez, calle de las Carretas, y de Novillo, calle de la Concepción Gerónima: su precio 3 rs. ^ EN…</t>
  </si>
  <si>
    <t>Fernando-por</t>
  </si>
  <si>
    <t>PDF p. 15</t>
  </si>
  <si>
    <t>9*5 Ratificación de S, M, Católica. Don Fernando-por la grada de Dios, Rey dt Castilla, de León, de Aragón, de las Dos Sicilias, de Jerusalen, de Navarra, deG,ranada, de To*~ ledo, de Valencia, de Galicia, de Mallorca, de Sevilla, de Cerdeña, de Córdoba’, de Córcega, de Murcia, de Jaén, de los Algarbes, de Alge…</t>
  </si>
  <si>
    <t>Ferraloro, Félix</t>
  </si>
  <si>
    <t>Félix Ferraloro</t>
  </si>
  <si>
    <t>…ctores para la administración de las rentas: cada uno entenderá en uno de los departamentos en que se ha dividido el reyno; y el Príncipe los ha puesto á cargo de D. Gaspar Leone, D. Félix Ferraloro, D. Buenaventura Rossi, y el duque de Serradifalco. PRUSIA. Berlín jo de noviembre. El Rey de Dinamarca envió embaxádores al Príncipe Bernadotte con proposiciones de paz, y la respuesta lúe que las oiría en territorio dinamar qués. A consecuencia volvió á pas…</t>
  </si>
  <si>
    <t>Ferraz, Jasé</t>
  </si>
  <si>
    <t>Jasé Ferraz</t>
  </si>
  <si>
    <t>…cisco Porquerizos, á D. Felipe Do mínguez : para el téróió beneficio de S. Pedro de Garmona, en el arzobis pado de Sevilla , que ha vacado por fallecimiento de D. José Martínez, ¿ D. Jasé Ferraz: para el beneficio simple de Sta. Colonia de Vez de Marban , en el obispado de Zamora, vacante por muerte de D. Jo é Pando, á D. Lucas Tadeo Delgado: para el beneficio préstamo de Castillejo de Azava , vacanfe en ej!obispado de Ciudad-Rodrigo por fallecimient…</t>
  </si>
  <si>
    <t>Ferraz, Rafael</t>
  </si>
  <si>
    <t>Rafael Ferraz</t>
  </si>
  <si>
    <t>…: se cree que fuese natural de la ciudad de Baza, en el reyno de Granada. La persona que supiere de él ó de sus herederos, en caso de haber muerto, se servirá avisarlo en Madrid á D. Rafael Ferraz, capellán de extrangeros en el hospital general de Corte, el qual tiene en su poder algunos intereses que le corresponden. Principios de medicina y cirugía para los estudiantes de esta facultad, en un quadro nosológico que sirve de introducción al conocimient…</t>
  </si>
  <si>
    <t>…bispado de Ciudad-Rodrigo por fallecimiento de D. Joa quín, Uria, y la media prestamera de S. Nicolás de ía ciudad de Sevilla, que vacó por .muerte de fi* José. Marín y Llabuca, á D. Rafael Ferraz: para el medio beneficio rural de Butarque y Obera, en el arzobispado de Toledo, vacante por fallecimiento de D. Francisco de Paula Scuditi, á D. Manuel de Castro.y Aíar.con.: Igualmente accediendo á ia solicitud del patriarca de las Indias, obispo.de Órihuel…</t>
  </si>
  <si>
    <t>Ferrer, Francisco</t>
  </si>
  <si>
    <t>Francisco Ferrer</t>
  </si>
  <si>
    <t>…fael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yetano Ortega, en atención á su constant…</t>
  </si>
  <si>
    <t>Ferrer, Jayme</t>
  </si>
  <si>
    <t>Jayme Ferrer</t>
  </si>
  <si>
    <t>…uebla, vecinos de Vicálvaro , por haber robado el primero una muía ¿ y tener del segundo sos pechas de complicidad: oido su defensor D. Joaquín Sánchez Igual, y el promotor fiscal D. Jayme Ferrer, y enterado S. M. de la avanzada edad del principal, abandono de su muger é hijos, como de los ligeros indicios que resultan contra el acusado de cómplice, y asimismo del tiempo que han sufrido prisión, se sirvió S. M. indultarlos, haciéndoles la mas benigna…</t>
  </si>
  <si>
    <t>Ferrer, Magín</t>
  </si>
  <si>
    <t>Magín Ferrer</t>
  </si>
  <si>
    <t>…Arce, conde de Galvez, D. Miguel Josef de Ázanza , D, Gonzalo O-Farril, marquesa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 Alonso, D: Francisco A…</t>
  </si>
  <si>
    <t>Férrer, Tadeo</t>
  </si>
  <si>
    <t>Tadeo Férrer</t>
  </si>
  <si>
    <t>222</t>
  </si>
  <si>
    <t>…man4 dar se publique en la gaceta para satisfacción de los interesados. ^ ¡ Atendiendo lá:Ré'’éhcJá del Reyno al constíínté y buen desempeño eh campaña de los capitanes de Fragata D. Tadeo Férrer y D. Claudio Cóig, mayores generales de marina del primero y segundo exército de operacio nes , y á la recomendación que han merecido de los respectivos generales en gefe, se ha dignado promoverlos á capitanes de Navio de la armada nacional. Por fallecimiento del teniente gene…</t>
  </si>
  <si>
    <t>Fesch</t>
  </si>
  <si>
    <t>…la banda de Federico el Gran de , de que Bonaparte se apoderó después de la batalla de Jena , y que se depositaron en París con otros trofeos sacados de los estados prusianos. El cardenal Fesch, después de despedir á muchos de sus criados, salió de León, acompañado de madama Leticia, su hermana, con dirección á Roma. Los condes de Funchal y de Palmella partieron esta semana para París, y quedó el señor Guerrero, secretario de embaxada, encargado de…</t>
  </si>
  <si>
    <t>Fguía, Nazario de</t>
  </si>
  <si>
    <t>Nazario de Fguía</t>
  </si>
  <si>
    <t>…e campo á los brigadieres D. Miguel de los Ríos , D. Car los de Gunchi, D. Bartolomé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 D. José de, Aymerich , D. José María de…</t>
  </si>
  <si>
    <t>Fi</t>
  </si>
  <si>
    <t>…ta central, por las Regencias del reyno y por las Cortes, que tengan relación con la dirección * adminhtf ación y distribución de jas en comiendas de los Sres. Infantes D. Cárlós, D. Fi;antrÍ5cq de Paula ,.'I&gt;. An tonio y D. Carlos Luís,Jtey de. Etturia ; habiendo determinado igualmente fque se reintegre á SS. A A. en el gobierno, adn&gt;inistrácioji y goce, de dichas encomiendas, sus frutos y rentas, en quanto no estén derogados por las le yes…</t>
  </si>
  <si>
    <t>Fiado</t>
  </si>
  <si>
    <t>…ecretario de Estado, teniendo á su cargo el departamento de los negocios extranjeros, ¿kc. &amp;c. &amp;c. ■ ' ^ ,• - -• ’ El .Sr. Jorge Górdon, conde de Aberdeen, vizconde de Formantine, lord Fiado , Methlic, Tarvis y Kellié &amp;c,, uno de los 16 pares, représen^tante de la Escocia en la cámara alta, caballero de su,muy antigua :-ytmiiy noble orden del Cardo, su embaxador extraordinario y plenipotenciario cerca de S. M. I. y R. Apostólica.' El Sr. Guillerm…</t>
  </si>
  <si>
    <t>Fiane</t>
  </si>
  <si>
    <t>…os tenientes generales sir Tomas Picton y sir Lowry Colé, sostenidos por la brigada portuguesa del general Buchan, perteneciente á la división Lecor, y la caballería del mando del general Fiane, que desaloja ron prontamente ai enemigo sin pérdida alguna de nuestra parte, volviendo á establecer nuestros puestos donde anteriormente habían estado. _ Las úl timas noticias que tengo de Cataluña son del 24 último, á cuya época na da de extraordinario habi…</t>
  </si>
  <si>
    <t>Figueroa, Agustín de</t>
  </si>
  <si>
    <t>Agustín de Figueroa</t>
  </si>
  <si>
    <t>…ondrngon, D. Francisco Xavier de triarte, D. José de Espinosa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</si>
  <si>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Figueroa, Ramón de</t>
  </si>
  <si>
    <t>Ramón de Figueroa</t>
  </si>
  <si>
    <t>…Lavadle, D. Juan Cisquero , D. Antonio Darcaurt, D, Fran cisco Fulgencio, D. Estéban Poriier, D- Antonio María de Mendoza, y Don Mariano de Peñafiel. A 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t>
  </si>
  <si>
    <t>…luntad en el año de 1808.”^ El 26 de Agosto último tuvieron la honra de felicitar á S. M. por su res titución al trono en nombre de la villa de Consuegra, del partido de Tole do, D. Ramón de Figueroa, D. Baltasar:"Vrilíarejo y D. Francisco Melgar; de los quales el primero dixo: ,, Señor: el ayuntamiento y villa de Consuegra, una de las del gran pricrafb déla orden de S. Juan, tiene la honra en este dia de felicitar á V. M. con él mas sincero respeto y amo…</t>
  </si>
  <si>
    <t>Fiiilartoni</t>
  </si>
  <si>
    <t>…nferno, y dirigida por el-mayor ^general Kenzié, atacó con mucha bizarría á la aldea de Merxem.__ La rapidez con que marchó el destacamento del tercer batalion, &gt;fráínd¿ido por el capitán Fiiilartoni, y del batallón segundó del regimiento nusn. yB.ádas órdenes del te niente coronel Lendsay-, sostenidos por el segundo batallón del 25.0, á las órdenes del mayor M’Donnelí», y por el 33.0 á las órdenes del teniente co ronel Eífinstone, y una carga pronta.á la…</t>
  </si>
  <si>
    <t>Finestra, Tomas</t>
  </si>
  <si>
    <t>Tomas Finestra</t>
  </si>
  <si>
    <t>…efe dei se gundo 'exército, á *cuyo distrito pertenecía antes la referida provincia. La Regencia del Reyno se ha servido nombrar secretario^, de la capita nas general de Navarra á D. Tomas Finestra, capitaa de Zapadores'Mi nadores. MADRID EN LA IMPRENTA NACIONAL.</t>
  </si>
  <si>
    <t>Fink</t>
  </si>
  <si>
    <t>…vecinas están en marcha , y se esperan aquí las tro pas que la paz con la Fersia hace inútiles en aquel país y en la Georgia, y algunos destacamentos de Varsovia á las ordenes del general Fink. Se cree que el duque de Richelieu, gobernador de Odessa, será comandante en gete.” El feld-mariscal Bellegarde y el príncipe Eugenio Beauharnois hicieron un tratado, en virtud del qual las tropas francesas del exército debían vol verse á Francia , y las Ital…</t>
  </si>
  <si>
    <t>Firmont</t>
  </si>
  <si>
    <t>…á posesionarnos de ella sin resistencia. E11 mi último oticio dixe á V. E. que después de varios encuentros sin ventajas, tenidos con la retaguardia del exército francés, había el general Firmont establecido su quartel general en Vandoeuvre. El príncipe real de Wurte nberg ha continuado con las ventajas que habia conseguido contra el cuerpo del mariscal Macdonald en la Ferié y en Clairvaux el 28. El i.° se apoderó de Bar del Sena, y el 2 siguió hasta,…</t>
  </si>
  <si>
    <t>Fita, Joaquín</t>
  </si>
  <si>
    <t>Joaquín Fita</t>
  </si>
  <si>
    <t>io86 ficio simple de la parroquia de la villa de Molina en la diócesis de Cartage na, vacante por muerte de D. Joaquín Fita, á D. Miguel Sebastian y Ra mos: para la prestamera de la parroquia de la villa de Requena, diócesis de Cuenca, vacante por fallecimiento de D. Gervasio Verde, á D. Cárlos Me ras; y para otra prestamera de la parroquia de la villa de Ventosa, en la misma dióc…</t>
  </si>
  <si>
    <t>Fita, Vicente</t>
  </si>
  <si>
    <t>Vicente Fita</t>
  </si>
  <si>
    <t>…. = Lie. Fernandez. 3.a Sentencia pronunciada por el mismo supremo tribunal en sala primera. SEÑORES DE SALA PRIMERA# D. Antonio Ignacio Cortavarría. D. Ciríaco González Carvajal. D. Vicente Fita. D. Miguel Alfonso Vilhgomez. ; D. Toribio Ugarte, adjuntó se confirma con costas la sentencia pronunciada por la sala segunda de este síupremo tribunal, en quanto revocó como injusta la del tribunal espe cial creado por las Cortes generales y extraordinarias…</t>
  </si>
  <si>
    <t>…D.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cirujano mayor de exército, se ser…</t>
  </si>
  <si>
    <t>Fito, Manuel Rodríguez</t>
  </si>
  <si>
    <t>Manuel Rodríguez Fito</t>
  </si>
  <si>
    <t>…ue se hallaban dis puestas á executarlo.-El batallón de Molina quedó en Cherta al cargo de su coronel D. Fa cu fleta- Afarcon, y también el coronel ayudante general de ntado-mayor D. Manuel Rodríguez Fito, con objeto de disponer el bre te paso del ri&amp;podás' tropas, y situar dos cañones, que se dexaron con el</t>
  </si>
  <si>
    <t>Fiton, Joaquín</t>
  </si>
  <si>
    <t>Joaquín Fiton</t>
  </si>
  <si>
    <t>…la escuela militar de la Isla de León; y á D. Manuel Varéla, D. Pedro García y D. Francisco Xavier Pardo, alumnos de la de Santiago. El canónigo magistral de la colegial de Alfaro D. Joaquín Fiton, mo lido de su buen zelo y amorrara con. los defensores de la patria, ha pre sentado á disposición del general en gefe del quarto exército y en benefi cio de las tropas de su mando, la cantidad de; 1500 rs. vn., como únrca de que podía disponer; y enterado S.…</t>
  </si>
  <si>
    <t>Flauhaut</t>
  </si>
  <si>
    <t>…Guillotiere auxiliado por el duque dé Réggio, y ha avanzado hacía Lussigny, pasando el Barse. El ge neral Duhesme ha tomad© posición en Momierarnery cerca de Vandocuvré. 4 ■ • El conde Flauhaut, ayudante de campo del emperador Napoleón; el conde Dúcea &gt; ayudante-del imperador de Austria; el conde SchouwaloíF, v ' ay udante del emperador de Riísía^ y el general Rauch , gefe del cuerpo de Ingenieros de! rey de Prusia , sé hán juntado en Lussigny para…</t>
  </si>
  <si>
    <t>Fleming</t>
  </si>
  <si>
    <t>…general, gobernador militar y político, con el ayun tamiento*, y como convidados el Exorno: Sr;-capitán..general del departa mento, el Señor comandante general de la esquadra, el almirante Fleming con varios gefes británicas,, muchos generales españoles., y gran numero de oficiales de reales guardias Walonas, Marina, Artillería, Ingenieros y otros cuerpos, intendente^ y otras personas distinguidas; asistiendo un jnrnensQ concurso de todas clases. Las t…</t>
  </si>
  <si>
    <t>Fleury</t>
  </si>
  <si>
    <t>…a y régi men : quinto, finalmente respondieron exactamente á quantas preguntas se les hicieron de doctrina cristiana, ya por el catecismo de este obispado, ya por el compendio del abad Fleury, como de la urbanidad y cortesía, dán dolas una perfecta inteligencia. Los alumnos que sobresalieron entre todos fueron D. Antonio Quintana, D. Rafael de Martos, D. Mariano Perez Delantero, D. Rafael Serrano, D. Julián Diaz, D. Rafael María Ortega, D. Lucas P…</t>
  </si>
  <si>
    <t>Florez, Luis</t>
  </si>
  <si>
    <t>Luis Florez</t>
  </si>
  <si>
    <t>…oria, y que ya no quiere rodear se sino de los objetos de la felicidad pública. ARTICULO DE OFICIO. La Regencia del Reyno se ha servido conferir el gobierno militar de Se villa al brigadier D. Luis Florez, gobernador del Puerto de Santa María: este empleo al de igual clase D. Antonio Porta: la tenencia de rey de la plaza de Cádiz al brigadier D. Alonso Rodríguez Valdés, que la servia in terinamente : la de la de Madrid al coronel J¡¡&gt;« Manuel Villalba, sargent…</t>
  </si>
  <si>
    <t>Flota, Francisco</t>
  </si>
  <si>
    <t>Francisco Flota</t>
  </si>
  <si>
    <t>…de teniente coronel D. Ra món Sentmanat. En" el de dragones de Buenos-Ayres alférez á D. Toma» Aspiazu. En la compañía de dragones de Yucatán capitán á D. Juan Buendia, teniente á D. Francisco Flota, y subteniente á D. José Julián Quixano. En el piquete de dragones del Cuzco, vireynato dél Perú, teniente co mandante á D. José Ruiz, En la partida de Asamblea de la villa de Char-</t>
  </si>
  <si>
    <t>Folgueras, Luis</t>
  </si>
  <si>
    <t>Luis Folgueras</t>
  </si>
  <si>
    <t>…a dél réyno y dt la vista del autor: un tomo en 8.® mayor, que comprende 674 páginas: Se vende en larlibrería de Ranz, calle de la Cruz: su precio 40 rs. á la rústica. Fábulas por D. Luis Folgueras, deán de la santa iglesia de Orense , y académi co de la Real academia de ia Historia: esta obrita, publicada en una época de las mas trabajosas de nuestra gloriosa lid con la potencia vecina, consta de una intro ducción en verso libre, que hace veces de pról…</t>
  </si>
  <si>
    <t>Fominaya, Pedro</t>
  </si>
  <si>
    <t>Pedro Fominaya</t>
  </si>
  <si>
    <t>…viage al dia siguiente. Por el juzgado dél señor Vicente Gervasio López, Segundo alcalde constitu cional de.la villa de Chinchón, provincia de Madrid, y escribanía del nútnero de D. Pedro Fominaya, se siguén'autos de ocurrencia de acreedores á los bienes que en la misma posee eí Dr;:D. Jbsé María de Revilíá; capellán mayor del cabildo de capellanes de Ntra. Sra. dé ía Piedad de la misma"; y ausente de ella sin saber su paradero; en cuyes autos por uno…</t>
  </si>
  <si>
    <t>Foote</t>
  </si>
  <si>
    <t>…emite hasta la conclusión del tratado defini tivo de paz el satisfacer á las reclamaciones de los súbditos prusianos'y di namarqueses. GRAN BRETAÑA. Londres 22 de Junio. El contra-almirante Foote ha entrado en Portsmouth con su esquadra de vuelta de Cheiburgo. En el momento mismo.que salía de aquel puerto lle gaban 8© hombres de la guardia rusa, á las órdenes del teniente general Ro sen', á embarcarse en la esquadra rusa, y á bordo de los navios ingle…</t>
  </si>
  <si>
    <t>…tendrán zelos de mi marina." Los navios la Ciudad de París y el Inconquistable tienen orden de dar inmediatamente la vela para Burdeos para transportar aqui el exército ingles. El almirante Foote irá con ellos para disponer el emb rque de las tropas. Después de concluida la revista naval en Portsmouth quaado el Príncipe • Regente se restituía á la casa de gobierno, halló en ella á nuestro ilirtre du que de Wellington que estaba esperando á S. A. R. H.…</t>
  </si>
  <si>
    <t>Forestier</t>
  </si>
  <si>
    <t>…én TroyéS. Hemos perdido, en la batalla-de Bríenné al Valiente general Baste El general Lefebvre-des-Nouetes ha sido herido de un bayonetazo: también ha sido herido gravemente el general Forestier* Nuestra pérdida eh las dos acciones ha sido de unos 2 á 3® hombres entré muertos y heridos : la del enemigo asciende por lo menos á doble número. Una división destacada del cuerpo enemigo qüe observa á Meta, Thiortville y Luxemburgo, compuesta de ro batallon…</t>
  </si>
  <si>
    <t>Formé, Francisco Pascual</t>
  </si>
  <si>
    <t>Francisco Pascual Formé</t>
  </si>
  <si>
    <t>y; * Se desea saber el paradero de D. Francisco Pascual Formé, que tomó-piara de oficial en Jas tropas españolas en Diciembre de 1808, para comunicarle /noticias interesantes. El que lo sepa se servirá avisarlo á D. Manuel López de J&amp;ÍBÍS ^escri bano del Rey nuestro Señor , y de provincia y comisiones de su Real-¿i*4&gt;y'…</t>
  </si>
  <si>
    <t>Foronda, Antonio Porras y</t>
  </si>
  <si>
    <t>Antonio Porras y Foronda</t>
  </si>
  <si>
    <t>…S. M. en nombre de su tío ei Dr. D. Francisco Xetrero y Hermas, cura párroco y vicario juez ecle Ustico de la villa de Barcarotá, obispado de Badajoz, y del otro cura ei bachiller Don Antonio Porras y Foronda y de sus cabildos parroquiales, con cuyo mo tivo manifestó á S. M. el zelo y patriotismo de aquellos dignos eclesiásticos, de quienes entregó en las Reales manos de S. M. un pliego, que contenia el hoinenage de su amor, respeto y fidelidad. En el mismo dia tu…</t>
  </si>
  <si>
    <t>Forte, Bernardo</t>
  </si>
  <si>
    <t>Bernardo Forte</t>
  </si>
  <si>
    <t>666</t>
  </si>
  <si>
    <t>…esta diputación fué admitida en el mismo dia^á eumplúijentar á S. M. y AA. otra de la universidad de la misma ciudad, «compuesta de los Dres. D. Joaquín Tenreyró, conde de Vigo, y D. Bernardo Forte; dirigiendo este ultimo á S. M. la arenga siguiente: ,, Señor: el rector y claustro de la real universidad de Santiago, que tan to se ha distinguido por sus sacrificios en la sangrienta lucha que acaba de terminarse tan felizmente con gloria eterna del nombre…</t>
  </si>
  <si>
    <t>…l gobierno." Igualmente en este dia tuvo la honra de cumplimentar á S. M. y besar su Real mano á nombre del ayuntamiento de la ciudad de la Coruña una diputación compuesta del Dr. D. Bernardo Forte, D. Benito Arias de Prada, ministro del consejo Real , y gobernador de la Sala de alcaldes de casa y corte, D. Miguel Antonio Blanes, oidor de la Real audiencia de dicha ciudad, y D. Manuel Martelo, cura de S. Pedro de Vi ¡lar y arcipreste de Pru zas; el prim…</t>
  </si>
  <si>
    <t>Forves</t>
  </si>
  <si>
    <t>…se de él fi.eroñ rechazadas con alguna «pérdida. El mayor general Brisbaune fué herido, aunque confio no sea de marera queme prive por mucho tiempo de su asistencia; y el teniente coronel Forves, del 45 °, oficial de un mérito sobresaliente , fué desgraciadamente muerto. Establecido de esta m-anera el exército por tres lados de T o losa, destaqué inmediatamente la caballería ligera para cortar la comunica ion al enemigo por el único camino practica b…</t>
  </si>
  <si>
    <t>Fotier, Henrique</t>
  </si>
  <si>
    <t>Henrique Fotier</t>
  </si>
  <si>
    <t>…objeto dei amor "mas tierno de sus. vasallos.” Igualmente-en esté dia tuvo la honra de besat la mane á S. M. una di putación del cabildo de la catedral de Salamanca, compuesta de D. Henrique Fotier, arcediano'de Monleóri', y de í). Manuel Tariego, doctoral de la misma, caballero pensionado de la real orden de Carlos ni, y ministra del tribunal de Jas Militares; el primero de los quales dixo: Señor: el cabildo de lái Santa' iglesia de ‘Salamanca, que se…</t>
  </si>
  <si>
    <t>Founier</t>
  </si>
  <si>
    <t>…ad-y el paso del ArVe. El 29 de D iciembre habian llegado 50 artilleros, y se decía que varios ba tallones habian salido de Tflrin para reforzar la guarnición de Ginebra; y que ei general Founier recibió orden de! emperador Napoleón para de fender aquel importantísimo punto hasta el ultimo trance.__i Se halló en e&lt;-ta fortaleza un parque de artillería de 117 cañones, de los quales 19 son de hierro,-y 30 piezas de campaña francesas. ¡__El conde de Bubn…</t>
  </si>
  <si>
    <t>Fr</t>
  </si>
  <si>
    <t>…de ellas, sosteni dos por los de S Liáis; pero la superioridad del enemigo me obligó á man dar también la división del coronel D. Miguel Correa y parte de la del te niente ccro?el D. Fr&lt; ncisco María de Oberto, quedando yo con el resto de esta y la cab.dlería para atender á los que estaban en el pueblo. A las tres de la tarde ya estaban batidos los enemigos de las alturas, y en posesión de ellas Correa; entonces con algunos cazadores y una c…</t>
  </si>
  <si>
    <t>cánones', D. Fr. Gerardo Vázquez, obispo de Salamanca, catedrático que fué de sagrada teología, y D. Fr. Veremundo Arias, obispo de Pamplona, catedrático que fué también de teología: el Dr. D. José Mintegui, catedrá tico jubilado de cánones; el Dr. D. Nicolás María de Sierra…</t>
  </si>
  <si>
    <t>…mo dia tuvo igualmente; la honra de ser admitido á cumpli mentar ^af'R-ey* y ^res. Infantes el R. P. Fr. Manuel Malicampo, comisario geneValde Jerusálen, acompañado del procurador general Fr. Blas Laguna, y después ac besar la máno á S. M. divo: 1 Señor: los religiosos franciscos españoles de Jerusalen, que á costa de privaciones, é indecibles trabajos y peligros Sostienen el culto de los santos</t>
  </si>
  <si>
    <t>…el feliz reynadó de V. M., para que renazca la prosperidad general del estado, y la nobleza española recobre su antiguo ser y esplendor.” El día 26 del mes anterior tuvo el honor D. Fr. Rafael Gaamaño, co mendador de Yévenes, de cumplimentar á S. M. en nombre de ios ayunta mientos de los dos pueblos de Yévenes en los términos siguientes: „Señor: los ayuntamientos y vecinos de los dos pueblos de Yévenes me han distinguido, por un efecto de b…</t>
  </si>
  <si>
    <t>…limiento. Dios guarde á V. S. muchos años. Madrid 5 de Agosto de 1814.. El Rey se ha servido nombrar para el arzobispado de Valencia, va cante por fallecimiento del Excmo. é limo. Sr. D. Fr. Joaquín Company, al limo. Sr. D. Fr. Veremundo Arias, obispo de Pamplona; para el obis pado de Calahorra, vacante por fallecimiento del limo. Sr. D. Mateo Aguiriano y Gómez, al limo. Sr. D. A tafias i o Puyal, obispo de Caristo, auxi liar de este arzobispado…</t>
  </si>
  <si>
    <t>…;&gt;honor dér presentarse y besar la Real mano á S M. y Sermos. Infantes, á nombre del reverendísimo.general y re ligión de S. Bernardo def la congregación de Castilla, el P. Mtro. D. Fr. Eu genio Amoedo, abad del monasterio de Stá. Ana de esta porteólos PP. pre- ‘ oteadores mayores D Fr. Arañado Florines y D. Fr.- Ildefonso . González;, los PP. penitenciaros D Fr. Vicente Varóna y D.Fr. Pabló Castillo ; de ' los quales el primero arengó á S.…</t>
  </si>
  <si>
    <t>…ey se ha servido nombrar al Dr. D. Juan de Lera y Cano, cura párroco de la iglesia de S. Salvador 8e esta corte, para el obispado de Barbastro, vacante por fallecimiento del limo. Sr. D. Fr. Agustín Iñigo Abad y Lasierra. Asimismo se ha servido nombrar S. M. á D. Manuel Benito y Tabernero, abad de la colegiata de Lerma, para el obispado de Solson2, va cante por fallecimiento del limo. Sr. D. Fr. Pedro Nolasco Mora; y para el de Tortosa, vacante…</t>
  </si>
  <si>
    <t>…Registrada, Fernando de Iturmendi.= Teniente de Canciller mayor, Fernando de Iturmendi. El Rey se ha servido nombrar para el obispado de Ceuta, vacante por fallecimiento del limo. Sr. D. Fr. Domingo Benaocaz, á D. Andrés Esteban y Gómez, canónigo de la iglesia catedral de Sigiienza. Asimismo se ha servido S. M. nombrar para el priorato de la iglesia co legial de Santilíana, diócesis de Santander, vacante por fallecimiento de Don Luis Ventura Ceb…</t>
  </si>
  <si>
    <t>…soberana resolución se publique en la gaceta para satisfacción del interesado. El Rey se ha servido nombrar para el obispado de Ciudad-Rodrigo, vacante por fallecimiento del limo. Sr. D. Fr, Benito Uria y Valdés, á P. Pedro Ramírez de la Piscina, arcediano de Santa Gema, dignidad de la</t>
  </si>
  <si>
    <t>…Caraza y Sousa, deán que fue de la mi ma iglesia, á l&gt;. Manuel IBen'rto Bestoso; y por eí aprecio y considera ción que han debido á S. M. los extraordinarios méritos y servíaos de Don Fr. Te&lt; baldo Rodríguez Gallego, monge bernardo, del gremio y claustro de la universidad de A cala, coronel de los Reales exércitos, y su constan te adhesión á su Real Persona, ha venido en nombrarle para h abadía de Ja Real casa de S. I idro de León, que se hal…</t>
  </si>
  <si>
    <t>Fr, Baylío</t>
  </si>
  <si>
    <t>Baylío Fr</t>
  </si>
  <si>
    <t>…el Rey que se reúna la Asamblea de la Orden de San Júaii dé Jerusalen, para tratar y dar curso á los asuntos de su atribución, ha nombrado S. M. por el real decreto siguiente &lt;il Sr. Baylío Fr. D. Anto nio Valdés Lugar-Teniente del Gran Prior de Castilla de la misma Ordén^ y como tal Presidente de dicha Asamblea. Por. quanto la dignidad de Gran Prior de Castilla y León de la Orden Militar y hospital de Jerusalen se halfa vacante por muerte del Infa…</t>
  </si>
  <si>
    <t>Fr, Jacobo Villanova y</t>
  </si>
  <si>
    <t>Jacobo Villanova y Fr</t>
  </si>
  <si>
    <t>…ario titulado el Universal, sobre lo que estamparon en el de 6 del mis mo acerca de los oficiales del tercer exército; y siendo únicamente los que tuvieron parte en su publicación D. Jacobo Villanova y Fr. Josef de la Ca nal, ha resuelto S. M. que al primero se le destine á uno de los presidios de Africa por seis años, y al segundo á reclusión por el mismo término en el convento mas rígido de su orden; que se ponga artículo de oficio en la ga ceta, expresando…</t>
  </si>
  <si>
    <t>Fran</t>
  </si>
  <si>
    <t>…ho ce la Guerra el oficio siguiente: ... „ Excmo. Sr. : el comandante militar de Salamanca me.dice con fecha de 5 del corriente lo que sigue: Evento. Sr.: en este dia ha fallecido D. Fran cisco Nieto, vecino y de los caballeros mas distinguidos de esra ciudad, de estado soirero , el que despees de unos coitos legados á favor de^ su alma y criados, dexa por su universal heredero al qi.arto exército. Por ahora solo puedo decir á V. E. que me aca…</t>
  </si>
  <si>
    <t>…vero, comandante-del tercer esquadron del misma Asimismo se ha servido promover en el regimiento provincial de la La gunaú capitán de granaderos á D. José Guezala, y de fu-ñeros á D. Fran cisco Díaz y D, Francisco Peraza; á teniente de granaderos á D. Luis Mi randa, y de cazadores á D. Domingo Viejobueno ; á segundo ayudante á D. Tomas de Vargas; á tenientes de fusileros á D. Valentín Baudet, D. Garlos Fernandez y D. Miguel Manrique.; á subten…</t>
  </si>
  <si>
    <t>…añolas. La plaza había sido evacuada por las tropas francesas en la noche del 28 al 29, y con el objeto de proporcio nar el Excmd^Sr. general en géfe y capitán general de Cataluña D. Fran cisco de Coports Ocasión oportuna á los fieles barceloneses para que mani festasen sú amor y respeto á su Monarca, ya que con sentimiento no les fue posible quando pasó S.*M. por la inmediación; dispuso S. E. su entrada eti dicha plaza el dia del Soberano 30…</t>
  </si>
  <si>
    <t>…món Pisón, Fiscal. =Tendreislo entendido, y lo comunicareis á quien corresponda para su cumplimiento. e= Señalado de la Real mano de S. M. = En Palacio á 18 de Agosto de 1814, = A D. Fran cisco de Eguía. Por Real orden comunicada al Excmo. Sr. Nuncio de S. S. por la prime ra Secretaría ¡de Estado, con fecha de 28 de Julio próximo pasado, mandó S. M.se restableciese, inmediatamente el.tribunal de la Rota , para que con arreglo, á la .bula de su…</t>
  </si>
  <si>
    <t>…ta firma lo endosó á Don Francisco Planas y Casals, de Barcelona, que escribe no haberle recibido. Suplica á la persona á quien haya ido á parar lo entregue en Barcelona ai citado D. Fran cisco Planas y Casals, y en Madrid al citado Ameller. Segundo quaderno ó continuación de la escuela completa de música: sistema fundado en la naturaleza , en ia experiencia de los mejores profesores, y en las observaciones de los filósofos mas ilustrados; ded…</t>
  </si>
  <si>
    <t>…. M., y que en el día se hallan casi arruinados. El mismo dia tuvieron igualmente la honra de felicitará £►. M.y besar su Real mano,á npmbre de la M. N. y M. L. ciudad de Granada, D. Fran cisco Sánchez Gadeo y, demarques de Lugros, regidores su ayuntamien to; el primero de los quales dixo á S. M. el discurso siguiente: ,,Señor: Granada representada por la diputación de su ayuntamiento tiene el honor y suma complacencia de ofrecer .á L* R-.P- d…</t>
  </si>
  <si>
    <t>…otra de la misma iglesia, vacante por fa llecimiento de D. Francisco María Vich; y para otra canongía de la metro politana de Valencia , vacante por muerte de D. Vicente Lloret, á D. Fran cisco Guinierá, canónigo de ia catedral de Segorve. El Rey se ha servido conceder los honores de intendente de exércíto á D. Buenaventura y D. Juan Jo&lt;é Marcó del Pont, que tenían los de pro vincia, en atención á los interesantes servicios que han hecho con e…</t>
  </si>
  <si>
    <t>…Salamanca y Tamames. Si algu no tuviese noticia de él, se servirá comunicar la á D, Pedro Vicente de R ivas, presbítero, su apoderado, en la ciudad de la Coruña, ó en esta corte á D. Fran cisco de los Ríos, calle de Bordadores, número 5. El Hombre desvalido y amparado de un amigo fiel; quaderno i.° Contiene en verso patético un epigrama que sirve de introducción, una sátira científica en que se arrojan rayos contra la obscuridad y la ignoranci…</t>
  </si>
  <si>
    <t>…comprende 4842 2 pies de sitio, los quales con su fábrica están tasados en 303970 rs. y 14 mrs., que se vende judicialmente para hacer pago i cierto acreedor, acuda ante el Si*'. D. Fran cisco de Assin, teniente corregidor de esta villa, y escribanía de provincia de Don .Migue! José García de la Madrid, dentro del término de 20 días, contados desde esta fecha, que se admitirán las que se hicieren, siendo arregladas. Se halla vacante en el val…</t>
  </si>
  <si>
    <t>…s Sres. D. Francisco de la Justicia, regi dor perpetuo de la ciudad de Borja, caballero pensionado de la Real y dis tinguida orden española de Carlos m , decano de la diputación ; D. Fran cisco de Paula García, regidor de la ciudad de Jaén; D Juan Martin Se villano, regidor de la de Plasencia, y el marques de Puerto-nuevo, regidor de la de Barcelona , todos diputados de los reynos; de los quales el primero arengó á S. M. en estos términos: „Se…</t>
  </si>
  <si>
    <t>…de los Reales exércitos. v [-‘f 'En virtud de requisitoria librada por el.Sr. D. Juan Pcrez de Marure, alcalde mayor y juez de letras de la ciudad de Sevilla, cumplimentada por el Sr. D. Fran cisco Assin, del consejo de S. M., teniente corregidor de esta villa, por la escri banía del número de D. Francisco Alcázar, se llama, cita y emplaza nuevamente á todos los parientes pobres de D. Sebastian Caballero Henriquez do Gazman, co mendador que fue de…</t>
  </si>
  <si>
    <t>Francés, Valentín</t>
  </si>
  <si>
    <t>Valentín Francés</t>
  </si>
  <si>
    <t>…varios puntos "de sil dictámen en orden al tribunal de la Inquisición, leído en la sesión pública' de í8 de Enero del año pasado de 1813. Se vende con la primera carta en casa de Don Valentín Francés, frente á las gradas de S. Felipe el Real* Juzgado* militares de España y su* Indias por D. Félix Colon de Larreategub tomo 3.°: quinta edición: contiene el formulario de procesos militares, en que se explicad orden de un proceso, y el modo de justificar el c…</t>
  </si>
  <si>
    <t>Francis</t>
  </si>
  <si>
    <t>…villa de Yébenes de Toledo, adjuntos pueblos, cuya dotación consiste en 400 ducados. El facultativo que qui siere oponerse á ella dirigirá sus memoriales al alcalde constitucional D. Francis co Blas Garoz con los informes correspondientes. Vida de Gonzalo Fernandez de Aguilar y Córdoba, llamado el Gran Capitán: por D. Ignacio López de Ayala: un tomo en octavo. Se hallará en la librería de Ortega-, calle de las Carretas. MADRID EN LA IMPRENTA NACI…</t>
  </si>
  <si>
    <t>…animando con su exemplo á los demás, y contribuyendo per su parte al mejor logro de la empresa. = Dios guarde á V. S&gt; mucho* años. = Banaguás 11 de Octubre de 1813. s Antonio Oro.=Sr. D. Francis co Espoz y Mina. = Y yo tengo el honor de participárselo á V. E. por la satisfacción que ha de caberle de un resultado semejante. = Nuestro Señor guar de á V. E. muchos años. = Quartel general de Sangüesa 16 de Octubre de 1813. = Francisco Espoz y Mina. = Exc…</t>
  </si>
  <si>
    <t>…fe del segundo batallón de cazadores de montaña, miembro de la legión de Honor, comandante superior de la ciudadela de, Jaca por S. M. I. y R. &amp;c. Napoleón, y el mariscal dé campo D. Francis co Espoz y Mina, comandante general de la Navarra y alto Aragón, y ge neral de la octava división del quarto exército de operaciones; han nom brado para discutir; y resolver los artículos de la capttuJacionj baxo cuyascandlciones se entregará la cindadela ala…</t>
  </si>
  <si>
    <t>…rid 19 de dicho Áes y año. sis Juan Ignacio di Alistarán. El Rey nuestro Señor se ha servido expedir el decreto siguiente: Atendiendo á íos dilatados méritos y buenos servicios de D. Francis co Yañez Bahamonde, Caballero pensionista de la Real y distinguida Or den Española de Carlos ln, mi Capellán de Honor, y Canóniga de ia San ta Iglesia Metropolitana de Sevilla , he venido en confirmar el nombramien to que le estaba hecho de Comisario general…</t>
  </si>
  <si>
    <t>…ligencia., gobierno y de-* íñias efectos correspondientes. Dios guarde á V. muchos años. Madrid 20 de Julio de .1814. Por real decreto de 2 del corriente se sirvió S. M. jubilar á D. Francis co López Lisperguer, ministro del Consejo supremo de Indias , con hono res y medio sueldo; pero deseoso S. M. de hacer ver que de ningún modo debe esto perjudicar á su honor, reputación y buen nombre, y teniendo al mismo tiempo en consideración su numerosa y…</t>
  </si>
  <si>
    <t>Francisca</t>
  </si>
  <si>
    <t>…; - 1 ¡ ARTICULO DE OFICrc!. Habieado procedido las Cortes ordinarias á ía elección de presidente, vicerpresidente y uno de sus secretarios, resultaron electos para presidente rel-Sr. D. Francisca de. la Dueña y. Cisneros, diputad ► por la;Mancha; para vice-presidente el Sr. D. Antonio Joaquín Perez , diputado, por ,1a Puebla de los Angeles,; y para secretario el Sr. D. Tadeo Ignacio Gil , diputado por Valencia. ..</t>
  </si>
  <si>
    <t>Francisco</t>
  </si>
  <si>
    <t>…e tres; dias que recibimos la noticia positiva dé ha entradá dé los exércitos aliados en Francia: ahora tenemos la felicidad de ver en nuestro recinto á nuestro antiguo monarca el emperador Francisco. También está aqui el emperador Alexandro, y de un dia para otro se espera á S. M. el rey de Prusia , y con él á varios príncipes alemanes. PRUSIA. j Stettin 18 de Diciembre. El dia 5 se verificó la entrega de esta fortaleza según lo convenido en la capitulac…</t>
  </si>
  <si>
    <t>…iroteo, al pueblo de Chicontepec, hasta donde perseguidos de los enemigos, me dió parte pidiéndome auxilio, el que le mandé en núme ro de óo infantes de mi regimiento, á cargo del teniente D. Francisco de la Barreda, quien llegó después de haber concluido Cuervo la acción que me participa, y en substancia es como sigue: No habría caminado ocho leguas el correo que tne despachó desde Chicon tepec en demanda de auxilio, quando cargó sobre ellos la chusma de b…</t>
  </si>
  <si>
    <t>…s&gt;á? «capá tan de navio ál de fragata D. iFrancisco de ¡Paula Saavedr^ *-jteniúnteL cP^Or nel; á capitanes de fragata tenientes de navio D. :Fduaitdo~.Mosqiiera, sargento mayor, á D. Francisco íCafvo del Manzano, D. Felipe del $á#Q. y D. Gabriel de Pazos; á teniente de navio al de fragata D. Antonio Doral#</t>
  </si>
  <si>
    <t>…nombrar para !a dignidad de tesoréí*o de lá iglesia metropolitaná de Lima á D. Pedro Toro, canónigo mas antiguo de la propia iglesia. ' . En áteiicíón á los méritos y servicios de D. Francisco dé Paula Pineda, escribiente de la veeduría dé ios presidios menores, ha venido la Regencia del Reyno én conferidle él empleo de primer guarda-almacén de víveres de ]a plaza de Alhucemas.’ hlemopa en la que se, prueba,, con razones', autoridades y experiencia…</t>
  </si>
  <si>
    <t>…odos nuestros enemigos. En nuestro quartel general de Verona i.° de Febrero de 1814. = Eugenia Napoleón.1' GRAN BRETAÑA. Londres 11 de Marzo. La carta siguiente fué escrita por el conde Francisco d’Esears, capitán de guardias de S. A. R. Monsienr, y dirigida á un amigo suyo residente en Londres. Vesoul (en el Franco-Condado ) 12 de Febrero de 1814. ,, Llegué á Basilea el sábado 19 por la noche: salimos él domingo, y hemos llegado ai Franco-Condado. En…</t>
  </si>
  <si>
    <t>…general ha remitido otro del tenar siguiente:.' . ,, Excmo. Sr.: pl conde de Villagonzalo y D. Matías del Villar , veci nos de la ciudad de Salamanca, y testamentarios del difunto D. Francisco de la Ehoz, con fecha 8 del corriente me participan que este en su -última dispo siciou nombró por heredero del remanente de sus bienes al exército de mi mando. Este rasgo de afecto y amor al soldado es una prueba ci.ra de su patriotismo y adhesión á la justa…</t>
  </si>
  <si>
    <t>…fardo de casimiros negros, re tasados también á 52 rs. vara. Quien quisiere hacer postura á dichos efectos acuda en .el término de 15 días ante el señor juez de primera instancia D. Francisco " Ássin,,y escribanía de provincia de D; Juan Garrido, que se admitirán las que se hicieren siendo arregladas. En la librería de Barco, calle de las Carretas, se hallará la estampa que repre senta el horrible sacrificio de inocentes víctimas en el prado de Ma…</t>
  </si>
  <si>
    <t>…al pueblo de Ixhuatlan, en donde se hallaban solos sus nuevos patriotas con 25 armas de fuego y muy poca munición , destaqué con 25 infantes de mi regimiento al teniente veterano D. Francisco de la Barrera. Este oficial llegó á Chicontepec á tiempo que el capitán D. Juan Antonio Cuervo salía para Tlachichilco, y por estar muy fatigada su tropa permaneció en aquel punto hasta que la necesidad en que se hallaba el capitán de Ixhuatlan D. José Ignaci…</t>
  </si>
  <si>
    <t>…e Cerralbo y marques de Alcañices , co mo conservadores de la univetsidad , y como individuos de su gremio y claus tro, residentes á la sazón tn esta corte, los limos. Sres. Dres. D. Francisco de la Diuñ-i y Cisneros, obispo de Urgel, catedrático que fue de sagrados</t>
  </si>
  <si>
    <t>…s ideas del tirano, y haber si do la última que persistió con las armasen la mano hastq su tqtul exterminio. El 30 del mismo el representante de la ciudad de Sanluqar de Barrameda D. Francisco de .Paula Landa felicitó igualmente á S. M. en el besamanos de aquel dia , dirigiéndole el discurso siguiente: ,,Señor: la ciudad de Sanlucar de Barra meda y su gobierno» én cuyo nombre me postro á L. R. P. de V\ M., tiene el hpnor de felicitarle en es te dia…</t>
  </si>
  <si>
    <t>…as las gentes se habian pues to los vestidos mas luxosos con proporción á los medios de cada uno. SS. MM. el Sr. D- Cárlos iv y su augusta esposa, la reyna de Etruria y el infante D. Francisco salieron por la mañana, acompañados de su comi tiva, á esperar á S. S. á la casa de campo llamada Ja Justiniana, en donde 5, S. debía descansar algún tiempo. f Luego que llegó el coche del soberano Pontífice, SS. MM. y la familia real se presentaron á S. S. e…</t>
  </si>
  <si>
    <t>…obierno. = El Duque de Montemar, Presi dente. = D. Miguel Calixto de Acedo. = D. Francisco Requena. = D . Josef Pablo Valiente. = D. Antonio Gamiz. = D. Antonio López Quintan i. = Don Francisco de-la-Vega.nD. Francisco de Arango. = D. Francisco Ibañez Leyva. = D. Juan Gualberto González, Fiscal. = D. Estéban Varea, Secre tario-= Sala segunda de Gobierno. = D. Pedro Aparíci. = Conde de TorreMuzquiz. = D. Ignacio OmulrriannD. Cayetano Urbina. = D. Jua…</t>
  </si>
  <si>
    <t>…ó divididas en suertes. Quien quisiere hacer postura acuda ante .el Sr. X). Francisco Assin , alcal de mayor en esta capital, parla escribaníaudel número que exeres D. Juan Rara. D. Francisco y D. Antonio García Mayor de Londoño, hermanos de D. Vi cente García Mayor de Londoño, é hijos que parece Fueron de D. Diego Londoño y de Dona Bernarda Matías de los Reyes, ?us hijos ó descendi entes legítimos lla mados á la sucesión del vinculó vacante ppr muerte de Doña María de los Dolores Ga…</t>
  </si>
  <si>
    <t>…rderos; Don Rafael de Roxas, capitán de Reales Guardias Españolas; D. Alonso de Ro xas, capitán de fragata; D. Manuel Juano, teniente coronel del regimiente* de húsares de Aragón; D. Francisco de los Cobos, capitán del regimiento de la Princesa, y D. Pedro de Rosales, ayudante mayor del regimiento pri mero de Saboya, todos naturales de la ciudad de Antequera, y la mayor parte de ellos heridos en la guerra que tan heroyeamente ha sostenido la nación…</t>
  </si>
  <si>
    <t>…....1............ D. Cirios Sebaitian Malagamba. En Barcelona................* D. Ramón Llordella. En Burgos..................... D. Ramón Martínez Montaos. En Bilbao............. D. Francisco de la Mata: En Cádiz......... ..... D Beiiito de la Piedra. En Cart gena. D. francisco Cliyilles. En C'udad Real... ......... D Mateo Casao y Romero. En Córdoba ..... Rafael de Montis. ..D. En, la . oruna..»••»••»•«••»••.. D. helipe .Elorz. En Cuenca ........…</t>
  </si>
  <si>
    <t>…Carlos Sebastian Malagamba. En Barcelona.................. D. Ramón Llordella. En Burgos.......................... D. Ramón Martínez Montaos. En Bilbao........................... D. Francisco de la Mata. En Cádiz........................... D. Benito de la Piedra. En Cartagena................... D. Francisco Clivilles. En Ciudad- Real.............. D. Mateo Casao y Romero. En Córdoba........................ D. Rafael de Montis. En la Coruña,.......…</t>
  </si>
  <si>
    <t>…. Cáríos Sebastian ^íalagamba» ¡ , En Barcelona..*...... ..... - D. Ramón Llordella. En Burgos...,...;.............. D. Ramón Martínez Montaos* En Bilbao.-........................ D. Francisco de la Mata. En Cádiz.................... . D. Benito de la Piedra. * *J$nCartagena:’V.»...B. Francisco Clivilles.1 En; Ciudad-Real.i*.".:..... D. Mateo‘Casaó yRomero. ' ¡En Córdoba...... .......D. Rafael de Mofatis. En la Coruña....... D. Felipe Elorz. En Cue…</t>
  </si>
  <si>
    <t>…ión cumplimentar á S. M. por su feliz restitución al trono de sus augustos antepasados, á cuyo efecto el día 8 del corriente tuvieron ia honra de ser presentados á S. M. los Sres. D. Francisco de la Justicia, regi dor perpetuo de la ciudad de Borja, caballero pensionado de la Real y dis tinguida orden española de Carlos m , decano de la diputación ; D. Fran cisco de Paula García, regidor de la ciudad de Jaén; D Juan Martin Se villano, regidor de la…</t>
  </si>
  <si>
    <t>…eto Fagoaga. El Rey nuestro Señor, atendiendo á los méritos de D. Bernardo Amaya, oficial de la tesorería del exército de Castilla la Vieja, y á los grandes ser vicios de su padre D. Francisco, se ha servido nombrarle administrador de rentas del partido de Currion de los Condes. B. Manuel López Barajas, caballero de la Real y distinguida orden es pañola de Cárlos m , del consejo de S. M., diputado de ios re, nos, y veintiqu-tro de la ciudad de Gran…</t>
  </si>
  <si>
    <t>…vecino de la villa de Prie go, en Andalucía, los nueve vales Reales que abaxo se expresan, suplica á la per sona á cuyas manos lleguen se sirva avisárselo á él, ó en esta corte á D. Francisco de la Cruz, que vive calle de Toledo, frente de los estudios Reales de S. Isidro, núm. 3 , quarto 3.0 Los vales con sus números y valores son; de; 150 pesos, crea ción de í.° de Setiembre de 1809, 172290, 189599,172309 y *72294l de i.° de Mayo de 1808, de goo…</t>
  </si>
  <si>
    <t>…sus estados, si causas imprevistas no lo hubiesen impedido, saldrán decididamente de esta capital á principios de este mes. El día 10 el emperador de Rusia marchará acompañado del emperador Francisco á Mu nich, en donde se detendrán muy poco, y desde allí el emperador Álexandro se propone ir á Stuttgardt y. á Carlsruhe, y luego á las cortes del rey de Wurtemberg y del duque de Badén, en donde es probable que se de tendrá igualmente muy poco tiempo, porque…</t>
  </si>
  <si>
    <t>Francisco, Julián</t>
  </si>
  <si>
    <t>Julián Francisco</t>
  </si>
  <si>
    <t>…. los Se ñores Infantes su Hermano y Tío, donde con este motivo asistió igual mente un numeroso y lucido concurso. Se empeñaron en este partido los jugadores D. Ramón de Zuloaga , Don Julián Francisco delbarra, D. Francisco de Zavala y D. José Joaquín Hermoso. Sostuviéronla contra D. Juan Cruz delrigoyen, D. Manuel delturralde, p. Miguel Barcaiztegui, D. Juan Francisco de Elizalde. Hicieron de jueces para la decisión el teniente general D. Pedro Agustin Gi…</t>
  </si>
  <si>
    <t>Franco, Juan José Díaz</t>
  </si>
  <si>
    <t>Juan José Díaz Franco</t>
  </si>
  <si>
    <t>…villa, vacante por muerte de D. Antonio José de Menchaca, á D. José Lorenzo Berroudez: paTa una ración de la iglesia catedral de Cádiz, vacante pot muerte de D. José María Roo , á D. Juan José Díaz Franco: para el beneficio simple de la parroquia de la villa de Arcos de la Frontera, diócesis de Sevilla, vacante por fallecimiento de D. José Ortiz Sandoval,á D. Gonzalo María del Rio y Carrillo: para la prestamera deTrebugena, en la misma diócesis , vacante por m…</t>
  </si>
  <si>
    <t>Freemante</t>
  </si>
  <si>
    <t>…, los grandes del impe rio , el cuerpo diplomático &amp;c. Por la noche hubo ilnminacion general. GRAN BRETAÑA, Londres % de "Diciembre. SECRETARIA DEL ALMIRANTAZGO. Oficio del contra-almirante Freemante al caballero J. Wilson Croker, 4 bordo del Milford, delante de Trieste d 31 de Octubre. Tengo la honra de comunicaros para noticia de los lores comisario s del</t>
  </si>
  <si>
    <t>Freemantle</t>
  </si>
  <si>
    <t>19</t>
  </si>
  <si>
    <t>19 superior» cooperando.mutuamente las fuerzas marítimas.-Siempre he encon trado dispuesto a! almirante Freemantle á sostenerme, y esta c&amp;c¡fianza me movió á emprender operaciones que sin su auxilio hubieran sido ruinosas. Esta circunstancia fué la que me permitió obrar á .retaguardia del ¡enemigo, y á abandonar con frecuencia •mis.comunicaciones*por tierra, con la certi…</t>
  </si>
  <si>
    <t>…batallones con 8 piezas de artillería , que era seis veces superior á la mia. Después de una acción muy acalorada el 14 de Setiembre, y una serie de movimientos concertados con el almirante Freemantle , quedó enteramente frustrado el plan del enemigo, y nos apoderamos de toda la Istria, cu briendo la cadena de montañas que se extiende desde Fiunié á Trieste. El 2i encontré al almirante Freemantle con una parte de la esquadra inglesa en Capo de Istria, y fo…</t>
  </si>
  <si>
    <t>…oricia. Por la noche el enemigo paso el Isonzo, y tomamos posesión de Goricia. Ofreciéndonos el Isonzo una posición fuerte, retrocedí hácia Trieste con una parte de mis tropas. Ei almirante Freemantle había ya desembarcado los soldados de marina, é hizo los preparativos- necesarios para el sipo.. La rapidez de nuestros movimientos no había permitido el transporte de un tren de artillería de sitio; en consecuencia no teníamos mas recurso que los cañones de…</t>
  </si>
  <si>
    <t>…spondientes. El general conde Nugent hace los mayores elogios de los servicios de los capitanes austríacos Brinstiel y Goppert, y de los capitanes ingleses M- raby y Roüay, que el almirante Freemantle había nombrado para mandar las fuerzas marítimas empleadas en esta expedición. Idem * 8. El Emperador ha confiado el mando del exército austríaco de Italia al feld-mariscal conde de BéllegarJe, presidente del consejo de Guerra, em pleo que durante su ausencia…</t>
  </si>
  <si>
    <t>Fresia</t>
  </si>
  <si>
    <t>…tomados eí mismo dia. En la noche del 18 al 19 capitularon los franceses, y al dia si guiente tomaron los ingleses posesión de la ciudad. La guarnición de Geno va, mandada por el general Fresia, consistía en 8® hombres.__ Se han en contrado en el puerto dos navios de línea, quatro bergantines y otros bu ques menores de .guerra; 296 piezas de artillería de bronce montadas, v otra porción desmontada y de fierro; mucha madera de construcción , municio…</t>
  </si>
  <si>
    <t>Fresnel</t>
  </si>
  <si>
    <t>…dirigió d sus tropas austro-bavaras después de herido, „Una grave herida me obliga á dexar el mando del exército que hast* ahora tuve á mis órdenes, y entregarle al teniente feld-mariscal Fresnel. ,,Soldados: vosotros me habéis amado: habéis mostrado la mas comple ta obediencia á mis órdenes: yo os'doy las gracias, y os exhorto á que pongáis vuestra confianza en el general Fresnel. Amadle también , y sedle obedientes. = Firmado = V\frede 9 general de…</t>
  </si>
  <si>
    <t>Freyberg</t>
  </si>
  <si>
    <t>…arrojó á Roon í’Ettappe, habiéndo les herido y muerto mucha gente, ademas de 500 prisioneros que Ies hizo. El general De-Roi fué herido en esta acción, y le sucedió en ol mando el coronel Freyberg, qué dirigió las primeras operaciones. El puesto de S. esta acción perdió el general Wrede 10Diez se Ocupó nuevamente. _En oficiales y 200 soldados muertos ó heridos: entre los primeros Se cuentan el mayor Harret del regimiento núm. 8.° de infantería, y entre…</t>
  </si>
  <si>
    <t>Freyle, Beatriz</t>
  </si>
  <si>
    <t>Beatriz Freyle</t>
  </si>
  <si>
    <t>…7 está re ser vano en derecho á los hijos, nietos,y biznietos del Líe. D. Bernardo Perez de Herrera, el tyie pueden tener al crédito de 47977 rs. y 32 mrs. vn., correspon diente a Doña Beatriz Freyle, contra el estado del marquesado de Fromista, y á los réditos vencidos y «lindados pagar por 3a sentencia, cuya cantidad unida á la antecedente asciende á 384891 rs. y 23 mrs., de que deberá deducirse 89130 rs., capital de Jos dos patronatos 111 indados funda…</t>
  </si>
  <si>
    <t>Freyle, Juana Caldera</t>
  </si>
  <si>
    <t>Juana Caldera Freyle</t>
  </si>
  <si>
    <t>…gar por 3a sentencia, cuya cantidad unida á la antecedente asciende á 384891 rs. y 23 mrs., de que deberá deducirse 89130 rs., capital de Jos dos patronatos 111 indados fundar por Doña Juana Caldera Freyle, hija de Doña Beatriz, en el convento de Sta. Clara de esta corte, á cuyo goce y obten ción está reservado igualmente por Ja expresada sentencia su derecho á los que le pueden tener majo' que Doña Josefa Gabriela Valdearenas. En ia villa dr Urda, provincia de…</t>
  </si>
  <si>
    <t>Freyre</t>
  </si>
  <si>
    <t>…s forzadas de la derecha, de modo que el punto de Ustariz, camino real &amp;c. han sido ocupados por la división del geueral España, y el cuerpo del quarto exército, á las órdenes del general Freyre, que ha pasado esta mañana por aqui muy temprano, sin pararse hasta sus posiciones. El comisario general Dalrymple acaba de mandar al ca pitán de puerto de Socoa que prepare las cinco trincaduras para estar ma ñana á las seis de ella en el Bocal. Idem 2 4. El…</t>
  </si>
  <si>
    <t>263</t>
  </si>
  <si>
    <t>…s exteriores: la cindadela no está en un esta do muy respetable por la parte que mira á Burdeos, y por tanto se conje tura que el golpe principal se dirigirá contra la ciudadelaEl general Freyre recibió orden del Lord para ponerse en marcha. En efecto; él y sus tropas pasaron el referido puente, y seguían su camino, quando recibieron otra orden deLmi mQ.para que volviese á ocupar sus an tiguas posiciones; por lo que volvió á pa^ar el puente. Se dice…</t>
  </si>
  <si>
    <t>Monterey, nueve heridbs de e$te último, y cinco contusos de ambos res!«lientos. Parte del general Freyre. ,, Excmo. Sr : acompaño á V. E. una copia del parte que me acaba de pasar el coronel D. Juan José S. Llórente, noticiándome la rendición á nues tras tropas del fuérte de Laredo por capitulación , y demas ocurrencias mili tares que han tenido lugar en este su…</t>
  </si>
  <si>
    <t>…3 por el mal tiempo. En dicho dia y ei siguiente pasaron para Pasages 400 y mas prisioneros franceses. Irun 27 de Marzo. El 15 estaba el quartel general del Lord en Ayre, y el del general Freyre en Barcelonne, pueblo inmediato: el exército enemigo estaba enfrente ; por lo que se espera pronto una batalla. Una columna de franceses baxd á Pau. Idem 25. Dícese que han desembarcado en Burdeos 15® ingleses de los que man daba en Holanda el general Graham.…</t>
  </si>
  <si>
    <t>…sona;' La continuación de las lluvias y el estado delirio’me impidieron echar el puente hasta la ñaña del 8, que el cuerpo español, con la artillería portuguesa, báxo e4 mando del general Freyre, y el quartel general pasaron el rio Garonar Inmediatamente avanzamos hasta las' inrriediacíanes dé úa ciudad, :yt él r8.d; de húsares, baxo el mandó inmediato deléoronel Vivianfe, tuvo o caí s ion de executar el ataque mas brillante contra1 un cuerpo superio…</t>
  </si>
  <si>
    <t>…á la posi ción fortificada del enemigo, y tan luego como llegó al punto-en que debía. doblarla, formó sus líneas, y se puso en movimiento para atacarla. Durante ésta operación el general Freyre marchaba por lo largo de la izquierda.del Ers ai puente de óroix-Dorade, donde formó su cuerpo en dos. líneas,,con su reserva en una ¡ altura enfrente de la izquierda de la posición enemiga,: sobre la qual estaba también,colocada la artillería portuguesa, y á…</t>
  </si>
  <si>
    <t>…s cami nos! había Obligado al-mariscal á dex&amp;ti'sú;ardl:lería en:la aldea de Montblánc, y se*pasó algjá^n tiempo aíiteS dé.qüe pudiese llegar al sitio donde estaba^ y antes qüe él general Freyre püdverá formarse, y volver al ataqüé. Luego que esto se verilicó continuó, eírnaríscal su movimiento por toda la cresta dé ia altura, y con la brigadi del general Pack tomó los reductos principales y la casa fortificada que el enemigo tenia en su centro. El e…</t>
  </si>
  <si>
    <t>…ios guarde á V. E. muchos años. Quartel general de Toíosa á ia .de Abril de 1814.=: íixcmo. Sr.=WWingion % duque de Ciudad-Rodrigo. ssExcmo. Sr. minis tro de la Guerra.” Partí del general Freyre que se cita en el oficio anterior. ,,Excmo. Sr.; Con arreglo á las órdenes que V. E. tuvo á bien comu nicarme á las siete del dia 10 del corriente, dispuse que las tropas de mi man do atacasen las alturas inmediatas á Tolosa defendidas por fuertes reductos, s…</t>
  </si>
  <si>
    <t>…zo de retirarse de:Catalu*&gt; ñ.ien consecuencia de haberse disminuido allí las fuerzas del mariscal Such'et. 'Remito* á •WiE.'este t&gt;ficio ,con el capitán D. José Cacho, edecán del general Freyre, qúe pido á V. Eó lo recomiende á lá protección del g. bienio. Dios guarde á V. E. muchosv años. Quartel general de Tolosa á 19 de Abril de 1814. = Excmo. Sr. =s VVeílington ,duque de Ciudad-Ro drigo. — Excmo. Sr. ministro de la Guerra. ínc'tu o también’á V.…</t>
  </si>
  <si>
    <t>…donde há . recibido véstuárló. El príncipe de Anglona y •su quartel general permanecen todavía en esta, y el tercer exército sigue acantonado en la carretera de aquí á Tolosa. El general Freyre se halla en "Vagueres tomando aguas , y la mayor parte de sh exército en Tarves. En</t>
  </si>
  <si>
    <t>…Luis xvm al trono de Francia. El lunes ultimo pasó por esta en posta el gefe segundo del estado mayor del quarto exército D. Ramón de Losada, acompañado de uno de los edecanes del general Freyre, quienes van á la corte á cumplimentar á S. M. en nombre del quarto exército. Es continuo é incesante el paso de prisioneros españoles que entran en España por este pun to. Llegan partidas de y 1400 hombres. Vienen muy lucidos, aseados, y la mayor parte con g…</t>
  </si>
  <si>
    <t>Freyre, José María</t>
  </si>
  <si>
    <t>José María Freyre</t>
  </si>
  <si>
    <t>…cofuna de cazadores, al teniente coronel comandante accidental del bata llón de la Legión D. Rodrigo Bermudez, los capitanes de cazadores D. An tonio Ximenez, D. Angel Bermudez, y D. José María Freyre, y los te nientes D. Manuel Toledo y D. José Buzarron.__ El brigadier D. Juan Downie, que casualmente se hallaba con licencia en esta división , se me pre sentó para que le emplease, y acompañó á la Legión en el fuego sobre el cerro Arrocaray, conduciéndose c…</t>
  </si>
  <si>
    <t>Freyre, Manuef</t>
  </si>
  <si>
    <t>Manuef Freyre</t>
  </si>
  <si>
    <t>…han batido, por si V. E. tu viese á bien darles las gracias. Dios guarde á V\ E. muchos años. Campo de Anglet 24 de Febrero de 1814. = Excmo. Sr.zz Francisco Plasencia, ss Excmo. Sr. D. Manuef Freyre. MADRID EN LA IMPRENTA NACIONAL.</t>
  </si>
  <si>
    <t>Freyre, Manuel</t>
  </si>
  <si>
    <t>Manuel Freyre</t>
  </si>
  <si>
    <t>…riginal la copia del parte que el mariscal de campo D. Pablo Morillo, comandante general de la primera división de infantería del quarto exército, ha dirigido á su general en gefe D. Manuel Freyre de la acción que sostuvieron parte de las tropas de su mando con tra Fuerzas enemigas de su frente en el dia 26 del mes de Enero último; á fin de que se sirva V. E. elevar ai conocimiento de S. A. la Regencia del Reyno los pormenores de esta jornada, y que pu…</t>
  </si>
  <si>
    <t>…oficiales de estas compañías y sus valientes cazadores. Dios guarde á V. E. muchos, años. Quartel general de Lohuossa 26 de Enero de 1814. = Excmo. St.~Pab¡o Moriilo. = Excmo. Sr, D. Manuel Freyre.” \ Estado citado.en el parte anterior^ QUARTO EXÉRCITÓ. — ESTADO MAYQRÍ _ PRIMERA EUVISXOÍÍ DE INFANÍV‘ ' '■ : ;■ ' ' ' s’;TER1Á. Estado que manifiesta la pérdida que han unido Lis compañías de caza dores de los cuerpos de esta división en la acción del dia…</t>
  </si>
  <si>
    <t>…bourg los partes siguientes. número i.° ,,Excmo. Sr.: me trasladé á Garrís elidía 21, habiendo mandado que las divisiones ligera y sexta levantasen el bloqueo de Ba yona, y que el general D. Manuel Freyre, reconcentrando hácia Irun los acantonamientos de sus tropas, estuviese pronto para ponerse en movimiento luego que la izquierda del exército pasase el Adour. Hallé á los pontones reunidos en Garris, que al día si guiente marcharon, y atravesaron el Gave de M…</t>
  </si>
  <si>
    <t>…en cumplimiento de mis órdenes ha des empeñado su comisión tan completamente como verá V. E. por la adjunta relación, que acabo de recibir del general en gefe del quarto exército Don Manuel Freyre, é igualmente por la otra que incluyo sobre el asalto que executó con éxito contra el fuerte del Puntal. Al mismo tiempo que tengo la satisfacción de manifestar á V. E. lo satisfecho que he quedado de los ser vicios de este bizarro gefe, me es doloroso tener…</t>
  </si>
  <si>
    <t>…oderoso conserve la vida de V. E. dilatados años. Quartel general de Laredo 25 de Febrero de 1814. e Excmo. Sr. e De V. E. con el mayor respeto = Juan José San JLlorente.zz Excmo. Sr. D. Manuel Freyre. e Es copia. ¿= Freyre.*’ La pérdida citada consiste en un oficial muerto, dos sargentos y 34 ca bos y soldados: heridos quatro oficiales, seis sargentos:y 84 cabos yelda dos, y 18 soldados contusos. El oficial muerto es el teniente dq cazadores del regimient…</t>
  </si>
  <si>
    <t>…í el dia de ayer después de haberse retirado del otro lado del Garona la pequeña tuerza que el enemigo tenia, y que esta importante ciudad está ya en nuestro poder. ,, Ei teniente general D. Manuel Freyre se unió al exército este dia con alguna parte del quarto exército, que se hallaba baxo su inmediato mando, y espero que la brigada de caballería del mayor general Ponsomby se reunirá ef diá de mañana.__ El general Fane, que manda ios puestos avanzados del gen…</t>
  </si>
  <si>
    <t>…nserve la.'vida ■ dé V. E. dilatados años-. irQuartébgéfieral «áe Laredo 2 de-Marzó de 1814.35: Excmo. Sr. = de V. E. con el mayor respeto =£Jkan José Sáh Llórente.cb Excmo. Sr. = D. Manuel Freyre = Es copia. = Freyre.” Según los estados citados resulta haberse encontrado en los fuertes de</t>
  </si>
  <si>
    <t>…arta y sexta , de bía atravesarlo por el^pqente der Croade, apoderársele Monthkinc , marchar rio arriba por fá izquierda--BeXfirk* ^ dbblat» lider¿chaLdel enemigo mien tras que el general D. Manuel Freyre con las tropas españolas de su man do, sostenidas pprda-caballen^mgiepy debiar^tac sii&amp;ftfta E! teniente general s:r Stapletton Cotton deoia también seguir los movimientos del ma riscal con la brigada de húsares, del lord E. Somercet; y la brigada del co rone…</t>
  </si>
  <si>
    <t>…visión i'y-nb* padeció $2ítíí6''‘fcoiifc4*’éfiá y-’-pe-ró^e conduxo con su acostum brado valor. Tengo ademas singulares motivos para estar satisfecho de la conducta.del teniente, general D. Manuel Freyre,&lt; del de igual clase D. Ga briel Mendizabal, y del mariscal de campo D? Pedro de la Barcena, dei brigadier Di José Ezpeleta , del mariscal de campo D. Antonio Garcés de MarciÚá-', y del géfe del Estado * mayor1 del quarté-exército D. Estanislao Sanche^ Salvad…</t>
  </si>
  <si>
    <t>…del teniente coronel D. Juan Morales, del Estado mayor de campaña, á quien ruego á V. E. lo recomiende á la protección del Gobierno. Acompa so á V. E. el parte que me ha pasado el general D. Manuel Freyre sobre la acción de aquel dia, con un estado de su pérdida, y los estados de la pér dida que experimentaron las tropas inglesas y portuguesas. Dios guarde á V. E. muchos años. Quartel general de Toíosa á ia .de Abril de 1814.=: íixcmo. Sr.=WWingion % duque de…</t>
  </si>
  <si>
    <t>…LA REGENCIA ' ‘ ‘ ^ , i ‘ " • j DEL MARTES 26 DE ABRIL DE 1814. ARTICULO DE OFICIO. El Sr. duque de Ciudad-Rodrigo ha remitido por el capitán D. José Cacho , ayudante de campo del general D. Manuel Freyre, los partes si guientes ; ' ' • ; ’ : \ I.° . ,,Excmo. Sr.: en la tarde del dia 12, como tengo participado á V. E , llegó el coronel Cook de París para informarme de los acontecimientos de aquella ciudad hasta la noche del 7. Le acompañaba en su viage ei coro…</t>
  </si>
  <si>
    <t>…al Sr. D. Pedro M;canaz; para la de la Gobernación de Ultramar al Sr. D. Miguel de Lardiz^bai y Uribe; para la de Hacienda al Sr. D. Luis María de Salazar, y para la de Guerra al Sr. D. Manuel Freyre. Para la mas fácil -expedición de los negocios se ha servido S. M. señalar los dias y horas en que han de celebrarse los despachos de las distintas se cretarías del ministerio» mandando que esta real resolución se avise al pu blico. Por la mañana^, Por lanoch…</t>
  </si>
  <si>
    <t>Fréyre, Manuel</t>
  </si>
  <si>
    <t>Manuel Fréyre</t>
  </si>
  <si>
    <t>…os años. Madrid ió de Octu bre de 1814. 2.a Al General en gefe del cuerpo de observación de los Pirineos occi dentales comunico con esta fecha lo siguiente: ,, El Teniente General D. Manuel Fréyre, General en gefe que ha sido del quarto exéréito de operaciones, ha expuesto al Rey , que la .-batalla de San Marcial-sdbre-el rió Vidasoa, dada el dia 31 de Agosto del año próxi mo pasado de 1813 , es una de las mas gloriosas, que ocuparán los fastos de</t>
  </si>
  <si>
    <t>Freyre, Manuel de</t>
  </si>
  <si>
    <t>Manuel de Freyre</t>
  </si>
  <si>
    <t>…ía de á. 18, que tuvo que subir el rio hasta las inmediaciones del puente de Bayona. Ei teniente general sir Colen Hoppe embistió la ciu— dadela de Bayona el dia 25, y el teniente general D. Manuel de Freyre marchó adelante con el quarto exército español, en virtud^ de las instrucciones que le había dexado. Completada el dia 27 la obra del puente, creyó el general Hoppe conveniente estrechar mas la ciudadela de Bayona de lo que hasta entonces había estado; y para…</t>
  </si>
  <si>
    <t>Freyre.ssEs, Manuel</t>
  </si>
  <si>
    <t>Manuel Freyre.ssEs</t>
  </si>
  <si>
    <t>…dopoderoso conserve la vida de V. E. dilatados años. Quartel general de Laredo 26 de Febrero de 1814. = Excmo. Sr. = De V. E. con el mayor respeto =Juan José San Llórente.—Exento. Sr. D. Manuel Freyre.ssEs copia.*=Freyreé 2.° ,, Excmo. Sr.: el excesivo mal tiempo y las fuertes y copiosas lluvias que han caído desde el principio del mes, habiendo hecho crecer extraordi nariamente todos los rios, y difícil y larga la reparación de los numerosos puentes que el ene…</t>
  </si>
  <si>
    <t>Freyrét</t>
  </si>
  <si>
    <t>…inmediata á nuestro flanco derecho , &gt; se ;ponía; en movimiento ;-y no pue do. elogiar suficientemente los esfuerzos.que h.i¡eietQD pairajreunirías y fclr-.i marias demuevó: el r general Freyrét, los, oflqiíilesKrdeíbestado m^yotírdeL quarto exórdto español ,-:yi4os'. del estado mayor ¡géíierakí, El tenientes ¿ge-u aerál D. i,Gabriel ide:.Mendízabál., qáé estaba d$, ¡voluntario-en la;acciqn&lt;,rei;</t>
  </si>
  <si>
    <t>Frías, Rafael</t>
  </si>
  <si>
    <t>Rafael Frías</t>
  </si>
  <si>
    <t>…las frecuentes llu vias y malos caminos fueron causa de que á su llegada á Mondoñedo sp hallase la tropa absolutamente descalza; y aunque el señor ministro princi pal de Hacienda D. Rafael Frías solo pudo proporcionar 2.5 pares de zapa tos, su mucho zelo hizo que por sí mismo hablase á varios sugetos; y en efecto el limo. Sr. obispo de aquella santa iglesia dio 20 pares de zapatos; D. Miguel de Salazar, dignidad de maestrescuela de la misma, 3 iden?;…</t>
  </si>
  <si>
    <t>Frimoné</t>
  </si>
  <si>
    <t>…l Bhicher puede efectuar su reunión con Winzingerode, Bulow y Woronzow. ¡ El cuerpo de St. Priest había llegado á Vitry: el general St. Jago debía leudársele, en Joinviile. ... El general Frimoné atacó el día i.° á la vanguardia enemiga, y la der rotó ¡cerca, de Vandoeuvre, donde puso su quartel general. - r Se han enviado refuerzos? al general Bubna, y el cuerpo del general Bíanchi ha recibido orden de marchar hacia Dijon. r Los plenipotenciarios sig…</t>
  </si>
  <si>
    <t>Frimont</t>
  </si>
  <si>
    <t>…los aliados. El cuerpo del general St. Priest llegó á VItry del Mame; y el general Jago estaba en Joinville con orden de reunirse al general St. Priest. Acaba de llegar parte del general Frimont, participando el buen éxito de un ataque que ha dado hoy con la caballería de su mandó á la retaguar dia enemiga cerca de Vandoeuvre. El general Frimont arrojó ai enemigo de dicho pueblo , y después estableció en él sil quartel general. Tengo la honra £kc. Co…</t>
  </si>
  <si>
    <t>Fronde</t>
  </si>
  <si>
    <t>…paseo: por las calles de la ciudad en coche , acompañado del prefecto,, del subprefecto y del general conde de Laurencey. El navio que conduxo al príncipe, y que mandaba el contra-almirante Fronde, dio la vela el 15 para Inglaterra en busca de S. M. Luis xvui, S. A. R. partió el 14 á medio dia de Cherburgo, y después de hader des cansado algunas horas en Valones, llego el 15 á Saint-Ló, y se apeó en la casa de la prefectura. A las 10 de la mañana recib…</t>
  </si>
  <si>
    <t>Frutos, Agustín</t>
  </si>
  <si>
    <t>Agustín Frutos</t>
  </si>
  <si>
    <t>…pas, y adicionado eh esta segunda impresión con varias memorias y reflexiones importantes sobre algunos puntos muy intrincados de la cirugía, y otros adelantamientos modernos, por D. Agustín Frutos. Se Fallará en la librería de Cifuentcs, calle de Preciados, casa de la Inclusa: se darán separados algunos tornos del quinto, para que los que ya tienen la obra puedan completarla. .1 . : MADRID EN LA IMPRENTA NÁcloÑAL.</t>
  </si>
  <si>
    <t>Fsdrique</t>
  </si>
  <si>
    <t>…la preciosa vida de V. M. por dilatados años.” jsn el propio dia tuvieron asimismo el honor'de besar la mano y felici tar á S. M. y A A. una diputación de la villa de la Puebla de D. Fsdrique» en laprovincia de Ciudad-Real, compuesta del Lie. D. Casimiro Hernán dez, alca’de mayor; D. José Victoriano Díaz Moreno, alcalde ordinario, y D. Manuel de Jesús Torralba y Arnalte, procurador síndico; de los quales el primero are ngó á 5. M. en los términos…</t>
  </si>
  <si>
    <t>Fu, Francisco</t>
  </si>
  <si>
    <t>Francisco Fu</t>
  </si>
  <si>
    <t>…lo conveniente, y les parará el perjuicio que ha ya lugar. En la gaceta anterior del ipartes 18 del corriente * página 2066, línea 2 y 3, donde dice Z). Francisco Fulgencio, léase D. Francisco Fu/gosioi ¡ —• ------- * ‘ ....................... .............................. ........................ —------ :-----------j------------------------------. / &gt;- 1 1 — 1 - i — i EN LA IMPRENTA REAL.</t>
  </si>
  <si>
    <t>Fuentes, José Mor de</t>
  </si>
  <si>
    <t>José Mor de Fuentes</t>
  </si>
  <si>
    <t>…y adelantar el importe del 3.0 *n el almacén de pa pel de D. Santiago Grimaud, calle de las Carretas, frente de la imprenta nacional. La venida de Fernando vii; canto heroyco, por D. José Mor de Fuentes. Se hallará en la librería de Castillo, frente á S. Felipe, y en la de Ramos, carrera de S. Gerónimo. MADRID EN LA IMPRENTA NACIONAL.</t>
  </si>
  <si>
    <t>Fuertes, Juan de Dios</t>
  </si>
  <si>
    <t>Juan de Dios Fuertes</t>
  </si>
  <si>
    <t>…Julio del mismo, á teniente de la sexta del primero á D. Martin Salazar; á subteniente de fu sileros al sargento primero D. José Castro, y á subtenientes de bandera á los cadetes D. Juan de Dios Fuertes y D. Pab¡o Molina. Con la de 24 de Octubre del miuno año, á espitan á D. Miguel Santos; á ayudante mayor á D. Miguel de la Vega; á teniente de granaderos á D. Miguel Piñeyro ; á subtenientes dé ídem a D. Domingo Parño y D. José Ignacio Castro, y á subtenientes de band…</t>
  </si>
  <si>
    <t>Füerté’S, Angel</t>
  </si>
  <si>
    <t>Angel Füerté’S</t>
  </si>
  <si>
    <t>…stral de !a de Sto. Domingo de la Cat^ad^ypatá la dignidad de maestrescuela de la iglesia catedral de Santan der, vacante [p6r: fallecimiento ! dé Di Agustín Socobio y Cevallos, á-Don Angel Füerté’S , canónigo doctoral de la misma catedral, y ministro del con sejo délas Ordenes: para la^dé tesorero de la mi^ma iglesia, vacante por fiiuérte:dé'D. Jacinto Antonio de Losada, á D. Tomas de BasagoitL, raciéfcére má^atfitigitó deella: pfrra unacanongía dé la p…</t>
  </si>
  <si>
    <t>Fulgosio, Francisco</t>
  </si>
  <si>
    <t>Francisco Fulgosio</t>
  </si>
  <si>
    <t>…ara el de Barcelona á D. Andrés Perez Herrasti: para el de Tarraigona á D. Carlos de España: para el de las quatro villas de Santander 4 vD. Vicente Quesada; y para el de Lérida á D. Francisco Fulgosio. Igualmente se ha servido nombrar S. M. par-a la regencia del consejo djs Navarra á D. Juan Garrido López: para una plaza de oidor nacional del rtirmo consejo á D. Martin Xavier de Muzquiz : para otra también nacio nal á D. Juan Miguel de Echevarría: para otr…</t>
  </si>
  <si>
    <t>Funes, Manuel</t>
  </si>
  <si>
    <t>Manuel Funes</t>
  </si>
  <si>
    <t>…lo es por la provincia de Mérida de Yucatán. Extractó del parte dado aí Exento. Sr. comandante general del aposta dero de la Havanápor los tenientes de navio de la armada nacional D. Manuel Funes y D. Adrián Morquecho con fecha de 20 de Setiem bre Ultimo desde Sta. Marta. El 16 de Agosto salió de Porto-Bello una división de buques de guerra compuesta de la polacra Cupido, el paquebot Borja, y las goletas Galga y Junta de Sevilla, mandados respectivamente por los tenientes…</t>
  </si>
  <si>
    <t>Fussa, Ramón</t>
  </si>
  <si>
    <t>Ramón Fussa</t>
  </si>
  <si>
    <t>…mente que las compañías ligeras de la división mallorquína que le sostuvieron en desalojar y perse guir al enemigo hasta; la plaza. Los húsares de Cataluña, al mando efe! co ronel D. Ramón Fussa , han correspondido al crédito y concepto que si'énípre lós ha distinguido; y no puedo menos de confesar que el crecido núme ro de cadáveres que cubrían el campo de batalla fue debido en gran parte al denuedo con que cargó un destacamento de aquel cuerpo sobr…</t>
  </si>
  <si>
    <t>Fveyre</t>
  </si>
  <si>
    <t>…ados. Idem 14. El mariscal Beresford se dirige á Burdeos, donde se cree que entraría ayer: el Excmo. Sr. duque de Ciudad-Rodrigo con el resto del exército se encamina á Tolosa; el general Fveyre marchó-dé Pau hasta Orthez , y de allí se ha dirigido á St. Sever. Sigue el sitio de Bayona por los ingleses, y la segunda división, al mando del general España, se dirige á la ciudadeia. ARTICULO DE OFICIO. La Regencia del Rey no se ha servido expedir el dec…</t>
  </si>
  <si>
    <t>G, María del</t>
  </si>
  <si>
    <t>María del G</t>
  </si>
  <si>
    <t>…ones á una de las huérfanas de los militares ó patriotas que hubieren muerto en defensa de la ju ta causa de la nación, ha cabido en suerte del primer extracto de ia de este dia á Doña María del G írmen Hueso, bija del coronel y comandante de artillería, muerto en el campo del honor. 1 ■ ■ 1 1 —— ..i ■■ ■ » ■ —* ' 1 — 1 — ■■■■■ ' . n ......—1 EN LA IMPRENTA REAL. ................ 9 . • -</t>
  </si>
  <si>
    <t>Ga</t>
  </si>
  <si>
    <t>…iá y-’-pe-ró^e conduxo con su acostum brado valor. Tengo ademas singulares motivos para estar satisfecho de la conducta.del teniente, general D. Manuel Freyre,&lt; del de igual clase D. Ga briel Mendizabal, y del mariscal de campo D? Pedro de la Barcena, dei brigadier Di José Ezpeleta , del mariscal de campo D. Antonio Garcés de MarciÚá-', y del géfe del Estado * mayor1 del quarté-exército D. Estanislao Sanche^ Salvador. Los Oficiales y tropa s…</t>
  </si>
  <si>
    <t>Ga, Estéban Rodríguez</t>
  </si>
  <si>
    <t>Estéban Rodríguez Ga</t>
  </si>
  <si>
    <t>…Estéban y Ranz: para la vara de Osuna á D. Juan Antonio Del gado: para la de Don Benito á D* Eusebio Lampie: para la de Medellin á •D. Feliciano Centeno: .para Ja de Guadalaxara á D. Estéban Rodríguez Ga llego: para la de Laseca á D. Pablo Blanco Caballero: para el corregi miento de Calahorra á D. Francisco Fabian: para el corregimiento de Es^ ¿epa á D. Manuel Valdes; y para que sirva interinamente el de Jaén á Don Carlos Carabantes, comandante de armas de aq…</t>
  </si>
  <si>
    <t>Gabaldon, Luis</t>
  </si>
  <si>
    <t>Luis Gabaldon</t>
  </si>
  <si>
    <t>…comisión de la Reai sociedad,patriótica de Aíadrid, compuesta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t>
  </si>
  <si>
    <t>Gabriel</t>
  </si>
  <si>
    <t>…rcicio de decretos, ha venido S. M. en concederle la gra cia de Cruz supernumeraria de la Real y distinguida orden de Carlos fn. En atención á los servicios y constante lealtad de D. Gabriel de la Vega y Castillo, se ha servido S. M. nombrarle agente general de expediciones á Roma. Habiéndose determinado por la ¡unta del crédito publico que el papel en que se estampan los vales salga de la oficina de expedición y renovación de documentos sin cort…</t>
  </si>
  <si>
    <t>…ot para ia dignidad de m íestreseuela de la catedral"de Vatladolid, va-í e nte por haber obtenido lavcanóngía doctoral de la^prirtiada 'de Toledo D. Pedro Nolasco Sánchez Moron, á D. Gabriel 'Ugarte y Alegrí», con retención de la penitenciaría que obtiene en la propia catedral de Valladolid, por consideración á sus méritos literarios y dilatados buenos servicio^: para la canongía que resulta vacante en Ja iglesia metropolitana deBúr-. go^, por pr…</t>
  </si>
  <si>
    <t>Gacel, Luis</t>
  </si>
  <si>
    <t>Luis Gacel</t>
  </si>
  <si>
    <t>…Mendieta,y D. Juan Antonia Fernan dez de Quesada. Ministros de Capa y Espada■. D. Pantalecn de Beramendi; Conde de Lereua; D. Víctor Rascón .Cor nejo, Contador general de Valores; D. Luis Gacel, Contador general de la D ¡stribucion; D. Josef Martínez de Bustos; D. Felipe de Córdoba; D. Ma nuel Pérez de Lema; D. Ignacio Rodríguez de Ribas; D. Víctor. Soret, Tesorero general; D. Pascual Dávila; Contador general de Millones; Don Francisco López de Aíca…</t>
  </si>
  <si>
    <t>Gagarin</t>
  </si>
  <si>
    <t>…á la vanguardia del general Winzingerode, entro en Amsterdam el 24 de noviembre entre Jas aclamaciones de los habitantes, y !e siguió el general Benkendorf. El 27 de noviembre el general Gagarin con 300 cosacos desmontados atacó la guarnición1 de Deventer, que había salido de la plaza con el objeto de quemar ú ocupar alguno de los arrabales; y después de un combate muy obstinado, rechazó á los enemigos hasta el puente, mató algunos de ellos , é hizo…</t>
  </si>
  <si>
    <t>…or, y llegó sin ser conocido al palacio de Pultney, donde reside la gran duquesa Catalina su hermana. El emperador había ya subido el pri mer tramo de la escalera quando le vio el príncipe Gagarin, y lo anunció á la gran duquesa, la qual corrió luego á ver al emperador, quien la abrazó con vivo afecto,como también al joven príncipe Alexandro de Oldemburgo. Extendióse luego por la ciudad la noticia de la llegada del emperador, y agolpado el pueblo delan…</t>
  </si>
  <si>
    <t>Gainza</t>
  </si>
  <si>
    <t>…onstituidas; de cuyas resultas había comisionado dicho gobier no al Sr. D. Santiago Hyliiar, capitán de la fragata de S. M. Británica la Febe, para pasar á tratar el asunto con el Sr. Gainza, cuyo comisionado se' esperaba en Talca dos dias después de la salida de los pliegos del general: estos contienen varias acciones. La pérdida de los enemigos en todas las acciones ocurridas, inclusa la to ma de Concepción y Talcahuano, pasa de 200 hombres mue…</t>
  </si>
  <si>
    <t>Gainza, Gavino</t>
  </si>
  <si>
    <t>Gavino Gainza</t>
  </si>
  <si>
    <t>…de los revolucionarios, tanto en el número cómo ea la instrucción, disciplina y subsistencias. Por cartas particulares se sabe que el 30 de Enero desembarcó en él mismo A rauco el brigadier D. Gavino Gainza con la tropa, artii'éría, mu niciones, dinero, pertrechos y efectos de vestuario para el exércitó, que &lt;e conduxeron en la corbeta Sebastiana y bergantín Potrillo. Por las cartas in terceptadas á los enemigos y una relación de un confidente del general, se vi…</t>
  </si>
  <si>
    <t>…. Lima 2j de Mayo. En la noche inmediata dio fondo en la bahía del Callao el bergantin San Fernando:, conduciendo al alférez de fragata D. Pedro Tavira con pliegos* para S. E. del brigadier D. Gavino Gainza, general en gefe del exército Real de Chile, en que comunica la agradable noticia de haber batido á Iosinsurgentes en todos los puntos que ocupaban, quedando hecho dueño de la* provincia de ía Concepción y mucha parte déla de Santiago, por haber pasado el Mau…</t>
  </si>
  <si>
    <t>Galban, Miguel</t>
  </si>
  <si>
    <t>Miguel Galban</t>
  </si>
  <si>
    <t>…ba á principios de 810 á la de Badajoz; y como desde es ta époch Ho.se tenga ya noticias ds él, se suplica á qualesquiera persona que pueda darlas se sirva dirigirlas al Ferrol á- D. Miguel Galban , ó en esta corte á D. ¡Gala Rodríguez , que vive, en la calle del. Caballero de Gracia , núm» 5 , quarto segun do, al lado del oratorio. . * : Quien tuviese noticia del paradero de un niño llamado Andrés Ximenez, que se extravió en el último atajo que sube a…</t>
  </si>
  <si>
    <t>Galdiano, Fausto</t>
  </si>
  <si>
    <t>Fausto Galdiano</t>
  </si>
  <si>
    <t>…cumplimentaron á S. M. y Sres. Infantes, á nombre de la villa de los Arcos, el Dr. D. Manuel Jo sé Lombardo, D. José Gerónimo EIso, el Líe. D. Francisco Miguel Lom bardo y el Dr. D. Fausto Galdiano; el primero de los quales arengó á S. M. en los términos siguientes: ,,Señor: la villa de los Arcos en vuestro reyno de Navarra, y su heroyco vecindario, representado en sus quatro diputados, que tienen el ho nor de ser admitidos hoy á besar Ja mano á V. M. y…</t>
  </si>
  <si>
    <t>Galdón, Francisca Xaviera</t>
  </si>
  <si>
    <t>Francisca Xaviera Galdón</t>
  </si>
  <si>
    <t>…. Aquilino Antonio de Salamanca, marques de Villacampo; !a du juesa de.Montemar y marques de los Llanos, y por Doña María Francisca Barructa y Galdona, D. Vicente Antonio Echaniz, Doña Francisca Xaviera Galdón», Don Joaquín Diego de Saracoiz, Doña María Concepción Antonia de Umendia, D. Vi cente Joaquín de Barrutia, Doña Josefa Joaquina de Aizolares, D. Joaquiu María ¡BarróeVi , Doña María Teresa Faraudo, Doña María Antonia de Goycneche é Indaburu, con el citado co…</t>
  </si>
  <si>
    <t>Galdona, María Francisca Barructa y</t>
  </si>
  <si>
    <t>María Francisca Barructa y Galdona</t>
  </si>
  <si>
    <t>…e acreedores prestamistas del consulado de Cádiz, é igual mente por D. Aquilino Antonio de Salamanca, marques de Villacampo; !a du juesa de.Montemar y marques de los Llanos, y por Doña María Francisca Barructa y Galdona, D. Vicente Antonio Echaniz, Doña Francisca Xaviera Galdón», Don Joaquín Diego de Saracoiz, Doña María Concepción Antonia de Umendia, D. Vi cente Joaquín de Barrutia, Doña Josefa Joaquina de Aizolares, D. Joaquiu María ¡BarróeVi , Doña María Teresa Faraudo, D…</t>
  </si>
  <si>
    <t>Galeano, Manuel</t>
  </si>
  <si>
    <t>Manuel Galeano</t>
  </si>
  <si>
    <t>…a á D. Miguel-Perez Mozun, coronel en comisión del mismo. La Regencia del Reyno se ha servido nombrar para cinco plazas de ma gistrados dé la audiencia’de Quito á D. Migu^Otermin, D. Manuel Galeano, D. Pedro López Seg'ovia, D. Santiago Corbalan y D&gt; Antonio María Izquierdo de la Torreé y para'fiscales de la misma á D. Juan Josef del Campo y D. Manuel Antonio de Noriega Domínguez. Relación de los buques de nuestro comercio que de 15 dias á esta parte se…</t>
  </si>
  <si>
    <t>Galiaho, Amonio Alcalá</t>
  </si>
  <si>
    <t>Amonio Alcalá Galiaho</t>
  </si>
  <si>
    <t>…d: que le es característica, y con el aprecio que le merecen los cuerpos literatos.. El dia iS'del mes próximo pasado tuvieron el honor de cumplimentar áS. M. y besar su real mano D. Amonio Alcalá Galiaho, ministro del Conse jo, juez conservador dé la real lotería moderna, y tino de los jueces de 'poli cía, y Di Diego María Vadillos j alcalde de la real casa y corte , Coéio re presentantes de la universidad de Granada; y el primero pronunció el dis curso sigui…</t>
  </si>
  <si>
    <t>Galiano, Antonio Alcalá</t>
  </si>
  <si>
    <t>Antonio Alcalá Galiano</t>
  </si>
  <si>
    <t>…r lo que toca á las de su filiación, informando unos y otros á S. M. de las dificultades é inconvenien tes que se presenten.” Máximas y principios de la legislación universal, por D. Antonio Alcalá Galiano, del consejo de S. M. La escasez de libros de derecho público que hay en el idioma español, y las doctrinas que contiene esta obra , extractadas de los primeros filósofos, ta hacen interesante. Puede considerarse como un compendio, que pro porciona á los lite…</t>
  </si>
  <si>
    <t>Galianó, Antonio Alcalá</t>
  </si>
  <si>
    <t>Antonio Alcalá Galianó</t>
  </si>
  <si>
    <t>8)3 mano, á nombre del colegio mayor é imperial de Santa Cruz de la Fe y San ta Catalina» universidad!de Granada, D. Antonio Alcalá Galianó, ministro dei Consejo, y juez, conservador de la real lotería moderna ; D. Diego María Vadillos, alcalde de la real casa y corte, y D. Vicente José Mier , canóni go de AÍbarracin r como individuos de dicho cuerpo; y. en cuyo acto pro nunció el primero un disc…</t>
  </si>
  <si>
    <t>Galiano, Salvador</t>
  </si>
  <si>
    <t>Salvador Galiano</t>
  </si>
  <si>
    <t>…cura párroco en el obispado de Sigüénza : para el beneficio simple servidero del puerto dé Sta. María * diócesis de Sevilla, vacante por muerte del Sr. cardenal duque de Yorck, á D. Salvador Galiano; y para la medu préstamera de Sm'ucar de Barratneda én la misriia diócesis, vacante por fallecimiento de D. Manuel Cean .Rermudez, á D. Juiiaa Antonio Campelo. Habiéndose dignado S. M-&gt; restablecer-, á consulta del Consejo, el colegioj"universidad dé Qñate, s…</t>
  </si>
  <si>
    <t>Gallear</t>
  </si>
  <si>
    <t>…s provincias de Saboya. S. M. Sarda, accediendo al deseo de los habitantes de sus provincias, ha resuelto que se restablezca el senado Real de Saboya. Asimismo S. M.ha nombrado al conde Gallear! d’Agliano su comisario plenipotenciario para to mar en su nombre posesión de las provincias de Saboya. DINAMARCA. * “ ' V • , ' Copenhague- úS de Agosto. ■ “ ‘, Los dos condes de Bernstorf están nombrados para enriados del Rey en el congreso de Viena» ■ I ‘…</t>
  </si>
  <si>
    <t>Gallegos, Manuel</t>
  </si>
  <si>
    <t>Manuel Gallegos</t>
  </si>
  <si>
    <t>…ichoacan, uno de S* Luis y tres de Celaya, de los que han muerto aígunosDebo recomendar particularmente á V. E. los comandantes de todas las garitas y sargento mayor de esta plaza D. Manuel Gallegos por lo bien que han desempeñado sus deberes, y con singularidad al sargento mayor del ba tallón ligero de México D. Ignacio del Corral, y al de igual clase coman dante de los esquadrones de Tulancingo D. Antonio Larragoyti, que logró en la segunda saíiJa de e…</t>
  </si>
  <si>
    <t>Gallo, Felipe</t>
  </si>
  <si>
    <t>Felipe Gallo</t>
  </si>
  <si>
    <t>…orden de 17 de Marzo de 1806, que el Consejo no diera pase á ninguna Bula, Breve ó Rescripto Pontificio que no fuera presentado por el Agente general de Madrid, y en su nombre por D. Felipe Gallo, su Procurador, nombrado por S. M. para este efecto; y que encargase ¿ to dos los Ordinarios eclesiásticos que no diesen execucion á ninguna gracia Pontificia, coyas preces no hubiesen remitido los mismos Ordinarios por la primera Secretaría de Estado, según…</t>
  </si>
  <si>
    <t>…argue por circular su puntual cumplimiento, haciéndose saber á los Procu radores del Consejo que en lo sucesivo no admitan recurso alguno sobre el pase de gracias Pontificias; y á D. Felipe Gallo, único habilitado porS. M., que continúe como hasta aquí en el desempeño de su encargo con arreglo á lo dispuesto en las referidas Reales cédulas; y que se diga á los Generales y Vicarios generales de las Ordenes Regulares que conforme á las piadosas in tenci…</t>
  </si>
  <si>
    <t>Galvez, Franciseo</t>
  </si>
  <si>
    <t>Franciseo Galvez</t>
  </si>
  <si>
    <t>…a gaceta nám. 143» pág. 2091, lín. 24 y 25 , donde dice D. Manuel Perez Aransoro, léase Aransolo. Y en la gaceta núm. 144 del 29 de Octubre último,- pág. 2097, lín. 40, donde dice D. Franciseo Galvez y dignidad de tesorero de la santa iglesia de Córdoba , léase de Gra nada. EN LA• IMPRENTA- • # ♦REAL. t * *</t>
  </si>
  <si>
    <t>Galvez, José Joaquín Ortiz y</t>
  </si>
  <si>
    <t>José Joaquín Ortiz y Galvez</t>
  </si>
  <si>
    <t>El día 6 felicitaron igualmente á S. M. los diputados por el Istmo de Panamá Dr. D. Juan José Cabarcas, dignidad de maestrescuela de aqué lla catedral, y D. José Joaquín Ortiz y Galvez, oidor de la Real audiencia *de Cataluña; el primero de los quales dixo á S. M.: ,, Señor: los designios de la Providencia, que conduxeron á V. M. al duro cautiverio de Valeneey, llenaron de amargura á toda la nación, mien tras mas se le ocultaba el término d…</t>
  </si>
  <si>
    <t>Gam, Manuel Fernandez</t>
  </si>
  <si>
    <t>Manuel Fernandez Gam</t>
  </si>
  <si>
    <t>…dirá en ei Burgo de Osma á su secretario capitular D. Andrés de Rodrigo, y en esta corte á su apoderado D. Clemente de Cavia y Diez. A virtud de r¿al facultad por la audiencia del Sr. D. Manuel Fernandez Gam boa, teniente de corregidor en esta villa, y escribanía del número de D. Toma-: de Sancha y Prado, se venden á subasta 12 fanegas de tierra labrantía,'sitasen'Térmi no del Pugar de Vallecas de esta jurisdicción: Jas siete al parage donde dicen la Regalada , c…</t>
  </si>
  <si>
    <t>Gambier</t>
  </si>
  <si>
    <t>…Carlos Titroy, que espera en Ca lais para llevar al duque de Clarence la primer noticia de la -llegada de los' soberanos aliados. Se asegura que el gobierno ha resuelto enviar al lord Gambier á la Haya para tratar de la paz con los plenipotenciarios americanos: acompañarán al lord sir Henrique Stanhope y Mr. Fabian capitán de la marina. El navio de S. M. Providencia , mandado por el capitán Vansittart, debe transportar al lord Gambier y su comitiv…</t>
  </si>
  <si>
    <t>…do de 24:991,430 libras esterlinas, y de 29:,82,900 en el segundo. ’ ‘ La gaceta de esta capital acaba de anunciarnos la agradable noticia dé haber comisionado nuestro gobierno al lord Gambier , á Henrique Getuburm y á sir GuiLelmo Adams para negociar y concluir con los comisionados nom brados y autorizados debidamente por los Estados-Unidos de América un</t>
  </si>
  <si>
    <t>…des pués con las mnicias del estado de Vermont, que llegaron a la sazón, y asi pudo forzar al primero á retirarse. Ayer noche se remitieron despachos de la secretaría de Estado al lord Gambier y á los demas comisarios ingleses residentes en Gante. Una carta de Aibani del 15 de Setiembre dice que el general Prevost, después de haber combatido infructuosamente al fuerte Moreau, envió Un parlamentario para informarse de! estado de los heridos, de su n…</t>
  </si>
  <si>
    <t>Gamboa, Manuel</t>
  </si>
  <si>
    <t>Manuel Gamboa</t>
  </si>
  <si>
    <t>…e ex pedición y renovación de documentos, situada en la calle del duque de Al ba, y en las provincias á los comisionados en sus respectivas capitales. En virtud de providencia de! Sr. D. Manuel Gamboa, juez letrado en primera instancia de esta villa de Madrid, refrendada del escribano del número D. Ramón García Ximenez, se convoca, cita y emplaza á todos los acreedores de la espera so licitada por el señor conde de los Corbos , para que al término de ocho…</t>
  </si>
  <si>
    <t>…D. Juan Ignacio Ayestarán, secretario de la cámara de Gracia y Justicia, del estado de Castilla y corona de Ara gón; D................ secretario del Real consejo de las Ordenes; D. Manuel Gamboa, teniente mas antiguo de corregidor de Madrid; D. Sebastian Sal cedo, secretario y contador; y D. Tomas de Casado, tesorero interino ; y habiéndose reunido la primera vez el dia 4 del corriente, se avisa al público de orden de la misma para su inteligencia, y…</t>
  </si>
  <si>
    <t>Gamboa, Manuel de</t>
  </si>
  <si>
    <t>Manuel de Gamboa</t>
  </si>
  <si>
    <t>…ja á D. Luis Amonio del Campo: para que sirva interinamente el de Avila á D. Manuel de Toro: para el de Logroño á Don José Perez de Rozas: para tenientes de corregidor de Madrid á D. Manuel de Gamboa, D. Francisco Assin, D. Luis Gabaldon y López, D. León de la Cámara y D. Joaquín Almazan: para la vara de Burgos á D. Prudencio Fernandez de la Pelilla : para el corregimiento de Molina de Aragón á Don Francisco Estéban y Ranz: para la vara de Osuna á D. Juan…</t>
  </si>
  <si>
    <t>Gamboa, Manuel Fernandez</t>
  </si>
  <si>
    <t>Manuel Fernandez Gamboa</t>
  </si>
  <si>
    <t>…. Pablo Ar ribas para presentarlo tal como ellos apetecían, y no como se pronunció. Todo esto lo ha justificado plenamente el canónigo Posada en el juzgado de primera instancia de D. Manuel Fernandez Gamboa, con audiencia de los síndicos procuradores generales del ayuntamiento constitucional de Madrid; y á folicitud de los misinos se mandó remitir testimonio de las diligencias á la Regencia del Reyno, al referido ayuntamiento, y al cabildo de S. Isidro, y que se…</t>
  </si>
  <si>
    <t>…ía de provincia que exerce D. Simón Ruiz), concurran á ella; apercibidos unos y otros que de lo contrario Ies parará el perjuicio que hubiere lugar en derecho. Por providencia del Sr. D. Manuel Fernandez Gamboa, juez letrado de pri mera instancia en esta villa, se ha mandado citar y emplazar á los parientes de Don Miguel de Salas , del comercio de ropería que fué de la misma, para que si creen tener algún derecho á sus bienes, acudan4 deducirle en el término de 20 d…</t>
  </si>
  <si>
    <t>…la sin dilación en la secretaría política del ex presado gobierno de su mando, para que tenga efecto lo man Jado por S. M. Madrid 22 de Junio de 1814. En virtud de providencia del Sr. D. Manuel Fernandez Gamboa, juez letrado de esta villa de Madrid, pronunciada en 15 del corriente mes, se ha mandado ci tar y emplazar á todas y qualesquier personas que tengan parentesco con D. José Paniagua, que falleció en 1 2 de Diciembre dei año pasado de 1813, y también á todos s…</t>
  </si>
  <si>
    <t>…e Relato res, casa número 2,, quarto entresuelo, i La hora acostumbrada de nueve i una de la mañana, excepto las fiestas de precepto y las de Consejo* En virtud de providencia del Sr. D. Manuel Fernandez Gamboa , teniente cor regidor de esta villa, se cita, llama y emplaza á todos los-acreedores a !a testa mentaría de D. Ramón Nadal y Guarda, vecino y del comercio que fue de esta corte, para que en el término de 60 días, contados desde el 4 de este mes, com parezcan…</t>
  </si>
  <si>
    <t>…nte con poder bastante, á deducir las acciones y derechos que les convenga; con apercibimiento que pasado dicho término les parará el perjuicio que haya lugar. Por providencia del Sr. D. Manuel Fernandez Gamboa, teniente corregidor de esta villa, refrendada de D. Antonio López de Salazar, escribano del número de la misini, se ha señalado para celebrar junta de acreedores á la testamentaría de E&gt;. Agustín Losada y Quiroga el dia 24 de este mes en su posada á las ocho…</t>
  </si>
  <si>
    <t>…undo y último se les señala, se $ubs-; tanciarán y determinarán los autos en rebeldía, conforme á derecho, y les parará el perjuicio que haya lugar. 1 En virtud de providencia del Sr. D. Manuel Fernandez Gamboa, del consejo de S. M., teniente corregidor de esta villa de Madrid, su fecha 28 de Setiembre^ último, se saca á pública subasta por el término de 30 dias contados desde el 8 de Octubre siguiente, y para hacer pago á cierto acreedor, una casa sita en esta cor…</t>
  </si>
  <si>
    <t>…tener derecho a sus bienes, pata que dentro de 15 dias, en que se incluyen tres términos y el último perentorio¿ comparezcan por medio de procurador con suficiente poder ante- el Sr. D. Manuel Fernandez Gamboa, del consejo de S. M., teniente corregidor de esta villa, por la escribanía de su número que excrce D. Juan Raya; con apercibimiento de que pasados dichos términos sin haber comparecido, les parará el perjuicio qué haya -I lugar. .... Se desea saber el parade…</t>
  </si>
  <si>
    <t>Gamiz, Antonio</t>
  </si>
  <si>
    <t>Antonio Gamiz</t>
  </si>
  <si>
    <t>…dad que á cada uno* corresponden Sala primera de Gobierno. = El Duque de Montemar, Presi dente. = D. Miguel Calixto de Acedo. = D. Francisco Requena. = D . Josef Pablo Valiente. = D. Antonio Gamiz. = D. Antonio López Quintan i. = Don Francisco de-la-Vega.nD. Francisco de Arango. = D. Francisco Ibañez Leyva. = D. Juan Gualberto González, Fiscal. = D. Estéban Varea, Secre tario-= Sala segunda de Gobierno. = D. Pedro Aparíci. = Conde de TorreMuzquiz. = D.…</t>
  </si>
  <si>
    <t>…ra Cano, cura de S. Salvador: para las siete seculares al duque de Montemar; D. Manuel de la Peña; Don José Manzanilla; D. Cayetano Urbina; D. Pascual Dávila, conde de Ibargrande; D. Antonio Gamiz, y al marques de Perales: y finalmente, para secretario primero á D. Francisco de Villalba, consiliario, secretario se gundo.” De Real orden lo comunico á V. E. para su satisfacción , y que se sir va disponer lo conveniente á su cumplimiento por la junta de h…</t>
  </si>
  <si>
    <t>Gándara, Juán Fernandez de Alfonso</t>
  </si>
  <si>
    <t>Juán Fernandez de Alfonso Gándara</t>
  </si>
  <si>
    <t>…, arzo bispo de Laodicea, y coadministrador del arzobispado de Sevilla: para una canongía de la santa iglesia’primádl de Toledo,‘vacanté por muerte de Don Juan Antonio Cabrejas, á D. Juán Fernandez de Alfonso Gándara, cape llán de Sres. Reyes nuevos de aquella ciudad: para ei deanato primera silla de la iglesia catedral de Valladólid, vacante per fallecimiento de D. Simón Gómez Gayóse , á D. José García Nieto, canónigo de la misma catedral; y para él déaható, de la,.¿Je.…</t>
  </si>
  <si>
    <t>Gaona, Manuel</t>
  </si>
  <si>
    <t>Manuel Gaona</t>
  </si>
  <si>
    <t>…rse el deseado dia en que debía verificarse el arribo de S. M, y AA. RR. á la corte, nombró una comisión compuesta de sus capitulares D. Santiago Hi dalgo, decano; D. José García, D. Manuel Gaona, D. Ramón Moreno y D. Inoce.nte Estúñiga, los quales desde luego se apresuraron á dirigir á S. M. la siguiente exposición: „ Señor: la muy noble y siempre leal ciudad de Guadalaxara, represen tada por cinco d*e sus vecinos, ha visto llegar el hermoso dia en q…</t>
  </si>
  <si>
    <t>Gar, José</t>
  </si>
  <si>
    <t>José Gar</t>
  </si>
  <si>
    <t>…la, capellán mayor del oratorio de S. Felipe Neri de la ciudad de Valladoüd, ha venido S. M. en nombrarle para la canon gía vacante en la catedral de dicha ciudad por promoción de D. José Gar cía Nieto á 1a dignidad de deán de ia misma iglesia, concediéndole igual mente el medio pontifical de Alanis, que vacó en el arzobispado de Sevilla por muerte de D. Manuel Poncé, y la media prestamera de Sta. María Mag dalena, en la misma ciudad y arzobispado…</t>
  </si>
  <si>
    <t>Gar, Juan Justó</t>
  </si>
  <si>
    <t>Juan Justó Gar</t>
  </si>
  <si>
    <t>…manejo de los negocios domésticos, pa ra que pueda hacer progresos en las artes y ófíqios mecánicos: un tomo en 8.° con quatro láminas, extractado de los elementos matemáticos de D. Juan Justó Gar&lt;* cía, por el mismo autor. Se vende en Madrid en la librería de Llera, plazuela del Angel, y en Salamanca en lá de Blanco, calle de la Rúa. Razonamiento de N. M. S. P. el Papa Pió vii en el consistorio secreto del lu nes 26 de Setiembre da 1814, traducido del…</t>
  </si>
  <si>
    <t>Gar, Manuel</t>
  </si>
  <si>
    <t>Manuel Gar</t>
  </si>
  <si>
    <t>…dispondréis se imprima, publique y circule = de Borbon, cardenal de Scala, arzobispo de Toledo, presidente.zzPedro de Agar.zz Gabriel Ciscar.zzEn Palacio á 8 de Marzo de 1814. = A D. Manuel Gar cía Herreros.” Los secretarios de las Cortes han comunicado al secretario interino del despacho de la Guerra lo siguiente: „ Con el fin de excusar á nuestro amado monarca en el dia de su feliz arribo á esta capital el doloroso cuadro que presentan tantos dign…</t>
  </si>
  <si>
    <t>Gárate, Josefa de Alba y</t>
  </si>
  <si>
    <t>Josefa de Alba y Gárate</t>
  </si>
  <si>
    <t>…comunico á la Junta de Montes Píos Ministerial y de Oflcjnas la Real orden siguiente: + • r: . „ Conformándose el Rey con lo expuesto por la Junta con .motivo de haber denegado á Doña Josefa de Alba y Gárate, viuda en segundas nup cias del Capitán invalidó D. Antonio VilJalba, el aumento de.quatro reales que ha solicitado sobre Jos tres que. goza en el Monte Pió Militar, para complemento de los 2500 que disfrutó en el de Oficinas por fallecimiento de su primer ma…</t>
  </si>
  <si>
    <t>Gárate, Tadeo</t>
  </si>
  <si>
    <t>Tadeo Gárate</t>
  </si>
  <si>
    <t>…el Antonio Blanes, diputado por la provincia de la Mancha; D. Salvador Samartin, suplente por Nueva-España; Don Martinrano Francisco Pastór, diputado por la provincia de Valencia; Don Tadeo Gárate, suplente por el Perú; D. Mariano Rodríguez Olmedo, su plente ípor las provincias del Rio de la Plata; y en clase de suplentes á Don Tomas May ano Rodríguez, diputado por la provincia de Valladolid, y á D. Angel Alonso de ia Pántiga, que lo es por la provinci…</t>
  </si>
  <si>
    <t>…D. Agustín Fernandez de Córdoba, D. José Miguel del Castillo, dipu tados por Truxillo; D. Antonio Navarrere, diputado por Puira; D. Juan Antonio Andueza, diputado por Chachapoyas; D. Tadeo Gárate, goberna dor, electo intendente de la provincia de Puno, diputado por la misma; D. Martin Muxica, diputado por Guamanga; D. Mariano Rivero, diputa do por Arequipa; D. José Joaquín de Olmedo, D. Vicente Rocafuerte, diputados por Guayaquil, y D. Pablo González,…</t>
  </si>
  <si>
    <t>Gárate, Tadeo Joaquín</t>
  </si>
  <si>
    <t>Tadeo Joaquín Gárate</t>
  </si>
  <si>
    <t>…por secretarios á les Sres. D. Manuel María Aldecoa, diputado por la provincia de Vizcaya; D. Blas Ostolaza por la del Perú ; D. Juan José Sánchez de la Torre por la de Búrgos, y Don Tadeo Joaquín Gárate por la del Perú. El señor duque de Ciudad-Rodrigo ha dirigido al señor secretario de Estado y del despacho de la Guerra el parlte siguiente: „Excmo. Señor: conforme á las intenciones manifestadas á V. E. en mi anterior despacho, puse en movimiento la derecha…</t>
  </si>
  <si>
    <t>Garay, José</t>
  </si>
  <si>
    <t>José Garay</t>
  </si>
  <si>
    <t>…, y en Febrero de este año salió enfer mo del hospital de Bon , y pasó al de Dijon; y n© habiendo sabido de 61, desea su familia tener noticias de si existe, y suplica den razón á D. José Garay, oficial mayor del crédito público, calle de Embaxadores, núm. 8, casa de la compañía de la Havana. Gabriel Martínez, natural de la villa de la Roda, provincia de Cuenca, cabo segundo en el regimiento de Provinciales de Chinchilla, fue hecho prisionero de gue…</t>
  </si>
  <si>
    <t>Garay, Martin de</t>
  </si>
  <si>
    <t>Martin de Garay</t>
  </si>
  <si>
    <t>…el cuidado y esmero que merecen, y de que necesitan después de los grandes daños que ha padecido durante la larga y desastrosa guerra. Y confiado S. M. en el zelo y actividad del Sr. D. Martin de Garay, se ha servido nombrar le protector del referido canal Imperial y Real de Tauste, confiriéndole las mismas facultades que tuvieron sus antecesores. Y en atención á sus distin guidos méritos le ha concedido S. M. honores del Consejo de Estado. En virtud de hab…</t>
  </si>
  <si>
    <t>Garba, D Ventura</t>
  </si>
  <si>
    <t>D Ventura Garba</t>
  </si>
  <si>
    <t>…simismo ha comedido S. M. el 3 dd corriente en el batallón veterano infantería de Valdivia, vireynató del Perú, retiro con agregación á aquella plaza al sargento mayor graduado de coronel D Ventura Garba ¡lo, y á los capitanes D. Dionisio Rementeria, D. Teodoro Negron y D. Juan de Dios Brito: en el de infantería voiun-^ tarios de Montevideo grado de teniente coronel, y retiro con el u o de uni forme de retirado y goce de fuero militar, al capitán D. Juan Fern…</t>
  </si>
  <si>
    <t>Garbiso, Pedro Ignacio</t>
  </si>
  <si>
    <t>Pedro Ignacio Garbiso</t>
  </si>
  <si>
    <t>…varro: para el arcedian?ito de San ta Gema, dignidad de la iglesia catedral de Pamplona, vacante por pro moción de D. Pedro Ramírez de la Piscina al obispado de Ciudad Rodri go, á D. Pedro Ignacio Garbiso: para una capellanía de Sres. Reyes nue vos de Toledo, vacante por muerte de D. Pedro Guaza, á D. Lorenzo del Estal, cura párroco de la villa de Venturada, en 1&gt; misma diócesis de Tole do ; y para el arciprestazgo de Herrera de rio Pisuerga, diócesis de P. le…</t>
  </si>
  <si>
    <t>Garcés, José Malo</t>
  </si>
  <si>
    <t>José Malo Garcés</t>
  </si>
  <si>
    <t>…ncer._Con senti miento debo manifestar á V. E. que hemos tenido un muerto, 15 heridos y un contuso, contándose entre los heridos el teniente de la compañía de ca zadores de Cuenca D. José Malo Garcés , oficial bizarro. La compañía de Guadalaxara tuvo un sargento herido. Los enemigos han tenido considera ble pérdida, pues á pesar de su esmero en recoger los muertos y heridos que fes vimos llevar, dexaron en el campo 14 muertos en la Cova de Don Pere, y 8 e…</t>
  </si>
  <si>
    <t>García, Bernardino</t>
  </si>
  <si>
    <t>Bernardino García</t>
  </si>
  <si>
    <t>…arvajal, id. de id. D. Juan Piñal, teniente de id. D. Francisco Mediavilla, id de id. D. Ramón de Arribas, subteniente de id. D. Silvestre Hidalgo, teniente coronel del de Laredo. D. Bernardino García, capitán de id. D. Antonio González Villamil, ayu dante de id. D. José Alfonso, teniente de id. D. Félix del Arenal, subte niente de id. D. José Gómez, subteniente de tiradores de Cantabria. Contusos. D. Angel Vallejo, ayudante segundo de estado mayor. D. Jos…</t>
  </si>
  <si>
    <t>García, Blas</t>
  </si>
  <si>
    <t>Blas García</t>
  </si>
  <si>
    <t>…mán© á Si M. á nombre del arzobispo y cabildo de lá santa iglesia catedral de Ba-T dajoz el licenciado D. José María Valenzuela, caballero clérigo del orden de Santiago; y el Dr. D. Blas García, canónigos de la misma; ei primero de los quales dixo: . , „ Se ñor: en nombre del arzobispo obispo y cabildo de la santa iglesia catedral de Badajoz tenemos el honor de ofrecer á los R. P. de V. M. mas sinceras protestas de lealtad y de afecto á su jságrada…</t>
  </si>
  <si>
    <t>García, D Fernando</t>
  </si>
  <si>
    <t>D Fernando García</t>
  </si>
  <si>
    <t>…. las delicias y felicidad de sus pueblos, entre quienes con noble orgullo se cuenta Esquivias.’’ V Asimismo en este dia tuvo la honra de felicitar á S. M. y besar su Real mano el Sr. D Fernando García de la Prada, arcediano de Montes de la santa iglesia catedral de Tuy, y sumiller de cortina de S. M., quien le diri gió el discurso .siguiente: „ Señor : No satisfecho el cabildo de la santa iglesia catedral de T«y, de la que soy individuo, con haber felicita…</t>
  </si>
  <si>
    <t>García, Felipe</t>
  </si>
  <si>
    <t>Felipe García</t>
  </si>
  <si>
    <t>…uminó con blandones y velas, se preparó una grande orquesta, y en medio del repique é iluminación general se colocó el retrato de S. M. conducido desde la casa de ayuntamiento por D. Felipe García, teniente del regimiento de infante ía de Plasercia, acompañado de los primeros vecinos del pueblo y de los individuos del ayuntamiento, todos con hachas, condu ciéndolo en esta forma pfcr las principales calles dé la villa, y terminando en 4a plaza vistosame…</t>
  </si>
  <si>
    <t>García, Francisco</t>
  </si>
  <si>
    <t>Francisco García</t>
  </si>
  <si>
    <t>…trono la villa de Aguilar de Campeó por medio del marques de Sobremonte y D. Pedro Alcántara Díaz Labandero, juntamente con su cabildo eclesiástico, representado por el presbítero D. Francisco García £ainz; el primero de los quales dixo él siguiente discur-o-: „Señor: la villa de Aguilar de Campoó, cabeza de partido en las moUr tañas de Burgos, provincia de Palencia, con su cabildo eclesiástico nos ha honrado con el apreciable encargo de representarla á l…</t>
  </si>
  <si>
    <t>García, José</t>
  </si>
  <si>
    <t>José García</t>
  </si>
  <si>
    <t>…distante legua y media de Madrid se halla vacante: los facultativos que quisiesen pretenderlos, acudirán por medio de sus memoriales, que dirigirán al secretario del ayuntamiento D. José García de la Puente, hasta el día día 15 del corriente mes de Abril; en 1 a, inteli gencia de que la consignación de médico son 500 ducados, y la de ciruja no 400, y su cobranza ha de ser por los señores de Justicia, y satisfecha mensu almente; previniéndose que si…</t>
  </si>
  <si>
    <t>…o que vio acercarse el deseado dia en que debía verificarse el arribo de S. M, y AA. RR. á la corte, nombró una comisión compuesta de sus capitulares D. Santiago Hi dalgo, decano; D. José García, D. Manuel Gaona, D. Ramón Moreno y D. Inoce.nte Estúñiga, los quales desde luego se apresuraron á dirigir á S. M. la siguiente exposición: „ Señor: la muy noble y siempre leal ciudad de Guadalaxara, represen tada por cinco d*e sus vecinos, ha visto llegar el…</t>
  </si>
  <si>
    <t>…alcaldes de Casa y Corte á 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t>
  </si>
  <si>
    <t>…distante legua y media de Madrid , se halla vacante el empleo de maestro de primeras letras. Los pretendientes dirigirán sus memoriales al escribano de ayuntamiento de dicha villa D. José García de la Puente en el término de 1 5 dias, que cumplirán el día 30 del corriente mes de Setiembre ; en la inteligencia que la consignación anual que pagan los propios de esta villa es la cantidad de 1600 rs., con mas 300 para casa, sin contar lo que satisfacen l…</t>
  </si>
  <si>
    <t>García, Juan</t>
  </si>
  <si>
    <t>Juan García</t>
  </si>
  <si>
    <t>…frutos, - fug apreSaaa poy una fragata de guer ra francesa, y-después teprésada por la frágata de guerra inglesa Menélausf capitán sir Péter Parker ¿ y conducida á Pli«umíb.-~El -Sr. D. Juan García* del comercio de Londres, encargado delgird nacional de España, y autori zado por nuestro émbaxador en aquella corte-, hizo la [correspondiente re clamación al almirantazgo ingles: obtúvoles,de luego la restitución de buque y carga, que se-puso á su disposici…</t>
  </si>
  <si>
    <t>…M., y besar su Real mano á nombre de la villa de Esquivias sus dos comisionados D. Antonio María Aguado, oficial del archivo de la secretaría de Estado y del despacho de Marina, y D. Juan García, presbítero, naturales de aqifó11a villa; el primero de los quales arengó á S. M. en la forma siguiente: &gt; „Señor: la villa de Esquivias, una de ias del partido de Madrid, pe queña en realidad por el número de sus moradores, pero grande en amor á V. M., grand…</t>
  </si>
  <si>
    <t>García, Juan Francisco</t>
  </si>
  <si>
    <t>Juan Francisco García</t>
  </si>
  <si>
    <t>…nto, militares de di ferentes graduaciones, y de un numeroso concurso de gentes de todas clases1 y edades. TomcV.cso 13 de Junio. El 5 de! corriente entre ocho y nueve de la noche D. Juan Francisco García, cirujano titular de esta villa, con asistencia del médico de la misma D. León Viana, extraxo á Isabel Butrago, de esf-a vecindad y de edad de 30 años, un feto monstruoso de la forma siguiente: un- niño de 14 pulgadas de largo, y bien organizado en todas sus…</t>
  </si>
  <si>
    <t>García, Manuel</t>
  </si>
  <si>
    <t>Manuel García</t>
  </si>
  <si>
    <t>…Pedro CerVelld. = Arttonio,Bueh, secretario# ; ^ A ; . J •;u;n ARTICULO DE OFÍCIO. -- 1 En exposición que cota-fecha de i^rdel ;c&lt;&amp;rr¡ente lia, presentado.-ala Re gencia del Reyno D. Manuel García,Herreros, secretario interino del des pacho de Gracia y Justicia, llamó la atención de S. A. sobre un artículo del periódico titulado' Procurador general de la nacían y ciel' rey , nüm. 33^ en el qual, con referencia áxarta remitida de Bdrgos, se dice: „Míent…</t>
  </si>
  <si>
    <t>…elici dad del reyno y de la iglesia.” En este mismo dia tuvo también el honor de presentarse á felicitar á S. M. en nombre de la villa de Domingo Perez, de la provincia de Toledo, Don Manuel García, su alcalde ordinario j el qual dirigió á S. M. la palabra en los términos siguientes: . „Señor; la villa de Domingo Perez tiene el honor de presentarse á feli citar á V. M, por su dichoso y triunfante regreso ai trono de sus augustos predecesores, y ofrecerl…</t>
  </si>
  <si>
    <t>…ta de los Sres. D;. José-Blazquez, diputado eclesiástico del barrio de Monterey, D. Juan Marra Villanueva, presbítero, D. Lucas María Alonso, diputado y alcalde del de S Marcos, y D. Manuel García, alcalde del barrip del Rosario ; delps ^qu^esel primero dixo¿ ,. Señor: las ocho diputaciones de caridad .reunidas del quartel de Afli-, gidosv, al mismo tiempo ,qu§ tienen el honor y dulce satisfacción de felicitar á V. M. en su desead©:y. feliz; regreso al…</t>
  </si>
  <si>
    <t>…villa de Reynosa, el marques de Ciiteruelo, mayordomo de semana del Rey nuestro Señor ; Don Santiago de Suso y Anda, corregidor que fue de la misma villa y su juris dicción , y el coronel D. Manuel García dei Barrio, natural de ella; de los quales el primero pronunció el discurso siguiente: ,, Señor: vuestra vi’iia de Reynosa , representada por esta comisión , tie ne el honor de ofrecer respetuosamente á L. R. P. de V. M. el mas puro homenage del amor y consta…</t>
  </si>
  <si>
    <t>…dicho crédito; con apercibimiento que pasado dicho término les parará el perjuicio que haya lu gar, y se dará á los autos el debido curso. En i.° de Setiembre envió por el correo D. Manuel García, residente en Ma drid, á D. Domingo de Lcjarza, vecino de Bilbao, endosados á favor de este, 15 rales de 150 pesos, creación de Setiembre, con los números siguientes: 148923, 149744, 160000, 163866 , 164098 , 176085 , 190799, 199395 , 201892, 201893 , 208876…</t>
  </si>
  <si>
    <t>…sé Tellez y D. Matías de la Torre ; á subte nientes dé granaderos á D. Evaristo del Castillo y D. Martin Salazar, y á subtenientes de bandera á los cadetes D. Santiago de Castro , D. Manuel García y D. Francisco Geltz de la Luz, y á los sargentos primeros D- José • Trejo y D. Juan Planearte. Con la de 5 de Mayo de 811 , á subteniente de bar dera al cadete D. Luis Urrutia. Con la de 20 de Julio del mismo, á teniente de la sexta del primero á D. Martin Salazar; á subteniente…</t>
  </si>
  <si>
    <t>García, Pedro</t>
  </si>
  <si>
    <t>Pedro García</t>
  </si>
  <si>
    <t>…o Porta, cadete deí regimiento-de infantería de Ansona; á D. Pedro Bayo, D. Mariano Bayo y 1&gt;. Rafael Lara, alumnos de la escuela militar de la Isla de León; y á D. Manuel Varéla, D. Pedro García y D. Francisco Xavier Pardo, alumnos de la de Santiago. El canónigo magistral de la colegial de Alfaro D. Joaquín Fiton, mo lido de su buen zelo y amorrara con. los defensores de la patria, ha pre sentado á disposición del general en gefe del quarto exército y en benefi cio de las tropa…</t>
  </si>
  <si>
    <t>García, Pedro Antonio</t>
  </si>
  <si>
    <t>Pedro Antonio García</t>
  </si>
  <si>
    <t>…y subtenientes de bandera á D. Juan Francisco Echeneguí y D. Miguel, Lara. En el de Voluntarios de Madrid , existente en Montevi deo, teniente á D. Manuel Romero, y subteniente á D. Pedro Antonio García. En el de Voluntarios de la misma plaza teniente á D. Diego Mar tín Martínez. En el de infantería ligera Voluntarios de Chiloe subteniente á D. Fermín.Perez. En el regimiento Real de Lima en el Perú subteniente de bandera á D. Juan Urribarri. En las compañías…</t>
  </si>
  <si>
    <t>Garcimartin, Antonio</t>
  </si>
  <si>
    <t>Antonio Garcimartin</t>
  </si>
  <si>
    <t>…s ha hecho .Di Cárlós Gakiínartin,' á qyiéh $. M. sé'ha servido conceder piaz. de oficial qu.n to del archiyp de 1?;.secretaría ;de¡ Estado y del despacho de Gracia y Justicia, ,á D. Antonio Garcimartin. . . - r . • * • \ , t &gt; . ; • ,i .j- - . r» * i i - ■ ' .( - - » • ^ J , • C , t. • J ' ' Un vecino,de Lugo impulsado de su adhesión al Rey nuestro Señor Fa remitido por via de donativo una barra de oro de peso de 50 onzas con. Ja calidad de que no $e publiq…</t>
  </si>
  <si>
    <t>Garcini, Ignacio</t>
  </si>
  <si>
    <t>Ignacio Garcini</t>
  </si>
  <si>
    <t>…n, caballero de la Real y distinguida orden de Carlos iii, capellán de honor de S. M., juez de su Real capilla, y dignidad de prior mayor de la santa iglesia catedral deTortosa, y D. Ignacio Garcini, coronel de infantería, intendente de exército, ministro del Consejo Real de las Orde nes, de los quales este dirigid á S. M. el discurso siguiente: „ Señor: la fidelísima y exemplar ciudad de Tortosa, en el principado de Cataluña, ha encargado al órgano débi…</t>
  </si>
  <si>
    <t>Gardoqui, Cesáreo</t>
  </si>
  <si>
    <t>Cesáreo Gardoqui</t>
  </si>
  <si>
    <t>…Eguía. = Sr. vizconde de Gante.” El Rey por decreto de 12 de Agosto ha tenido á bien conferir la inten* deneia del exército de Castilla la Vieja y de la provincia de Valladolid á D. Cesáreo Gardoqui, y la del exercico y reyno de Galicia, que este servia» al intendente de exército D. José de Ausa. Asimismo por decreto de 6 del mismo mes se ha servido S.M. conferir 1a intendencia de la provincia de Córdoba al intendente de León D. Juan de •Modenes, y la de…</t>
  </si>
  <si>
    <t>Gardoqui, Cosme de Onnta y</t>
  </si>
  <si>
    <t>Cosme de Onnta y Gardoqui</t>
  </si>
  <si>
    <t>…. D. Melquíades Orueta, residente en la ciudad de Vitoria, recurrió en 20 de Setiembre de.; 1814 ante el señor alcalde y juez ordinario de ella , haciendo presen te que su hermano D. Cosme de Onnta y Gardoqui desapareció de la ci udad de Cádiz en el mes de Junio.de 1810, sin que después se haya podido averiguar su paradero, a pesar de Haber practicado para ello Jas mas vivas y exquisitas diligen cias, y pidiendo se hiciesen varias justificaciones en Sevilla y Cádi…</t>
  </si>
  <si>
    <t>Gardoqui, José de</t>
  </si>
  <si>
    <t>José de Gardoqui</t>
  </si>
  <si>
    <t>…sa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</si>
  <si>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Gareli</t>
  </si>
  <si>
    <t>…fieles ala Constitución, Y sereis libres , españoles. El gefe político ocupaba el sitial de la presidencia; á su derecha estaba Hn alcalde constitucional; á la izquierda el señor profesor Gareli, y todos los demas asientos estaban ocupados sin etiqueta por las autoridades , ecle siásticos y ciudadanos particulares. El secretario del gobierno político estaba sentado en un ángulo de la mesa, sobre la qual habia un exemplar de la Constitución en folio,…</t>
  </si>
  <si>
    <t>Garlos</t>
  </si>
  <si>
    <t>…s-de da caballerea enemiga por ambas orillas d.el jErs, inas alta de nues tra izquierda. La tercera división y la ligera, al mando del teniente general, Pict-pn:fí y 4.1 del mayor general Garlos, barón d.e cAlt.t4n* yída-brigada de caballería alemana-, debían observar ah enemigo por , Ja. ¡parte baxa, del: canal, y atraer su atención hacia aquel lado,; amenazando,atacar das cabezas de los. puentes, cuya demostración debía también executar el teniente…</t>
  </si>
  <si>
    <t>Garnica, José Antonio</t>
  </si>
  <si>
    <t>José Antonio Garnica</t>
  </si>
  <si>
    <t>…lecimiento del limo. Sr. D. Joaquín Carrillo Mayoral, á D. Pedro Inguanzo, canónigo doctoral de la iglesia catedral de Oviedo; para el de Osma, vacante por fallecimiento del limo. Sr. D. José Antonio Garnica, á D. Juan de Cavia, canónigo Iectoral de la santa iglesia metropolitana de Toledo; y para el de Segorve, vacante por fallecimiento del limo. Sr. Don Lorenzo Gómez de Haedo, al limo. Sr. D. Fr. Lorenzo Alaguero, obispo de Jaca. J El cabildo de la santa iglesi…</t>
  </si>
  <si>
    <t>Garnier, Francisco Paula</t>
  </si>
  <si>
    <t>Francisco Paula Garnier</t>
  </si>
  <si>
    <t>…puesto de libros de Hermoso, frente de dicha real imprenta, Á4 rs. vn. A ia venida del mejor de ios Reyes el Sr. D. Fernando vn, nuestro legítimo Rey y verdadero Soberano, oda por D. Francisco Paula Garnier. Se vende en la librería de González, frente á los cinco Gremios.’ EN LA IMPRENTA REAL.</t>
  </si>
  <si>
    <t>Garrido, Juan</t>
  </si>
  <si>
    <t>Juan Garrido</t>
  </si>
  <si>
    <t>…tillo, cadete;que fué en el colegio de la Isla de León, a fin;de que ep el termino de go días, contados desde, i&gt;° del corriente, acudan ante -5. S. y escribjnía de pro vincia de D. Juan Garrido á usar de su derecho; con apercibimiento de que pasan do dicho término sin haberlo executado se procederá a la declaración de herederos, y demas que haya lugar. En 2$ de Octubre de 1813 por parte del Exento. Sr. marques de Cerralbo so ocurrió al juzgado de pr…</t>
  </si>
  <si>
    <t>Garrido, Juan María</t>
  </si>
  <si>
    <t>Juan María Garrido</t>
  </si>
  <si>
    <t>…la cámara para tres plazas de oidor de la Real audiencia de Aragón á D; Francisco Melgatres, D. Cosme Laredo y D. Pedro de Castro González: para el corregi miento de Oateniente á D. Juan María Garrido: para el de Ja ciudad de Borja á D* Liborio Tudela: para la vara de alcalde mayor de la ciudad de Orihuelá á D. José O-mulrian; y para la de la villa de Moreda á D. Juan Francisco de Murcia y Montero. &gt; El comandante general de Canarias ha hecho presente que…</t>
  </si>
  <si>
    <t>Garro, Antonio</t>
  </si>
  <si>
    <t>Antonio Garro</t>
  </si>
  <si>
    <t>…e 1817, está señalado el diá 2 2 del corriente á las 1 r de la mañana en la contaduría general de encomiendas, •que existe dentro de la casa de los Reales consejos. A instancia de D. Antonio Garro se retuvo en la oficina de renovación y ex pedición de documentos del crédito público un vale Real de 600 pesos de i.° de Setiembre de 1808, núm. 140507, que salió encabezado á D. Diego de Erce; y en virtud de providencia del Sr. D. Joaquín Almazan, del conse…</t>
  </si>
  <si>
    <t>Garro, Pedro Regalado-de</t>
  </si>
  <si>
    <t>Pedro Regalado-de Garro</t>
  </si>
  <si>
    <t>…D. Manuel de Lartiga, y D. Bernardo Mozo Rosales. Secretarios. D. Marcelo de Ondarza, de Gobierno; y D. Alfonso de Ibarra, de MiUoiies. Ministros del Tribunal de Contaduría mayor. D. Pedro Regalado-de Garro; Marques de las Hormazas; D. Nicolás de Otamendi; D. Sebastian Jócano; D. Carlos de JEspinosa; D. Pablo Ruiz de la Bastida. = Palacio n de Agosto de 1814. = Señalado de la Real mano de S. M. 2.0 Restablecido mi Consejo de Hacienda por decreto de hoy para en t…</t>
  </si>
  <si>
    <t>Gascón, Ramón</t>
  </si>
  <si>
    <t>Ramón Gascón</t>
  </si>
  <si>
    <t>44 d'etes D. Rafael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t>
  </si>
  <si>
    <t>Gaseo, Antonio Alonso</t>
  </si>
  <si>
    <t>Antonio Alonso Gaseo</t>
  </si>
  <si>
    <t>…ula en 15000 rs., sin cantar las apelaciones. Los pretendientes dirigirán sus solicitudes al noble ayuntamiento de dicha ciudad de Toro. Se desea saber el paradero ó existencia de D. Antonio Alonso Gaseo, t emen te capitán del regimiento de voh-ntarios de Burgos, que fue hecho prisión-ero en la batalla de Ocaña. Quien tuviere noticia de su paradero se servirá comu nicarls Á D. Ceferino Gutiérrez, que vive en la calle de Toledo, casa llamada de la Sal, núm. 7,…</t>
  </si>
  <si>
    <t>Gastañaga, Martin de</t>
  </si>
  <si>
    <t>Martin de Gastañaga</t>
  </si>
  <si>
    <t>…. Asimismo lia nombrado para magistrados de la audiencia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 ia iglesia catedral de Guadalaxara á O. José Manuel Sanmartín; para ración en la misma…</t>
  </si>
  <si>
    <t>Gastañon, Juan Mier</t>
  </si>
  <si>
    <t>Juan Mier Gastañon</t>
  </si>
  <si>
    <t>…Madrid 26 de Setiembre de 1814. El Rey se fia servido nombrar para una canongía de la iglesia catedral dé Oviedo, vacante por. fallecimiento de D. Francisco Gregorio de Sierra, á D. Juan Mier Gastañon: para una. capellanía de Sres. Reyes nuevos de la ciudad de Toledo, vacante por muerte de D. Carlos Duran, á D. Manuel Domingo de Perca y Arangoyti: para el. beneficio simple servidero de la parroquia de.-Stai María de Carraona, diócesis de Sevilla, vacante p…</t>
  </si>
  <si>
    <t>Gastellá, Ramón</t>
  </si>
  <si>
    <t>Ramón Gastellá</t>
  </si>
  <si>
    <t>…. de id. D. José Sousa, subteniente de id. D. Mi guel Santos, id. de id. D. Tomas Nogueyra, id. de id. D. Francisco Villariño, id. de id. D&gt; Francisco Rúa, teniente del de Oviedo. D. Ramón Gastellá; id. de id. D. Ramón Collast, subteniente de id. D. José Ordoñez, id. de id. D. Pedro Mateo Olorn, sargento mayor del i.° Cántabro. Don Juan Suarez, capitán de id. D. Vicente Carvajal, id. de id. D. Juan Piñal, teniente de id. D. Francisco Mediavilla, id de i…</t>
  </si>
  <si>
    <t>Gasten, Miguel</t>
  </si>
  <si>
    <t>Miguel Gasten</t>
  </si>
  <si>
    <t>…. Salvador Mairía Chacón, D. Agustín de Figueroa, D. Juan Darrac, D. Bernardo Muñoz, D. José de Gardoqui, D. Ignacio María de Olaera, D. José de Quevedo Cheza, D. Tomas de Ayaide, D. Miguel Gasten,</t>
  </si>
  <si>
    <t>Gastillon, Mariano</t>
  </si>
  <si>
    <t>Mariano Gastillon</t>
  </si>
  <si>
    <t>…allero pensionado de la Real y 'distinguida orden española de Carlos' nr, oficial de la primera secretaríaqde Estado; de D. Joaquín Castán, capellán de altar de S. M. 4 y. del Dr. D. Mariano Gastillon, colegial del mayor de S Vicente de la ciudad, de, Huescay catedrático de prima de canon es-en su universidad; los quales. habiendo sido admitidos á felicitar i S. M. el 26 del mes próximo pasado* él. primero de ellos arengó en ios términos siguientes: „ Seño…</t>
  </si>
  <si>
    <t>Gaudi</t>
  </si>
  <si>
    <t>…herido de muerte. En él deben depositarse sus piernas cu ya amputación le hicieron, y que han conservado en espíritu de vino. PRUSIA. Berlín p de Noviembre. El ministro Reik y el general Gaudi, encargados de tomar posesión de la Saxonia, salieron el 5 de este mes para Dresde. El último permanecerá alli hasta que se encargue del mando militar el. general conde Kieist de Noliendort Se prosiguen con mucha actividad los preparativos para recibir á los…</t>
  </si>
  <si>
    <t>Gavasso, Juan</t>
  </si>
  <si>
    <t>Juan Gavasso</t>
  </si>
  <si>
    <t>…ando de Iturmendi. =: Teniente de Can ciller mayor, Fernando de Iturmendi. Según los partes recibidos en el ministerio de Marina del alférez de fraga ta graduado de la Real armada D. Juan Gavasso, comandante accidental de las fuerzas navales reunidas en Puerto-Cabello, dio con ellas la vela de aquel puerto á mediados de Marzo, sin embargo de su mal estado por carecer de gente experta'; de muchos pertrechos marineros y militares, y hasta de ví veres, c…</t>
  </si>
  <si>
    <t>Gay, José María</t>
  </si>
  <si>
    <t>José María Gay</t>
  </si>
  <si>
    <t>…................. D. José Ubach. En Oviedo...................... .. D. Rubiano y Nieto. En Orense........................... D. Fernando Rey. En Lugo.............................. D. José María Gay oso. En Palenda....................... D. Marcelino de la Torre. En Palma........................... D. Lorenzo Gibert. En Pamplona..................... D. Miguel Echarri. En Piase neta..................... D. Juan Campo y Oliva. En Sevilla.,.................…</t>
  </si>
  <si>
    <t>Gaye, Juan</t>
  </si>
  <si>
    <t>Juan Gaye</t>
  </si>
  <si>
    <t>…Voluntarios de Ribero, 54. 2.0 de Iberia. Habiéndose dignado el Rey nuestro Señor admitir el donativo que como' una prueba de ia mas respetuosa adhesión á su Real Persona ha hecho Don Juan Gaye de la Casa, administrador ausente de la renta de Salinas de San tander, de los intereses de seis vales de 300 pesos y dos de 150 por todo el tieríipo que permanezcan en depósito en ia tesorería de rentas de aquella ciu dad, y en la principal de esta provincia…</t>
  </si>
  <si>
    <t>Gayóse, Simón Gómez</t>
  </si>
  <si>
    <t>Simón Gómez Gayóse</t>
  </si>
  <si>
    <t>…n Fernandez de Alfonso Gándara, cape llán de Sres. Reyes nuevos de aquella ciudad: para ei deanato primera silla de la iglesia catedral de Valladólid, vacante per fallecimiento de D. Simón Gómez Gayóse , á D. José García Nieto, canónigo de la misma catedral; y para él déaható, de la,.¿Je. Sigiienza, vacante por fallecimiento de D Diego González i^feántos^ á DV^Jpsé Xop^z Santá María, canónigo de la^misma catedral. En los a utos que en virtud de orden de §+…</t>
  </si>
  <si>
    <t>Gayoso, José María</t>
  </si>
  <si>
    <t>José María Gayoso</t>
  </si>
  <si>
    <t>2o68 En Oviedo....... D. Rub'ano y Nieto. En Orense....... D. Fernando Rey. En Lugo..i...... D. José María Gayoso.. En Patencia.... D. Marcelino de la Torre. Jim Palma...... D. Lorenzo Gibert. En Pamplona.. D. Miguel*D Echarri. ^ En Pías encía.. D. Joan Campo y Oliva. En Sevilla...... D. Nicolás Jo‘é Areipacochaga. En Segovia...... Viuda de Ramiro y Mesa. En Santiago....…</t>
  </si>
  <si>
    <t>…* ,EniMdfkgae^.M.d:'^.d;v -D.-Júáft Pomar. ' '• *r J&gt;. íosé'Ubacb. * En Oviedo....D. Rubianó y Nieto. 'En Órense......................... D. Fernando Rey. Eii,Lugo'. '..... ...... D. José María Gayoso. jEntPaleficia.rr..,,....r..... D. Marcelino de la Torre* !Éú Palma.................. . D. Lorenzo Gibert. D.. M’guel Echarri, . : ¡ ; Plasencia.i..vi v D. ;Jp4n Campo y Oliva. En Sevilla.. . ¿ D. .Nicolás José Aréipacochaga. En Segovia..*...... Viuda de Rami…</t>
  </si>
  <si>
    <t>Gazan</t>
  </si>
  <si>
    <t>…e había reconocido el gobierno provisional de Francia. Consiguientemente autoricé al mayor general sic George Murray y al mariscal de campo D. Luis• Win»pifen para arreglar con el general Gazan un convenio para una suspensión de hostilidades en tre los exércitos aliados de mi mando y los exércitos franceses mandados por los mariscales Soult y Suchet, de que incluyo copia. Eite convenio ha sido confirmado por el mariscal Soult, aunque no he recibido…</t>
  </si>
  <si>
    <t>Gazman, Sebastian Caballero Henriquez do</t>
  </si>
  <si>
    <t>Sebastian Caballero Henriquez do Gazman</t>
  </si>
  <si>
    <t>…del consejo de S. M., teniente corregidor de esta villa, por la escri banía del número de D. Francisco Alcázar, se llama, cita y emplaza nuevamente á todos los parientes pobres de D. Sebastian Caballero Henriquez do Gazman, co mendador que fue de Aguilarejos en la orden de Santiago, y los de su muger Do ña Petronila de Saidival, para que en término preciso de 15 dias, contados desde esta fecha, comparezcan en dicho juzgado por sí ó sus apoderados á deducir su.9c—. cion y derech…</t>
  </si>
  <si>
    <t>Ge, Pedro</t>
  </si>
  <si>
    <t>Pedro Ge</t>
  </si>
  <si>
    <t>…inales, de Astigarrete/provincia de Guipúzcoa, que tomó los cordones-en eí regimiento de Murcia en el aflo de 1808. A la persona que lo supiere se ■ Je suplica se sirva ^visarlo á D. Pedro Ge» beron, racionero de la iglesia catedral de Calahorra, ó á D. Miguel de Burgos, im* presor en esta corte. ' la bbrcría de Castillo, frente 4 las gradas de S» Felipe el Real, se hallan de venta las obras siguientes del Dr.. D. Afigueí Cabanellas, p**édíco de c…</t>
  </si>
  <si>
    <t>Gedroicz</t>
  </si>
  <si>
    <t>…Nuestros militares empiezan á regresar aquí. Se ha nombrado en París una junta compuesta de los generales Dabrowsky, Zaiaczek, el príncipe Suikowsky , Wielborsky, Sierakowsky y el príncipe Gedroicz, ios quaíes están encargados de organizar nuevamente el exército polaco. Se compondrá este, según dicen, de 50© hombres, 30© de infantería y 20© caballos. El general Krukowicky ha sido enviado á Londres, el general Paszkowsky á Hungría, y otro general á Berlí…</t>
  </si>
  <si>
    <t>Gelis, Isidoro Perez de</t>
  </si>
  <si>
    <t>Isidoro Perez de Gelis</t>
  </si>
  <si>
    <t>…ar á St M. por su feliz regresó al frqno, á nóftibre de la rprovinciaíde Liébana, los limos. Sres. D. Francisco Xavier Mier y Campillo, obispó de. Almería é inquisidor general; P. D. Isidoro Perez de Gelis, del orden de. Agonizantes , obispó electo de Segovia, y D. Diego de la Torre; y el primero dixo: „ Señor: la provincia.de Liébana, á quien Dios libró milagrosamente del furor de los sarracenos después de la memorable batalla de.Cobadonga;,^acar ba de experim…</t>
  </si>
  <si>
    <t>Genebriera, Rafael</t>
  </si>
  <si>
    <t>Rafael Genebriera</t>
  </si>
  <si>
    <t>…cia dé los heridos, y qüe los facultativos que mas se han distinguido á la vista del cirujano mayor D. Juan Tomas Marín son el consultor D. Antonio de Denláfen, el primer ayudante D. Rafael Genebriera, el segundo habili tado5 D. Antonio Briart ,. y el físico del batallón de marina D. Francisco Cas ero. Los capellanes D. José Miranda y D. Francisco Varela son también dig nos de recomendación por Iá caridad que han empleado en la asistencia es piritual de lo…</t>
  </si>
  <si>
    <t>Genera'ísimo', Garlos</t>
  </si>
  <si>
    <t>Garlos Genera'ísimo'</t>
  </si>
  <si>
    <t>…esponda para su cumplimiento. = Señalado de la Real m.:no de S. M.c=En Palacio á 18 de Agosto de 1814.=: A Don ? :Francisco de Egnía. ? ^ 2.0 Para que mi arnaco Hermano el Infante D. Garlos Genera'ísimo' de mis Ejércitos, tome un conocimiento fundamental del estado y clase de asuntos y negocios militares, en que, según mis Reales decretos de 15 de Junio y 18 de Agosto últimos, debe entender mi Consejo Supremo de la Guerra ,yy én íía&lt; 5cas|onéVdudclsa^íqüérj&gt;é…</t>
  </si>
  <si>
    <t>Gentío, Tomas</t>
  </si>
  <si>
    <t>Tomas Gentío</t>
  </si>
  <si>
    <t>…de la or den de Santiago, se presentaron á felicitar áS^M. eldia 28 de Agosto pró jimo pasado por medio de sus diputados D. Mateo de Obregpn CevAlos,.. capeüan de honor de S. M. ; D. Tomas Gentío, cura del Real sitio de Aran-r juez, y D, Antonio Villaroel, individuos de la misma. ReaLcasa; de los; qualcs el primero pronunció el discurso siguiente: - w Señor : los Reyes de Leen fueron los primeros que protegieron y hon raron la orden de Santiago quando…</t>
  </si>
  <si>
    <t>Georget, Bartolomé</t>
  </si>
  <si>
    <t>Bartolomé Georget</t>
  </si>
  <si>
    <t>…íncipe de Anglona, D. Juan Senen de Coimeras, D. Felipe KeatingRoche, y D. Francisco Cabrera. A mariscales de campo á los brigadieres D. Miguel de los Ríos , D. Car los de Gunchi, D. Bartolomé Georget, el barón de la Barre , D. José Fal ques, D. Manuel María Prosterla, D. José Bucareli, D. Nazario de Fguía, I). Raymundo Ferrer, D. Isidoro del Saso, D. Pedro de Oiedo, D. Mi guel Ignacio Mari mon, D. Pedro Dávalos Santa María, D. Vicente Osorio, D. Joaquín I…</t>
  </si>
  <si>
    <t>Ger, María</t>
  </si>
  <si>
    <t>María Ger</t>
  </si>
  <si>
    <t>…uyos números y endosos son: uno de ó o o pesos, núm. 2198: tres de 300, mims. 42844, 55972 y 73720; y tres de 150, núme ros 181147, 195639 y 200536. Los siete endosados á favor de Doña María Ger trudis Jorganes. Uno de 600 pesos, núm. 12976: uno de 300, núm. 47335; y uno de 150 pesos, núm. 170161. Los tres endosados á favor de Doña Sinforiana de Alvarez. Y uno de 300 pesos, núm. 24793 , endosado á favor de Doña Joa quina de Larrea. Y habiéndose extra…</t>
  </si>
  <si>
    <t>Gerard</t>
  </si>
  <si>
    <t>…pre sentó delante de La-Rothiere y Dienviile, que aun ocupábamos. Nu stra retaguardia .se mantuvo en buen orden: el general Duhestne se distinguió defendiendo á La-Rothiere, y el general Gerard á Dienviile. El cuerpo austríaco del general Giülay, que intentó pas^r de la izquierda á la derecha y forzar el puente,' sufrió una derrota en varios de sús batallones. El duque de Belluno continuó todo el día en la aldea de la Giberie, á pesar de la grande i…</t>
  </si>
  <si>
    <t>…da. Parece que esta noche pasada han entrado en París los cuerpos de los mariscales Morder, y Marmont. La guarnición reunida anteriormente se com ponía de una parte dei cuerpo del general Gerard, á las órdenes del gene</t>
  </si>
  <si>
    <t>…nigsíen, y parece que en Holanda se embarcarán 7® suecos y un cuerpo ruso. El príncipe real de Suecia estaba en camino para Stockolmo___Davoust ha sido llamado á París, y quedó el general Gerard con el mando de las tropas francesas d^ Hamburgo. _ Han arrestado en Copenhague á varias personas por tener* correspondenciá con el príncipe Cristiano en la Noruega, el qual persiste en su designio. El rey de Francia ha nombrado por decreto de 15 del corrient…</t>
  </si>
  <si>
    <t>Gervasio, Vicente</t>
  </si>
  <si>
    <t>Vicente Gervasio</t>
  </si>
  <si>
    <t>…la del público para las provincias deíCosta-firme y el Perú; lo que se avisa al público para que pueda di rigir su correspondencia aprovechando esta proporción. Por el juzgado del Sr. Vicente Gervasio, López, alcalde constitucional de la villa de Chinchón, y escribanía de D. Gabriel González Rey se sigaen autos de ocurrencia de acreedores á los bienes que en dicha villa y la de Arredondo per tenecían y pertenecen á D. Isidro Ruiz de las Canales, difunto, o…</t>
  </si>
  <si>
    <t>Gibbs</t>
  </si>
  <si>
    <t>…n para contener el ataque dos cañones de la brigada del mayor Fyery- que hicieron cesar los fuegos de ■ la batería enemiga. ; ur 1 ; El regimiento núm. 52.0, al mando del teniente coronel Gibbs, se tras ladó á la aldea de Merxem para cubrir la retirada de las tropas , el que se envió, luego que llegó la columna prusiana por’el camino real.__ El tenien te coronel Gibbs se quedó con el f2;Q y el tercer batallón! del 9 $ hasta que filé de noche. . - ,…</t>
  </si>
  <si>
    <t>244 # tro primer ataque, fué tomado del modo mas bizarro en mucho menos tiem po, y con menor pérdida que la que creí posible. El mayor general Gibbs, que mandaba la segunda división , auxiliado por el mayor general Taylor y por e! teniente coronel Herries, dirigió este ataque, en el qual todas las tropas se conduxeron ccht el acostumbrado de nuedo é intrepidez de los soldados británicos. Ademas de los ofi…</t>
  </si>
  <si>
    <t>…, y el mayor general Pokenham dirigirá el exército de las costas» * Es muy probable que irá muy pronto ono de nuestros generales de mas cré dito á tomar el mando en gefe. El mayor general Gibbs,del regimiento 52.0»; acompaña con un numeroso estado mayar á sir Pokenham á bordo de la St iíira. Ei mayor general Grant debe mandar ia caballería 9 con quien mar charán algunos otros oficiales generales. Siendo tan necesaria en Londres la presencia del lord…</t>
  </si>
  <si>
    <t>Gibert, Lorenzo</t>
  </si>
  <si>
    <t>Lorenzo Gibert</t>
  </si>
  <si>
    <t>2o68 En Oviedo....... D. Rub'ano y Nieto. En Orense....... D. Fernando Rey. En Lugo..i...... D. José María Gayoso.. En Patencia.... D. Marcelino de la Torre. Jim Palma...... D. Lorenzo Gibert. En Pamplona.. D. Miguel*D Echarri. ^ En Pías encía.. D. Joan Campo y Oliva. En Sevilla...... D. Nicolás Jo‘é Areipacochaga. En Segovia...... Viuda de Ramiro y Mesa. En Santiago.... D. Manuel de la Riba Moreno. En Soria......... D. Joaquín Tutor Iba Izóla. En…</t>
  </si>
  <si>
    <t>…..... D. Fernando Rey. En Lugo.............................. D. José María Gay oso. En Palenda....................... D. Marcelino de la Torre. En Palma........................... D. Lorenzo Gibert. En Pamplona..................... D. Miguel Echarri. En Piase neta..................... D. Juan Campo y Oliva. En Sevilla.,......................... D. Nicolás José Areipacochaga» En Segovia,........................ Viuda de Ramiro y Mesa. En Santiago........…</t>
  </si>
  <si>
    <t>…nse......................... D. Fernando Rey. Eii,Lugo'. '..... ...... D. José María Gayoso. jEntPaleficia.rr..,,....r..... D. Marcelino de la Torre* !Éú Palma.................. . D. Lorenzo Gibert. D.. M’guel Echarri, . : ¡ ; Plasencia.i..vi v D. ;Jp4n Campo y Oliva. En Sevilla.. . ¿ D. .Nicolás José Aréipacochaga. En Segovia..*...... Viuda de Ramiro y Mesa. En SantiagOii.i\......i..i...i u D. Manuel de la Riba Moreno, En &gt;Sorjd.¿:.v¿x, 'D.i»Joaquín 'T…</t>
  </si>
  <si>
    <t>Giifing</t>
  </si>
  <si>
    <t>…es austríacos muertos, heridos, prisioneros y extraviados en las batallas del 16 y 18 de Octubre junto á Leipsiek. El número de los muertos es de 59, entre los quales se cuenta el general Giifing: el «le los heridos asciende á 309, inclusos el general de caballería príncipe heredero de Hesse Homburgo, los tenientes feld- mariscales Ignacio de Hardegg, Noslirz, Radetzs«ky, el barón Mohr, y el mayor general barón Spleny : el de los prisioneros es de 2y…</t>
  </si>
  <si>
    <t>Gil, Manuel</t>
  </si>
  <si>
    <t>Manuel Gil</t>
  </si>
  <si>
    <t>…ndo que esta junta su perior costeará esta operación á todos los que sean absolutamente pobres de solemnidad. Cascante 11 de Agosto. Habiendo sido el médico titular de esta ciudad D. Manuel Gil uno de los profesores que con mas zelo y actividad procuró propagar la vacuua desde que se dio á conocer este invento como el mas seguro preservativo de las viruelas; la junta superior gubernativa de Medicina establecida en la cor te le encargó muy especialme…</t>
  </si>
  <si>
    <t>Gil, Sebastian Ruiz</t>
  </si>
  <si>
    <t>Sebastian Ruiz Gil</t>
  </si>
  <si>
    <t>…que fué del regimiento de infantería de Extremadura, natural de la villa de la Puebla de la Calzada, provincia de Extremadura, .á fin de que tanto él como sus herede ros acudan á D. Sebastian Ruiz Gil, en la ciudad de Málaga, que tiene que comu nicarles asuntos interesantes. Reflexiones sobre la paz y la guerra, que escribió el Excmo. Sr. conde de Aranda. El solo nombre de su autor es suficiente á recomendar este escrito, en donde nada hay que no correspon…</t>
  </si>
  <si>
    <t>Gil, Tadeo Ignacio</t>
  </si>
  <si>
    <t>Tadeo Ignacio Gil</t>
  </si>
  <si>
    <t>…Francisca de. la Dueña y. Cisneros, diputad ► por la;Mancha; para vice-presidente el Sr. D. Antonio Joaquín Perez , diputado, por ,1a Puebla de los Angeles,; y para secretario el Sr. D. Tadeo Ignacio Gil , diputado por Valencia. ..</t>
  </si>
  <si>
    <t>Gimbernat, Antonio de</t>
  </si>
  <si>
    <t>Antonio de Gimbernat</t>
  </si>
  <si>
    <t>…s. en rústica.zzTratado so bre el recto uso de las suturas y si» abuso, á 5 rs. = Disertación sobre las úlceras de los ojos que interesa» la cornea transparente, á z rs.: su autor D. Antonio de Gimbernat. Se hallarán en la librería de Escribano, calle de las Carretas. 'tinta. En la gaceta núm. 150 del jueves 10 del corriente, pág 2147, en la provisión de la chantría de Málaga, donde dice D. José JDuazo, léase Duaso. EN LA IMPRENTA REAL.</t>
  </si>
  <si>
    <t>Gines, José</t>
  </si>
  <si>
    <t>José Gines</t>
  </si>
  <si>
    <t>…mpa que representa á nuestro amado monarca el Sr. D. Fernando vir, en 4.0 Este retrato, el mas propio quizá de quantos han salido al público, está copia do del busto trabajado por D. José Gines, escultor de cámara, cuyo nombre so lo hace su elogio; dibuxado por D. José Maea, y grabado por D. Mariano Brandi. Estos profesores bien conocidos por su mérito no han perdonado gasto alguno para hacer su obra en lo posible digna del augusto objeto que se han…</t>
  </si>
  <si>
    <t>Girard</t>
  </si>
  <si>
    <t>…ador, al salir de Nogent el 9 para maniobrar contra el cuerenemigo que venia avanzando por La-Ferté, y Meaux con dirección á Í&gt;o 'aris, dexó los cuerpos del duque de Belluno y del general Girard delante de Nogent, y el séptimo cuerpo del duque de Reggio en Provins, encar gado de la defensa de los puentes de Bray y Montereau, y ai .general Pajol cerca de Montereau^y de Melun. ; „ Habiendo sabido el duque de Belluno que varias divisiones del exérci to…</t>
  </si>
  <si>
    <t>…ibido las siguientes noticias de la si tuación de los exérdtos hasta 27 de Febrero. El 26 estaba el quartel general en Troyes. El duque de Reggio se hallaba en Bar del Aube con el general Girard, y el segundo cuerpo de caballería mandado por el conde Valmi. El duque de Tarento tenia su quarteí general en Mussy TEveque , y sus puestos avanzados en Chatillon : estaba ya ea marcha para el Aube y Clairvaux. El duque de Castillone, que tiene baxo su mando…</t>
  </si>
  <si>
    <t>…ada la caballería del conde dé Wittgensteia, habiendo flanqueado el camino real, cayó sobre un parque de artille ría, cogió mas de 300 caballos, 40 artilleros, y los equipages del general Girard.” . No habiéndose tenido noticias del feld-mariscal Blucher desde el 28 de Febrero, fué destacado el general Platow á Sezanne para mantener la co municación con aquel mariscal, y amenazar la retaguardia de Bonaparte. En esta marcha se apoderó el general Plato…</t>
  </si>
  <si>
    <t>…los recibidores, fueron acudiendo ricos y pobres á entregar lo que cada uno podía; y asi se espera que dentro de pocos dias Versalles podrá dar á'S. M. una prueba de su afecto. El barón Girard, que tanto se distinguió en la batalla de Lutzen por su valor, ha llegado á esta capital, trayendo á Francia el cuerpo de exército que estaba encerrado en Magdeburgo, del que se separó en Tréveris. Este cuerpo consta de 12 á 13® hombres de tropas excelentes.…</t>
  </si>
  <si>
    <t>Gírate, Tadeo</t>
  </si>
  <si>
    <t>Tadeo Gírate</t>
  </si>
  <si>
    <t>…aradero de D. Francisco García Arguelles, pariente de Don Toribio Acebal , secretario del vireynato de Lima. La persona que supiere de su paradero se. servirá avisarlo en Madrid á D. Tadeo Gírate, gobernador intendente de la provincia de Puno, en la América, que vive en la carrera de S. Gerónimo, núm. 4, quarto principal, ó en Cádiz á D. Juan Antonio Uriarte, del comercio de ella. El Dr. D. José García de Linares, prebendado de la catedral de Tara zon…</t>
  </si>
  <si>
    <t>Gircía, Donato</t>
  </si>
  <si>
    <t>Donato Gircía</t>
  </si>
  <si>
    <t>…rmedad cohtagiosy/Óbra póstuií»i'de D.'íiántíágo García ; nié íica de la real idélusal La'‘púbTfea^’éo^-tifu breve nóticiá'hiVtórica de‘ lds t¡rábajo% literarios del autor su hijo D. Donato Gircía, presbítero. Se hallará á 5 reales en‘ rfíStíéa en Ja librería de Dávila, calle de las Carretas. Parabienes dadófcpór la sociedad económica de amigos del país de esta corte á ¡las Cortes ordinaria#con rnotivode su instalación ,.y* á la Regencia del Reyno por…</t>
  </si>
  <si>
    <t>Girón, Pedro Agustín</t>
  </si>
  <si>
    <t>Pedro Agustín Girón</t>
  </si>
  <si>
    <t>…M^na, ARTICULO DE OFICIO. La Regencia del Rey no , en consideración al distinguido mérito que ha contraido en servicio de la patria durante la presente guerra el mariscal de campo D. Pedro Agustín Girón, y á las reiteradas recomendaciones que ha hecho á su favor el señor duque de Ciudad-Rodrigo, sé ha servido promo verle, con fecha de 8 del corriente Marzo, á teniente general de los exércitos nacionales. Hallándose instalada ya la contaduría mayor de Cuentas…</t>
  </si>
  <si>
    <t>Girón, Pedro Agustin</t>
  </si>
  <si>
    <t>Pedro Agustin Girón</t>
  </si>
  <si>
    <t>…ermoso. Sostuviéronla contra D. Juan Cruz delrigoyen, D. Manuel delturralde, p. Miguel Barcaiztegui, D. Juan Francisco de Elizalde. Hicieron de jueces para la decisión el teniente general D. Pedro Agustin Girón, el con de de Torre-Alta y D. Bernardino Evaña. S. M. manifestó dorante el par. tido un semblante el mas placentero y satisfactorio para los referidos juga dores , que tuvieron el honor de proporcionarle tan sencilla y pequeña divet-f $¡on.</t>
  </si>
  <si>
    <t>Gis, Dionisio</t>
  </si>
  <si>
    <t>Dionisio Gis</t>
  </si>
  <si>
    <t>44 d'etes D. Rafael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 D. Juan ;Q'ues'a…</t>
  </si>
  <si>
    <t>Giulay</t>
  </si>
  <si>
    <t>…que le asegurasen el buen éxito del ataque de esta posi ción.----No esperó el mariscal Mortier á que se adelantase el exército aliado, y el día 16 principió á retirarse. El 17 el general Giulay se adelantó con su guardia avanzada. El comandante de lá ciudad quiso capitular, pero se le intimó que se rindiese, pues no tenia medios con que resistir. El alistamien to general que habia mandado Bonaparte hacer aquí no se habia executado. _ Tomó posesión d…</t>
  </si>
  <si>
    <t>…or todas partes. El quartel general del mariscal príncipe Schwartzemberg estaba el 12 en Vesoul, é iba á pasar adelante. Los habitantes hicieron fuego á las tropas mandadas por el general Giulay en su marcha á Langres; pero no hubo otro ejemplar, y k)s aliados en todas las demas partes han sido bien recibidos. El quartel general del feld-mariscal debía estar en Langres el 15 ó el 16. El cuerpo del general Bubna ha tenido orden últimamente de pasar de…</t>
  </si>
  <si>
    <t>Giülay</t>
  </si>
  <si>
    <t>…un ocupábamos. Nu stra retaguardia .se mantuvo en buen orden: el general Duhestne se distinguió defendiendo á La-Rothiere, y el general Gerard á Dienviile. El cuerpo austríaco del general Giülay, que intentó pas^r de la izquierda á la derecha y forzar el puente,' sufrió una derrota en varios de sús batallones. El duque de Belluno continuó todo el día en la aldea de la Giberie, á pesar de la grande inferioridad de su cuerpo respecto de las fuerzas ene…</t>
  </si>
  <si>
    <t>…te dia. Teniendo los so beranos aliados y los comandantes de los exércitos entera confianza en el feld-mariscal Blucher, pusieron á su disposición el cuerpo austríaco del gene ral conde Giulay y el del príncipe real de Wurtemberg, ademas de las fuer zas de su inmediato mando. Después de un reconocimiento, dio el mariscal las disposiciones siguientes para el ataque. El cuerpo del general barón Sackeñ tuvo orden de avanzar desde Trannes en dos column…</t>
  </si>
  <si>
    <t>…miento 3.0 de la guardia de honor, ¿ igual número á la guardia nacional. El conde Vaímbmarchó este dia (24) á Bar del Sena. Habiendo llegado á St. Paar encontró la retaguardia del general Giulay , la acometió , la der rotó é hizo i 200 prisioneros. Es probable que el conde de Valmi esté esta noche en Bar del Sena. El general ¡Girard marchó desde el puente del Guillotiere auxiliado por el duque dé Réggio, y ha avanzado hacía Lussigny, pasando el Barse…</t>
  </si>
  <si>
    <t>…terminado hoy que se pongan mañana en movimiento los cuerpos de los generales Wrede y Wittgenstein por el camino de Vandoeuvre, y los cuerpos del príncipe real de Wurtemberg y del general Giulay por el caonino entre Bar del Sena y Chatillon. El enemigo avanzó anoche á Bar del Aube, y ocupó este pueblo, ha biéndole antes abandonado el general Wrede al acercarse el enemigo. Habiendo después recibido el mismo general Wrede orden del príncipe Schwartzenb…</t>
  </si>
  <si>
    <t>…2 á 3© hombres, y muy completa su derrota, después de las victorias de que había blasonado. Mañana será perseguido en dirección de Vandeoavre. El príncipe real de Wurtemberg y el general Giulay han llegado cerca de Bar del Sena, y atacarán mañana aquel pueblo. Tengo la honra &amp;c. = En las alturas de Bosancour 27 de Febrero. = JBurghersh. ESPAÑA. México %j de Octubre de 1813» El Exento. Sr. conde de Castro- Terreno ha dirigido d esta superioridad el p…</t>
  </si>
  <si>
    <t>…o que había peleado en la batalla del 27. •Sin embargo, este obstáculo está ya removido, pues el príncipe real lo gró ayer arrojar á los franceses de sus posiciones. El cuerpo del general Giulay, que estaba á sus órdenes, atacó y tomó el pueblo de la Ferté. El príncipe real tomó posesión de Clairvaux. . Conseguidas estas ventajas avanzaron los dos cuerpos á Pontette y St. -Usage, donde el enemigo ocupaba una posición bastante fuerte, que aban donó al…</t>
  </si>
  <si>
    <t>…e los cuerpos de los generales Wrede y Wittgenstein , los quales llegarán mañana á aquel pueblo, y después avanzarán á Troyes. Si los cuerpos del príncipe real de Wurtemberg y del general Giulay han logrado establecerse hoy en Bar del Sena» se encaminarán también á Troyes por la izquierda de este rio. En mi anterior oficio se me pasó participar á V. E. que el fuerte de Salinas.se había entregado á los aliados. El cuerpo del general St. Priest llegó á…</t>
  </si>
  <si>
    <t>Glutz</t>
  </si>
  <si>
    <t>…ediciosos, presos muchos, y entre los mismos el co mandante Schmid: su hijo se ha escapado. El coronel Sury, mayor de la plaza, ha sido destituido de su empleo , juntamente con el coronel Glutz. A las quatro ya estaba enteramente restablecida la tranquilidad; y ayer á las ocho de la mañana entraron en Soleure 150 soldados de Berna con un cañón de artillería. . En la noche del 12 al 13 se oyeron con frecuencia algunos tiros de fu sil, que probablemen…</t>
  </si>
  <si>
    <t>Gneisenau</t>
  </si>
  <si>
    <t>…Arcis del Aube, y probablemente se encaminará mañana á Mery, donde puede formar el ala derecha del exército grande&gt; que se supone estar ahora en Troyes ó cercá de esta ciudad. El general Gneisenau se dirige hoy á Troyes para concertar las opta ciones cojrel exército grande.</t>
  </si>
  <si>
    <t>Gniesenau</t>
  </si>
  <si>
    <t>…a in trepidez y disciplina e las tropas. El exemplo del féld-mariscal Blucher* que se hallaba present en los puntos de mas peligro.» y el de los generales Kleist, Kapsiewitz y del general Gniesenau, que dirigió: el'movimiento de la calzada ; y fin. Imente el exemplo del general Zieten-ry del príncipe Augu to de Píusia, que estuvo siempre al frente de su brigada, estimulándola á los mas h’eroycos esfuerzos, no han podido menos de inspirar á los solda dos…</t>
  </si>
  <si>
    <t>Gó, Josó</t>
  </si>
  <si>
    <t>Josó Gó</t>
  </si>
  <si>
    <t>…ndar se le dé alojamiento en palacio, y que se le guarden los honores y demas preemi nencias que como á tal ie competen. H ibíendo llegado á Trípoli en el mes de Abril de este año D. Josó Gó mez Herrador, que en Diciembre del anterior fué nombrado cónsul general y e i argtdo de negocios de S. M. cerca de aquella regencia, y á quien al tiempo de su marcha se le dio comisión particular para exigir de la misma regencia el puntual cumplirme ito del c…</t>
  </si>
  <si>
    <t>Gó, Manuel</t>
  </si>
  <si>
    <t>Manuel Gó</t>
  </si>
  <si>
    <t>…cias posteriores á esta fecha, 9 de hijos legítimos que le hayan quedado, en el caso de que haya muerto, se sirvan avisarlo á la mayor brevedad en i a ciudad de Lugo al presbítero D. Manuel Gó mez, residente en ella, y confesor de tabla en la santa iglesia catedral. £1 Sol: periódico que ha de publicarse diariamente en esta corte desde el dia i.° de Noviembre próximo, y constará de un pliego en folio de buen papel y le tra: contendrá la vida del sa…</t>
  </si>
  <si>
    <t>Gobern, Narciso</t>
  </si>
  <si>
    <t>Narciso Gobern</t>
  </si>
  <si>
    <t>…a de la iglesia catedral de Barcelona, vacante por muerte de D. Luis Gomar: á D. Juan Dagas para otra dlaconil de la catedral de Gerona, vacante por muerte de D. Juan Vilomara : á Don Narciso Gobern para otra también diaconil de la misma catedral, vacante por muerte de D. Ignacio Sastre: á D. José Ferrer Aymeri para otra tam bién diaconil de la misma catedral, vacante por muerte de D. Antonio Se gura: á D. Mariano Bataller para otra presbiterial de la mi…</t>
  </si>
  <si>
    <t>Godinez, Juan Antonio</t>
  </si>
  <si>
    <t>Juan Antonio Godinez</t>
  </si>
  <si>
    <t>…rbiu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continuos desvaios de sus gefes y profesores, que generosa mente se emulan en ei cumplimiento exacto de sus respectivas obligac…</t>
  </si>
  <si>
    <t>Godoy, Manuel de</t>
  </si>
  <si>
    <t>Manuel de Godoy</t>
  </si>
  <si>
    <t>…ón á mi Real Persona sufrieron en el tiempo de mi detención en el Real Sitio de S._ Lorenzo prisiones y confinaciones fuera de la Corte, dictadas por el infiuxo y arbitrariedad de D. Manuel de Godoy, he venido en con cederles el distintivo de una cruz de oro, pendiente del ojal de la casaca con cinta encarnada, la qual tendrá en el centro de su cara principal un as parrillas y palma entrelazada conforme al diseño cjue acompaña; y en el re verso un letrer…</t>
  </si>
  <si>
    <t>Goidfinch</t>
  </si>
  <si>
    <t>…los tenientes coró neles Bouverie y Jackson , asistente ayudante general, y asistente quartelmaestre general de su cuerpo, contraxeron en esta ocasión, como igualmente el teniente coronel Goidfinch del real cuerpo dé ingenieros,, y los oficiales adictos á su persona. El enemigo hizo pasar ayer tarde por el puente del Adour un fuerte cuerpo de caballería, y retiró esta mañana las fuerzas que tenia delante de sir Rolando Hill hacia Bayona. Durante estas o…</t>
  </si>
  <si>
    <t>Golmayo, Julián Alvarez de</t>
  </si>
  <si>
    <t>Julián Alvarez de Golmayo</t>
  </si>
  <si>
    <t>9* clames: fueron examinados por el director primer maestro de aquel estable cimiento D. Julián Alvarez de Golmayo en los respectivos conocimientos sobre ios puntos siguientes: primero, leyeron indistintamente con el mayor sentido y perfección , observando todas las notas de puntuación: segundo, presentaron excelentes escritos de varios tamaños, y otros que escribieron en…</t>
  </si>
  <si>
    <t>Gomar, Luis</t>
  </si>
  <si>
    <t>Luis Gomar</t>
  </si>
  <si>
    <t>…la cate dral de Popayan, y actual confesor de número de la Real familia de S. M.s á D. Ignacio Xipell para una canongía de la iglesia catedral de Barcelona, vacante por muerte de D. Luis Gomar: á D. Juan Dagas para otra dlaconil de la catedral de Gerona, vacante por muerte de D. Juan Vilomara : á Don Narciso Gobern para otra también diaconil de la misma catedral, vacante por muerte de D. Ignacio Sastre: á D. José Ferrer Aymeri para otra tam bién di…</t>
  </si>
  <si>
    <t>Gómez, Andrés Esteban y</t>
  </si>
  <si>
    <t>Andrés Esteban y Gómez</t>
  </si>
  <si>
    <t>…di.= Teniente de Canciller mayor, Fernando de Iturmendi. El Rey se ha servido nombrar para el obispado de Ceuta, vacante por fallecimiento del limo. Sr. D. Fr. Domingo Benaocaz, á D. Andrés Esteban y Gómez, canónigo de la iglesia catedral de Sigiienza. Asimismo se ha servido S. M. nombrar para el priorato de la iglesia co legial de Santilíana, diócesis de Santander, vacante por fallecimiento de Don Luis Ventura Ceballos, á D. Manuel de la Portilla, prebendado d…</t>
  </si>
  <si>
    <t>Gómez, Antonio Eugenio</t>
  </si>
  <si>
    <t>Antonio Eugenio Gómez</t>
  </si>
  <si>
    <t>…do exército y reyno en ausencias y enfermedad 6 falta de Nograro, sin necesidad de nuevo decreto. Animismo por decreto de 26 del referido mes, en atención al mérito y servicios de D. Antonio Eugenio Gómez, nombrado administrador general de rentas de Ja provincia de Granada, ha venido S. M. en concederle los honores de intendente de provincia. El Rey por decreto de 18 de Octubre, en atención á los dilatados y bue nos servicios del administrador general de rerit…</t>
  </si>
  <si>
    <t>Gómez, Bernardino</t>
  </si>
  <si>
    <t>Bernardino Gómez</t>
  </si>
  <si>
    <t>…de D. Domingo xMartinez, capitán del batallón de infantería ligera de Campomtypr, ó sus herederos, para comunicarles asuntos de intereses; á cuyo efecto podrán pa sar i verse con D. Bernardino Gómez, que vive en Madrid, calle de las Huertas, esquina á la de S. José, núin. 15 , quarto segundo. Tratado práctico de dispensas asi matrimoniales como de votos, irregularida des y simonías, útilísimo á ios párrocos, confesores y agentes diocesanos: por el R. P.…</t>
  </si>
  <si>
    <t>Gómez, Casimiro Antonio</t>
  </si>
  <si>
    <t>Casimiro Antonio Gómez</t>
  </si>
  <si>
    <t>…creedores á sus bienes, para que en el término de nueve dias, siguientes á la publicación de este aviso, comparezcan an te el Sr. D. Francisco de As«ín, y escribanía del número de D. Casimiro Antonio Gómez, para averiguar las cantidades á que puedan ser responsables dichos bienes, y proceder en su vista en las diligencias del juicio segur» corresponda. Doña Manuela Zubillaga y Cácerts, soltera, hija de D. Miguel y Doña Bár bara, administrador aquel de rentas, y…</t>
  </si>
  <si>
    <t>Gómez, Francisco Antonio</t>
  </si>
  <si>
    <t>Francisco Antonio Gómez</t>
  </si>
  <si>
    <t>…el vireynato ael Perú, que abaxo se expresan, los empleos si guientes : En el de Arequipa:, de infantería disciplinada , tenencias á D. Lorenzo Calderón , D. Juan de Dios Ararno , D. Francisco Antonio Gómez , .Don Juan Manuel de La-Puente y Bustamante, D. Mariano Espiel , D. Gabriel Sánchez Corbacho, D. Carlos Diez Canseco, D. José Fermín Diez Canse?co y D. Juan Isidro Peña. En el de León de Huanuco, de infantería urbana, subtenencias á Don Lúeas Caballero y D.…</t>
  </si>
  <si>
    <t>Gómez, Joaquín</t>
  </si>
  <si>
    <t>Joaquín Gómez</t>
  </si>
  <si>
    <t>…ya en el castillo. La presente capitulación se hizo duplicada el dia, mes y año que arriba se expresa, y firmamos ssTantesio, capitán- de artillería y oficial de ingenie ros. = El coronel Joaquín Gómez. = A. Rey de Mbrande, capitán del 10.® de línea. = El teniente coronel Marcelino Oraá, = La presente capitulación ha sido ratificada hoy 17 de Febrero de 1814 por mí el gefe de batallón» comandante superior = Dessórtis.=: La presente capitulación ha sido rati…</t>
  </si>
  <si>
    <t>Gómez, Joaquín Pedro Fama y</t>
  </si>
  <si>
    <t>Joaquín Pedro Fama y Gómez</t>
  </si>
  <si>
    <t>…tas. ^-----—---- ;—rs------...——77------------------ H1-------- ---------- ;—r~7—:-------------- 7* En; la.gaceta.’idel jueyes 1.",de Diciembre, pág. 2217, línea 43 &gt; donde dice d D. Joaquín Pedro Fama y Gómez , léase Faura, i.... EN LA IMPRENTA REAL. ~</t>
  </si>
  <si>
    <t>Gómez, José</t>
  </si>
  <si>
    <t>José Gómez</t>
  </si>
  <si>
    <t>…sé Pii^a, teniente de id. D. Francisco Ajan &gt; subtenienteid., D^Jos# Moreno, ayudante del de Oviedo. D. Pedro María Fernandez/ teniente de id. D. José Castañon, subteniente de ud. D. José Gómez, s.uStjménte.;dé Laredo. D. Leonardo Sicilia, coronel de tiradores de Cantabria. .©..Pascual Perez Lazarraga, teniente de id. - , . , . r3 ' ... ■ . Heridos. ' \ El teniente general D. Gabriel de Mendizabal. D.. José | ,co&lt;r mandante general de la quarta divi…</t>
  </si>
  <si>
    <t>…oronel del de Laredo. D. Bernardino García, capitán de id. D. Antonio González Villamil, ayu dante de id. D. José Alfonso, teniente de id. D. Félix del Arenal, subte niente de id. D. José Gómez, subteniente de tiradores de Cantabria. Contusos. D. Angel Vallejo, ayudante segundo de estado mayor. D. José Ruiz, subteniente del 2.° de Asturias. D. Antonio Ruiz Alvarez, id de id. D. Jacobo Saavedfa, id. de id. D. Rafael Martínez, ayudante de Marina. D. A…</t>
  </si>
  <si>
    <t>Gómez, Lorenzo</t>
  </si>
  <si>
    <t>Lorenzo Gómez</t>
  </si>
  <si>
    <t>uSó do para su remate el 22 de este presente mes á las tí de stt mañana en ía habitación del administrador de dicha posesión D. Lorenzo Gómez, sita eii la casa de los registros de la puerta de Fuencarral. La persona 6 personas que quieran tomar etí arrendamiento las citadas fincas, en todo ó en partea según las suertes asignadas, acudan ante dicho administrador é infrascrito escribano de dicha pose…</t>
  </si>
  <si>
    <t>Gómez, Mariano</t>
  </si>
  <si>
    <t>Mariano Gómez</t>
  </si>
  <si>
    <t>…y soldados que se hallaron en la acción, sin que dexe de hacer especial mé rito del teniente de la segunda de fusileros D. Nicolás Soriano, y dei subte niente de la de granaderos D. Mariano Gómez, que se batieron con un de nuedo sin igual, animando con su exemplo á los demás, y contribuyendo per su parte al mejor logro de la empresa. = Dios guarde á V. S&gt; mucho* años. = Banaguás 11 de Octubre de 1813. s Antonio Oro.=Sr. D. Francis co Espoz y Mina. = Y…</t>
  </si>
  <si>
    <t>Gómez, Mateo Aguiriano y</t>
  </si>
  <si>
    <t>Mateo Aguiriano y Gómez</t>
  </si>
  <si>
    <t>…imiento del Excmo. é limo. Sr. D. Fr. Joaquín Company, al limo. Sr. D. Fr. Veremundo Arias, obispo de Pamplona; para el obis pado de Calahorra, vacante por fallecimiento del limo. Sr. D. Mateo Aguiriano y Gómez, al limo. Sr. D. A tafias i o Puyal, obispo de Caristo, auxi liar de este arzobispado de Toledo por lo «correspondiente á Madrid y su partido ; para el de Segovia, vacante por fallecimiento del limo. Sr. D. Jo sé Saenz de Santa María, al R. P. D. Isidoro de C…</t>
  </si>
  <si>
    <t>Gómez, Matías Antonio</t>
  </si>
  <si>
    <t>Matías Antonio Gómez</t>
  </si>
  <si>
    <t>…na canongía de la iglesia catedral de Calahorra, que resultará vacante por promoción de D. Fermín Francisco San Juan al arcedianato de Berberiego, dignidad de la&lt;mÍ9ma catedral, á D. Matías Antonio Gómez: para el bene-</t>
  </si>
  <si>
    <t>…nombrar para la canongía que debe va car en la iglesia de Calahorra por promoción de D. Fermín Francisco San Juan á la dignidad de arcediano de Bsrberiego, en la misma catedral, á D. Matías Antonio Gómez, examinador sinodal, y prebendado de la cate dral de Popayan, y actual confesor de número de la Real familia de S. M.s á D. Ignacio Xipell para una canongía de la iglesia catedral de Barcelona, vacante por muerte de D. Luis Gomar: á D. Juan Dagas para otra dl…</t>
  </si>
  <si>
    <t>Gómez, Pedro</t>
  </si>
  <si>
    <t>Pedro Gómez</t>
  </si>
  <si>
    <t>PDF p. 14</t>
  </si>
  <si>
    <t>9^4 designare S. M, Cristianísima. Y concurriendo en vos D. Pedro Gómez La brador , Caballero Pensionista de la Real y distinguida Orden Española de Carlos m, y mi Consejero de Estado, tan especiales y distinguidas circuns tancias, he venido en elegiros y nombraros, para que revestido del carácter de mi Embaxador extraordinario y Pl…</t>
  </si>
  <si>
    <t>Gómez, Ramón</t>
  </si>
  <si>
    <t>Ramón Gómez</t>
  </si>
  <si>
    <t>…dades y un inmenso concurso de todas clases. Madrid 15 de Julio. El dia 28 del mes próximo pasado tuvieron la honra de cumplimentar á S. M. en nombre del ayuntamiento de Benavente D. Ramón Gómez, re gidor de ella, y D. Juan Sánchez Manjon, procurador síndico general de la misma; pronunciando el primero el discurso siguiente: „Señor: Benavente fue de los primeros pueblos fieles en Castilla la vieja que se declararon á favor de V. M., la justa causa, y…</t>
  </si>
  <si>
    <t>Gómez, Ramón Quintero</t>
  </si>
  <si>
    <t>Ramón Quintero Gómez</t>
  </si>
  <si>
    <t>…teniente coronel D. José Lpyeto de,Torres, capitandel regimiento infantería de, Cu* ba, se ha servido conferirle grado de coronel., &lt; í. • : ±jl Siguiéndose por el juzgado del SK D. Ramón Quintero Gómez,* corregidor de la villa de Illescas, y escribanía del número de D. Salvador Fernandez de fa O, autos con motivo del fajlécimienítoabin testa to de Doña Rbl^ def|a Cruz Matos y Guzrmn , vecina cjue'fué de dich^Villa ¿ ^ nattsráfdé la de 'PredraVttá, diócesis…</t>
  </si>
  <si>
    <t>Gómez, Tadco Segundo</t>
  </si>
  <si>
    <t>Tadco Segundo Gómez</t>
  </si>
  <si>
    <t>…cular se ha comunicado á todos los Intendentes, excepto ai de esta provincia de Maddd, por estar conociendo de los particulares de que trata los Mi nistros D. Sebastian de Torres, D. Tadco Segundo Gómez y 0. Manuel de Torres Cónsul.</t>
  </si>
  <si>
    <t>Gómez, Tadeo Segundo</t>
  </si>
  <si>
    <t>Tadeo Segundo Gómez</t>
  </si>
  <si>
    <t>…adrid j de Octubre. El dia 21 de Julio último tuvieron el honor de felicitar y besar la ma no de S. M. y AA. á nombre del ayuntamiento de la ciudad de Teruel en el reyno de Aragón D. Tadeo Segundo Gómez, ministro del supremo Consejo de Hacienda; D. Tadeo Francisco Caiomarde, oficiil mayor de la secreta ría del Despacho universal de indias;, y D. Francisco Assin, teniente de corregidor de esta villa; el primero de ios quales dixo: „ Señor: restablecido ~él an…</t>
  </si>
  <si>
    <t>Gómez-, Bartolomé Canje</t>
  </si>
  <si>
    <t>Bartolomé Canje Gómez-</t>
  </si>
  <si>
    <t>…n. En virtud de providencia dt 1 Sr. Dr. D. Juan de Dios Agüéis?, alcaide m^yor de la ciudad de S. Ferntrdo, en expediente que sigue en su juzgado por la escriba nía del número de D. Bartolomé Canje Gómez-, áinstancia dd convento de reion* jas de la Enseñanza de la misma , sobre nombramiento de ^dministrador de ios bie nes quedados por el fallecimiento de ia- hermana María Micaela Bogantes, rcligid* :$a que fue en el misino convento , se ha señalado el dia 7 de…</t>
  </si>
  <si>
    <t>Gon</t>
  </si>
  <si>
    <t>466</t>
  </si>
  <si>
    <t>…itarse el zelo de los profe-: sores de la facultad-, al mismo tiempo que el de las. seóoras'de Cádiz con el objeto de que; tomasen-i sií.cargo el ¿cuidado de esta sala. -i ,.r: El Sr. Gon»aie?í,.rhadépdo'prei&gt;enteiia necesidad i que; había de propor*# cionar á ios&gt;pofcne&amp;*dé:ísqiemuidadtJa «nsónanza gratuita s.de primeras letras? presentó un plan general ó sistema dé escuelas púb icas, en las que se ense-&gt; ñasen las primeras letras á todos los…</t>
  </si>
  <si>
    <t>Gon, Cárlos Santos</t>
  </si>
  <si>
    <t>Cárlos Santos Gon</t>
  </si>
  <si>
    <t>les, presbítero, 12: el diácono D. Bartolomé Manrique i-o: el coronel Don José Menaut 25: el capitán D. Santiago Agesta 25 : D. Cárlos Santos Gon zález 25: el capitán D. Francisco Valdes de Velasco 10: D. Manuel Ages ta y Otamendi 40: D. Diego Ovanguren 12 : D. Juan Baptista Echegaray,, administrador de tabacos, 6: D. José Ncdar 12: D. Santiago Chaves y Villota 6: D. Tomas Castillo 6; y D. José Antonio…</t>
  </si>
  <si>
    <t>Gon, Felipe Ventura</t>
  </si>
  <si>
    <t>Felipe Ventura Gon</t>
  </si>
  <si>
    <t>…Cuenca, que lo está por muerte de D* Juan Josef Tenajaá, á D Ramón María de Adurriaga» canó nigo de la derBúrgos: para el de h cátedra! de -Córdoba, vacañite por falle cimiento de D. Felipe Ventura Gon¿alez, á D. Pedro&amp;zñarv’cura que'hal sido de HoTtaleza, y actualmente de-Tá parroquia de S.ÍPedro dé esta corte; y. para el arcedianato titular de la ígltesia catedral de Ositiay vacante por muerte de D. Simón Aparicio y Torre, á D. Sinforiano Blanco y Martíne…</t>
  </si>
  <si>
    <t>Gon, José María</t>
  </si>
  <si>
    <t>José María Gon</t>
  </si>
  <si>
    <t>…s próximo pasado tuvo el honor de presentarse al Rey y besar su real mano y las deSS. A A. la ciudad de Siglíenza representada por D. Manuel Demetrio Lagünez, señor de Pozancos, y D. José María Gon zález Nieto, habiendo pronunciado ef primero un breve discurso, manifes tando á S. M., que preciándose seje de las primeras que habían levantado ei garito de la independencia, tenia-la satisfacción á pesar de das agitacio nes y miserias de sus habitantes,erra…</t>
  </si>
  <si>
    <t>Gon, Juan</t>
  </si>
  <si>
    <t>Juan Gon</t>
  </si>
  <si>
    <t>…ertación, en el que se demues tra la antigüedad y. piedad de las velas y lámparas encendidas á honra de Dios y en obsequio de Lasísimas imágenes.y reliquias : compuesto por el Dr. D. Juan Gon zález Villar, canóprtgpjectoral .y abad de SánGuihlermo, dignidad de la.santa igle sia catedral de León..—;i&gt;ypiemento ¿esta, obra, en. que principalmente se manifies tan los yerros y equivocaciones de la pastoral.del obispo de Avila, publicada? en nombre del…</t>
  </si>
  <si>
    <t>Gon, Pedro</t>
  </si>
  <si>
    <t>Pedro Gon</t>
  </si>
  <si>
    <t>…eron igualmente la honra de cumplimentar á S. M. en nombre de la sociedad patriótica de la Rioja los Sres. conde de Murillo y de Bornos, D. Ignacio de Marrón, D. joaquin de Osma y D. Pedro Gon zález Robles; diciendo el primero de ellos: „Señor: la sociedad de la Rioja castellana, representada por su diputa ción , que tiene la inexplicable satisfacción de felicitar á V. M. por la debi da restitución al trono de sus mayores, baxo cuyos soberanos ausp…</t>
  </si>
  <si>
    <t>Gon-, Gregorio</t>
  </si>
  <si>
    <t>Gregorio Gon-</t>
  </si>
  <si>
    <t>…o Briarli, distinguido, primero por sus méritos en sérricio de la Inglaterra, y luego por los que ha contraído en t 1 de Es paña, en cuya proposición está unido el activo y zeloso D. Gregorio Gon-* zalez Azaola. La primera empfesa que se proponen estos es la del corte del Borrego, tan importante á la seguridad de la ciudad de Sevilla , y á la qual se ofre cen contribuir con sus fondos varios sugetos acaudalados, nacionales y extrangeros, formados en co…</t>
  </si>
  <si>
    <t>Góngora, Cristóbal de</t>
  </si>
  <si>
    <t>Cristóbal de Góngora</t>
  </si>
  <si>
    <t>…lo executaban en el mismo año.as Tendreislo entendido, y dispondréis lo necesario á su cumplimiento. = Ru bricado de la real mano de S. M. = En palacio á 15 de Junio de 1814. = A D. Cristóbal de Góngora.*’ Y de orden de S. M. lo participo á V. S. para sa inteligencia y cum plimiento. Dios guarde á V. S. muchos años. Madrid 16 de Junio de 1814. Deseando S. M. asegurar la subsistencia de sus exércitos, marina y pre sidios, y persuadido de la necesidad y conven…</t>
  </si>
  <si>
    <t>…s de la contribución y gravamen impuestos por los mismos decretos. Tendreisío entendido para su cumplimiento. == Rubricado de la Real mano. = En Palacio á 24 de Junio de 1814. = A D. Cristóbal de Góngora.” Y lo traslado á V. S. de Real orden para su inteligencia y cumplimien to, Dios guarde á V. S. muchos años. Madrid 24 de Junio de 1814. 1 2.a Con esta fecha comunico á la Dirección general de Rentas la Real orden siguiente: ,, Enterado el Rey nuestro jSeñor…</t>
  </si>
  <si>
    <t>…lo necesiten los títulos competen tes. Tendreislo entendido, y !o comunicareis á quien corresponda. = Seña lado de la Real mano dt* S. M. = En Palacio á 11 de Agosto de 1814. = A D. Cristóbal de Góngora.</t>
  </si>
  <si>
    <t>…á este mi decreto. Tendreislo entendido, y lo comunicareis á quien cor responda para su cumplimiento. = Señalado de la Real mano de S. M. = En Palacio á 11 de Agosto de 1814. = A D. Cristóbal de Góngora. El Rey sA ha servido nombrar para una canongía de la santa iglesia me1tropolitana d¡ Toledo, vacante por fallecimiento de D. José Ibmez, á X&gt;9o Pedro Morejon; para otra canongía de la santa ig.esia metropolitana déS?villa, vacante por fallecimiento de D. Fra…</t>
  </si>
  <si>
    <t>. . 959 La Real junta de hospitales General y Pasión de ésta corte ha recibido por el ministerio de Hacienda, al cargo del Excmo. Sr. D. Cristóbal de Góngora, ia Real órd'en siguiente: ; Con esta fecha comunico al Excmo. Sr. marques de las Hormazas lo si guiente: „ Excmo. Sr.: teniendo el Rey en consideración el zelo y ardiente ca ridad, que por tan dilatados.años ha éxercitado V. E. en los hospitales Ge neral y P…</t>
  </si>
  <si>
    <t>…por mi Real resolución dada á ella, y su tenor es como se sigue. {Se continuará.) ,, En consideración á la quebrantada salud de mi Secretario de Estado y del Despacho de Hacienda D. Cristóbal de Góngora, y á las reiteradas instancias con que por este motivo me ha pedido que le admita la-dimisión que tiempo hace tiene hecha de la Secretaría de aquel Despacho, he veni do en acceder á ellas; y he nombrado para que la desempeñe interinamen te á mi Consejero de E…</t>
  </si>
  <si>
    <t>Gongora, Francisco Amonio de</t>
  </si>
  <si>
    <t>Francisco Amonio de Gongora</t>
  </si>
  <si>
    <t>juez de la provincia de Toledo se habla presentado en^e! camino á felicitar á S. M. el intendente de la provincia D. Francisco Amonio de Gongora, acompañado de algunos gefes y empleados de real Hacienda, el qual, ha biendo tenido S. M. la dignación de detenerse, arengo en los términos si guientes: „ Señor: el intendente fcn comisión de vuestra provincia de Madrid, con los empleados en sus reales renta…</t>
  </si>
  <si>
    <t>Góngora, Francisco Antonio de</t>
  </si>
  <si>
    <t>Francisco Antonio de Góngora</t>
  </si>
  <si>
    <t>…inten-f dencias de exército y provincia de Valencia reunidas, ,en los&lt;mismos térmi nos que lo estuvieron antes, al contador de exército é intendente en comi sión de esta provincia D. Francisco Antonio de Góngora, en atención á sus buenos servicios y al aprecio que de ellos ha hecho S. M. El Rey nuestro Señor se ha servido expedir el real decreto siguiente: : „ En consideración al lastimoso estado de salud y avanzada edad en que se halla constituido D. Diego Alarcon L…</t>
  </si>
  <si>
    <t>Góngora, Josef Éorbiu y</t>
  </si>
  <si>
    <t>Josef Éorbiu y Góngora</t>
  </si>
  <si>
    <t>…, D. Dionisio Gis— bert y Moho, B. Juan Bonilla y D. Juan Saborído: el segundo á 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t>
  </si>
  <si>
    <t>Gonsalvi</t>
  </si>
  <si>
    <t>…das de flores que campeaban entre ricas colgaduras. Esta noche todasiascasas están iluminadas con un gusto y profusión de que no hay exempio. GRAN BRETAÑA. Londres 2d? Julio. ' El cardenal Gonsalvi, nuncio de S. S. , ha sido introducido Jhoy por el vizconde Castlereagh á la presencia de S. A. R. el Príncipe Regente, quien lo ha recibido con la mayor afabilidad. En esta primera audiencia ha entre gado sus credenciales. .Asimismo han sido hoy admitidos á…</t>
  </si>
  <si>
    <t>…ivos quedarán suprimidos, y se tratará lo más pronto posible de la or ganización de los obispados y arzobispados de Alemania. Se ha convenido en consultar sobre este particular al cardenal Gonsalvi y á otros varios ecle siásticos distinguidos por su sabiduría y sus Virtudes que se hallan en el día en VSenae Los arzobispados y obispados de Colonia, Tréveris, Wurtzburgo, Bamberg, Passau, Fulda y Osnabruck están vacantes. El tratado de paz entre Rusia y Di…</t>
  </si>
  <si>
    <t>Gonstanrrno</t>
  </si>
  <si>
    <t>…*2fj) -secretarios, '3733 mugeres, 8891 criados, y 517064 soldados. ... "PRUSIA. Berlín ¿&gt; de Junio. En la noche del 31 de'Máyo il'r i° ¿de Junio de París en calidad de icorreo el conde Gonstanrrno deStolberg-Wernigerode para traernos la no ticia de haberse hecho la .paz el ími$fno*dia 31 en aquella capital. Llegó- el‘^7 % las 5 de la tarde , precedido de 24 postillones tocando sus cornetas , ry es coltado por varios desrácaitiéutos de la guardia cívica…</t>
  </si>
  <si>
    <t>Gonzá, Francisco Antonio</t>
  </si>
  <si>
    <t>Francisco Antonio Gonzá</t>
  </si>
  <si>
    <t>…ero: para el beneficio simple servidero de la iglesia parro quial de la villa de Moron , en el arzobi pado &lt;le Sevilla, vacante por muer te del expresado D. José López de Perea, á D. Francisco Antonio Gonzá lez del Campillo: paraje! beneficio de la parroquia de S. Salvador de Reque-</t>
  </si>
  <si>
    <t>Gonza, Ildefonso</t>
  </si>
  <si>
    <t>Ildefonso Gonza</t>
  </si>
  <si>
    <t>…dona á D. Juan José Mal dona dos paca el corregimien to de Coria 4 D• Félix Erizo y Morales: para el de Arcos de ia Frontera á D- José Bravo y Tortees: para la vara de Alberique á D. Ildefonso Gonza lo Moron: para la de Pastrana á D. José Ruiz de Torre Milano % para ia de Torre la Vega á B. Vicente Manuel de la Hoz: para el corregimiento de Aranda de Duero a D. Sebastian Muñoz de Perlacia: para las plazas d,e oidores de ta chancillería de Valladojid, vac…</t>
  </si>
  <si>
    <t>González, Anselmo</t>
  </si>
  <si>
    <t>Anselmo González</t>
  </si>
  <si>
    <t>…,r, abogado-de lo*.consejos nacionales/y de-sudlusíre colegio, y la presencia de E&gt;. Juan José Rubio, escribana público de su,: número, en los autos de testamentaría concursada de D. Anselmo González, vecino y.del comercio que Fué de la citada ciudad, su fecha 25 de Febrero de este año , se man da citar y emplazar á todos los acreedores é individuos que se titulen con derecho al referido concurso, pafa que en el término de dos años, contados desde este di…</t>
  </si>
  <si>
    <t>González, Benito Saenz</t>
  </si>
  <si>
    <t>Benito Saenz González</t>
  </si>
  <si>
    <t>…sangre, obtenida en 1733 » vecino queÍ&gt;or D. José Romero de. Tejada y Artacho, natural de Madrid bé y hacendado en la. villa, de Ccgoíludo; y hallándose hoy en el del licen ciado D. Benito Saenz González , residente en dicha corte, c¿He ancha de Majaderitos, núm. 20» quarto baxo interior» se avisa á la persena legítima descendiente de dicho D. José» á quien pertenezca su propiedad, para que acuda á« entregarse de dicho documento» que será entregado ii mediata…</t>
  </si>
  <si>
    <t>González, Dionisio Rodríguez</t>
  </si>
  <si>
    <t>Dionisio Rodríguez González</t>
  </si>
  <si>
    <t>…s Dolores García M»yor dp Londono, á efecto de acreditar los derechos que á dicho vínculo puedan co'réspond:r¡es, acud irán á deducirlos* la ciudad del Puerto de Sta.'Ma ría, ante D. Dionisio Rodríguez González, alcalde mayor de ella, y escribanía de D. Rafael Reyrioso, donde penden los autos. ' ' Los subscriptores á la historia de la revolución de Francia pueden acudir á re coger los tomos 7.0 y 8.°, y adelantar el importe del 9.0, en el almacén de papel de D. Sant…</t>
  </si>
  <si>
    <t>González, Francisco</t>
  </si>
  <si>
    <t>Francisco González</t>
  </si>
  <si>
    <t>…quesa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 Alonso, D: Francisco Alonso, D. Antonio Bera2a y D. Josef Baseoni, fugados con el gobierno intrusó, par…</t>
  </si>
  <si>
    <t>González, Gerónimo</t>
  </si>
  <si>
    <t>Gerónimo González</t>
  </si>
  <si>
    <t>…a los cons criptos refractarios, sus padres, desertores, autores y cómplices de conscrip ción y de deserción. ESPAÑA. Peñaranda de Bracamonte, provincia de Avila, jo de Noviembre. D. Gerónimo González, después de haber viajado fuera de España con el noble objeto de adquirir nuevas luces y conocimientos en el arte de la reloxería, acaba de establecer en e-sta villa un obrador, en el qual no sola mente trabaja reloxes comunes para bolsillo, de cilindro y rep…</t>
  </si>
  <si>
    <t>González, Jacinto Santiago</t>
  </si>
  <si>
    <t>Jacinto Santiago González</t>
  </si>
  <si>
    <t>2*93 ¡ g!om á la lealtad de los americanos! ¡y: gloria y felicidad' á nuestro adora do Soberano Fernando vn el Deseado! Madrid 2i de Diciembre. El dia 29 de Agosto tíltimo D. Jacinto Santiago González* vecino de la villa y puerto de Santoña, tuvo el honor de felicitar y besar la.«ano á S. M. arengando en los términos siguientes: „Señor: vuestra villa y puerto de Santoña, deseosa de felicitará V. M. por la feliz y deseada libertad de su cautiverio y exaltac…</t>
  </si>
  <si>
    <t>González, Josef María</t>
  </si>
  <si>
    <t>Josef María González</t>
  </si>
  <si>
    <t>…teniente coronel D. Benito Villuela, te niente coronel del regimiento de infantería 2.0 de Soria"; y la secretaría de U capitanía general de Castilla la Nueva al capitán retirado D. Josef María González , que la servia interinamente. Sistema ó curso completo de Cirugía, por el.célebre Benjamín Bell; traducido del ingles al castellano de la íiltima edición corregida por el autor por D. Santia go García: reimpreso en cinco tomos en quarto con 100 estampas, y a…</t>
  </si>
  <si>
    <t>González, Juan de Dios</t>
  </si>
  <si>
    <t>Juan de Dios González</t>
  </si>
  <si>
    <t>…lderón. En el de infantería de Valdivia sargento mayor á D. Lucas Ambrosio de Molina; capitanes á D. Diego Adriarola y D. Esteban de Albarracin; te nientes á D. Antonio Adriasola, D. Juan de Dios González, D. Francisco Buenrostro, D. Rafael Barril y D. Manuel de Lorca ; subtenientes á Don Santiago Asen jo, D. Domingo Ulloa y D. José Justo Flores y D.-Anselmo Carabantes, y subtenientes de bandera á D. Juan Francisco Echeneguí y D. Miguel, Lara. En el de Volunta…</t>
  </si>
  <si>
    <t>González, Juan Gualberto</t>
  </si>
  <si>
    <t>Juan Gualberto González</t>
  </si>
  <si>
    <t>…Francisco Requena. = D . Josef Pablo Valiente. = D. Antonio Gamiz. = D. Antonio López Quintan i. = Don Francisco de-la-Vega.nD. Francisco de Arango. = D. Francisco Ibañez Leyva. = D. Juan Gualberto González, Fiscal. = D. Estéban Varea, Secre tario-= Sala segunda de Gobierno. = D. Pedro Aparíci. = Conde de TorreMuzquiz. = D. Ignacio OmulrriannD. Cayetano Urbina. = D. Juan Ro bledo. = D. Francisco Xavier Caro. = D. Josef Aycinena. = D. Antonio Cal derón , Fiscal.…</t>
  </si>
  <si>
    <t>González, Juan Manuel</t>
  </si>
  <si>
    <t>Juan Manuel González</t>
  </si>
  <si>
    <t>…Don Juan Bautista Emparan, a D. José María Andion y Saavedra; y para la prestamera de la parroquia de Sta. María de CUdavedo, en la diócesi de Oviedo, vacante por fallecimiento de D. Juan Manuel González, á D. Faus tino García Loredo. , En virtud de despicho requisitorio librado por el juez de letras de la ciudad de Sevilla D. Juan Perez de Mafure , refend.ido por el escribano D. Antonio Domincriif*.7 - V ciimnlim^ntsi-ln r,r\r C. O C--------i * , . , i, pe n…</t>
  </si>
  <si>
    <t>González, Manuel</t>
  </si>
  <si>
    <t>Manuel González</t>
  </si>
  <si>
    <t>…idad del reyno.” El dia 8 del mismo tuvo también el honor de cumplimentar y besar la mano á S.M. y AA. una diputación de la insigne iglesia colegial de Talayera, compuesta del Dr. D. Manuel González, canónigo de ella, y el Dr. D. Se bastian Sobrino, visitador eclesiástico del partido de Madrid; y el primero tomando la palabra dixo: ,, Señor: el cabildo de la iglesia colegial de-Talayera, cuyo renombre pasará con admiración á la posteridad por haber sido…</t>
  </si>
  <si>
    <t>González, Manuel Maria</t>
  </si>
  <si>
    <t>Manuel Maria González</t>
  </si>
  <si>
    <t>…mpuesta de D. Miguel Martínez Cano, caballero profeso del hábito de Calatrava; del Dr. D. Mariano Rufi no González, corregidor por S. M. de la villa de Tarazona de la Mancha, y de D. Manuel Maria González, vecino de la expresada villa del Toboso; el primero de los quales dirigió á S. M. el discurso-siguiente: ,,Señor: la villa del Tobóso, en la benemérita provincia de la Mancha, no satisfecha con los sentimientos de lealtad que expresó á V.M. al tiempo de su t…</t>
  </si>
  <si>
    <t>González, Mariano</t>
  </si>
  <si>
    <t>Mariano González</t>
  </si>
  <si>
    <t>…io cuerpo D. Bernardo Darquea. En el de milicias urbanas de infantería de Abancay el empleo de sar gento mayor al capitán de granaderos D. José Santos; y compañías á los tenientes D. Mariano González, D. Gregorio Alagon, D. Mariano Cevallos y D. José Fernandez Peredo. En el de Chachapoyas subtenencia de bandera al sargento primero Don Diego Roldan. En el de León de Huanuco compañía de granaderos al de fusileros Don Francisco Ingunza: compañías de fusilero…</t>
  </si>
  <si>
    <t>González, Martin</t>
  </si>
  <si>
    <t>Martin González</t>
  </si>
  <si>
    <t>…D. Anselmo de Rivas. Por Togado..i........ D. Esteban Antonio de Orellana. Por Político........... Ai Coronel D. Francisco Antonio Diz. Fiscal militar........ Al Mariscal de Campo D. Martin González deMenchaca# JA D. Luis Bertrán, Oficial mayor primero de mi Se¿tere ano...............^ cretaría de Estado y del Despacho de la Guerra. Sala de Justicia. rk D. Guillermo de Vargas. 1A D. José Pagóla. , J A D. Ramón Navarro Pingarron. Togados..................…</t>
  </si>
  <si>
    <t>González, Martin Manuel de Santa María y</t>
  </si>
  <si>
    <t>Martin Manuel de Santa María y González</t>
  </si>
  <si>
    <t># 2243 vacante :pór promocio'n ;dé D; Andrés Carria$ dé Santa Cruzá la dignidad .de tesorero de la de Mondoñedo, á D. Martin Manuel de Santa María y González, cura propio de S; Miguel de la villa de Cueílar en el obispado de Segovia: para la dignidad de prior curada de la iglesia colegial de ..fielmonte, en la diócesis de Cuenca y vacante por fallecimiento del Dr. X&gt;. Jo sé Manuel de A Ibero , á D. Felipe Martin M…</t>
  </si>
  <si>
    <t>González, Mateó</t>
  </si>
  <si>
    <t>Mateó González</t>
  </si>
  <si>
    <t>…villa de Mondejar en el arzobispado de Toledo , vacante por muerte de D. Eugenio;Ló pez Soldado , á D. Saturnino Legaspi: para ia media prestamera de Baylen, vacante pór muerte de D. Mateó González, á D. Juan Manuel Gil López de lá°Mota: para el beneficio préstamo de Fuente el Rey, vacante por fa llecimiento de Di Antonio Rbfcó Cajoneé, y la media prestamera de Sabiote, vacante también por liaber muerto D. Juan Mesía, los dos en el obispa*dó dé'Jaén, y…</t>
  </si>
  <si>
    <t>González, Pablo</t>
  </si>
  <si>
    <t>Pablo González</t>
  </si>
  <si>
    <t>…tado por la misma; D. Martin Muxica, diputado por Guamanga; D. Mariano Rivero, diputa do por Arequipa; D. José Joaquín de Olmedo, D. Vicente Rocafuerte, diputados por Guayaquil, y D. Pablo González, diputado por Tarma; de los quales el primero dixo : ,, Señor: ios que logramos el alto honor de presentarnos á V. M., hemos venido de las mas remotas y opulentas provincias de Ja Monarquía, animados por los mismos sentimientos de fidelidad, amor y respeto á…</t>
  </si>
  <si>
    <t>González, Pedro</t>
  </si>
  <si>
    <t>Pedro González</t>
  </si>
  <si>
    <t>…otra plaza dirigirán sus memoriales á su único alcalde ordinario D. Manuel Sainz. . Se desea saber el paradero de Doña Juana Escarza', ama de gobierno que fué en.el año de 1808 de D. Pedro González, comandante del resguardo de Vitoria. La persona que supiese su paradero se servirá comunicarlo en el almacén de aceyte de la plazuela de Sto. Domingo. Verd&lt;dera filosofía del alma, ó diario de meditaciones para todos los días de! mes, compuesto por el Dr. D.…</t>
  </si>
  <si>
    <t>…ropuso su general en gefe y presidente de aquella audiencia D. Toribio Montes, cuyas gracias se publicarán nominalmente luego que se expidan los correspondientes Reales despachos. D. Pedro González, cura párroco de Baltan, provincia de Orense, ha hecho al Rey el donativo de un recibo dado por el depositario de rentas de aquella provincia de 1500 rs. vn.: asimismo uno de los ministros del conse jo de S. M. ha hecho él donativo de los sueldos qne se le qu…</t>
  </si>
  <si>
    <t>González, Pedro García</t>
  </si>
  <si>
    <t>Pedro García González</t>
  </si>
  <si>
    <t>7¿l reda, y D. Pedro García González, procurador o diarero de la misma, co* mo representantes det ayuntamiento de esta villa y tierra; y ei primero dixo: „ Señor : el ayuntamiento de la villa y tierra de Septílveda, que tuvo el honor de disfrutar de la amable presencia de V. M., acompañándole en…</t>
  </si>
  <si>
    <t>González, Rafael Vázquez y</t>
  </si>
  <si>
    <t>Rafael Vázquez y González</t>
  </si>
  <si>
    <t>…íiAjAuipor su feliz restitución’al trono una diputación del ayuntamientOrde la i ■'■Mí N. y L. ciuiad de Córdoba, compuesta de Don Juan de Dios-Gutiérrez ;Rave, alcalde primero,'y D. Rafael Vázquez y González, regidor decano; el primero de los 'quales arengó á S. M. en ios términos siguientes-:(J __ ,, Señor: Córdoba i L R. P. de V. M. le rinde el mas sincero homena ge de su leáitady ño dexando. de. recordar la dulce memoria que ofrecen los campos y Puente de Alao…</t>
  </si>
  <si>
    <t>González, Salvador</t>
  </si>
  <si>
    <t>Salvador González</t>
  </si>
  <si>
    <t>…en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t>
  </si>
  <si>
    <t>González, Toaquin</t>
  </si>
  <si>
    <t>Toaquin González</t>
  </si>
  <si>
    <t>…ifi'Argiiel les y D. Miguel Ordoñez. La Regencia del Reyrió se Ki servido conferir el empleo de coronel del regimiento de de Burgós 'ai de la misma telase del 2.0 de -igual nombre D. Toaquin González -de Mench&amp;ca; el de‘ Cariñena al brigadier D. Josef Antonio Sanz, coronel comandante del extinguido de Velez-Múlaga; el dei de infantería ligerifde voluntarios cazadores* de Castilla al bri gadier D. Francisco Xavier Cornel, coronel agregado al 2° de Mallorca…</t>
  </si>
  <si>
    <t>González, Tomas</t>
  </si>
  <si>
    <t>Tomas González</t>
  </si>
  <si>
    <t>…á S. M. era compuesta de los Dres. D. Toribio Nuñez Sesíé, su bbiotecario mayor; D. Pedro Tiburcio Gutiérrez, catedrático de leyes; D. Miguel Marcos . catedrático de filosofía, y D. Tomas González, encargado de la de elocuencia. Acompañaban á la diputación los Excmos. Sres. duque de S. Carlos, marques de Cerralbo y marques de Alcañices , co mo conservadores de la univetsidad , y como individuos de su gremio y claus tro, residentes á la sazón tn esta co…</t>
  </si>
  <si>
    <t>González, Toribio</t>
  </si>
  <si>
    <t>Toribio González</t>
  </si>
  <si>
    <t>…ales á D. Felipe Baraybar y D. Juan Ramón Matute. En Ultra mar para la canongía de ia iglesia catedral de Guadalaxara á O. José Manuel Sanmartín; para ración en la misma iglesia á D. Toribio González, y para media ración á D. José Miguel Ramírez. Igualmente se ha servido nombrar pata una ración en la iglesia metropolitana de Lima á D. José Antonio Hur tado, y para media-ración en la misma iglesia á D. Carlos Overa y Olaortua. A: imismo ha nombrado S. A. p…</t>
  </si>
  <si>
    <t>Gonzalo, Leandro</t>
  </si>
  <si>
    <t>Leandro Gonzalo</t>
  </si>
  <si>
    <t>…ue La fiel Aranda'y sus; representantes apetecen;’’ , ■ u- ' - .. . . .o Al día siguiente él mariscal de campo de los reales1 exércitos D. José Joaquín Duran y Barazabal; y el Dr. D. Leandro Gonzalo, doctoral de la Encarnación de esta corte, tuvieron igualmente el honor de besar la mano y cumplimentar á S. M. y AA., como comisionados pór las villas de Aimazan y Cefvera de la prov-ineia de Soria; el primero de tos quales dixo: •! - ■"&gt;, Señór: la-s-vilias…</t>
  </si>
  <si>
    <t>Gor.riz, José</t>
  </si>
  <si>
    <t>José Gor.riz</t>
  </si>
  <si>
    <t>…heridos. Los franceses han tenido bas tantes, pues lie" visto conducir algunos á la plaza. Dios guarde á V. S. mu chos anos., San Miguel 28.de.Febrero de 1814. = Fermín Argaiz. = Sr. Don José Gor.riz. = Lo que comunico á V. S. para su inteligencia. San Juan el Viejo Marzo i.° de, 1814. == José Gorriz.— Sr. general D. Francisco Espaz y M^na, ARTICULO DE OFICIO. La Regencia del Rey no , en consideración al distinguido mérito que ha contraido en servicio de…</t>
  </si>
  <si>
    <t>Gordiano, Manuel</t>
  </si>
  <si>
    <t>Manuel Gordiano</t>
  </si>
  <si>
    <t>…han combatido en este día lo han hecho á satisfacción de Gándara , y son: el teniente de cazadores Don Bernardo Collantes, del batallón del Sur; el de la misma clase de fusileros D. Manuel Gordiano, el comandante de patriotas de Huizuco D. Manuel Castrejon, los subtenientes del expresado batallón D. Bernabé Villanueva y D. Justo Romero, el de patriotas de dicho pueblo D, Francisco Carrion; y se han singularizado de un modo distinguido los cabos de patri…</t>
  </si>
  <si>
    <t>Gordon</t>
  </si>
  <si>
    <t>…las nobies artes unidas, tesorero efectivo de S. M. I. R. y A-., ministro de Estado de las conferencias, y mi nistró1 de Negocios extrangeros: y S. M. el rey de la Gran Bretaña al lord Gordon, conde de Aberdeen , vizconde Fermartine, lord Haddo, Melblie, Jervis y Kellié &amp;c., uno de los* 16 pares de Escocia , caballero de la anti quísima y mobilísima orden del Gardo, tu enviado extraordinario y ministro plenipotenciario cerca de S. M. I. R. y A;.;…</t>
  </si>
  <si>
    <t>…comuniquen, para apodar yo en su- consecuencia ar— reglar mis procedimientos.^Wellingtjóru - ...» ■ ’ : ' ,• . ... :Ov í¿ '■ -* ' ■ .• • 1 Sr.’ mariscal t • . ,¡ '• . H U . ,t El&gt; coronel Gordon me ha entregado ,1a carta qíie E&lt;. mehatiecho honor de escribir. Siento mucho» que V. ,E. ho haya adoptado Ta proposi-* cion que le hice dé ún armisticio con el fin de .cerciorarme de los aconteci mientos qué me fueron anunciados. He hecho sobre este asunto m…</t>
  </si>
  <si>
    <t>Gordon, Francisco de</t>
  </si>
  <si>
    <t>Francisco de Gordon</t>
  </si>
  <si>
    <t>…or providencia del Sr. O. José Tagle Bustamante, teniente gobernador y ase sor del Real sitio de Aranjuez, se cita, llama y emplaza a los que se hallen con derecho á los bienes de D. Francisco de Gordon, vecino que fue y del comercio de dicho sitio, para que en el término de 30 dias, contados desde este anuncio, comparezcan ante dicho señor, y por Ja escribanía de! juzgado y gobierno que re genta D. José Arenas Monteaiegre, á deducir sus acciones y legitimar…</t>
  </si>
  <si>
    <t>Górdon, Jorge</t>
  </si>
  <si>
    <t>Jorge Górdon</t>
  </si>
  <si>
    <t>…del regimiento de milicias de Londonderry , y su principal secretario de Estado, teniendo á su cargo el departamento de los negocios extranjeros, ¿kc. &amp;c. &amp;c. ■ ' ^ ,• - -• ’ El .Sr. Jorge Górdon, conde de Aberdeen, vizconde de Formantine, lord Fiado , Methlic, Tarvis y Kellié &amp;c,, uno de los 16 pares, représen^tante de la Escocia en la cámara alta, caballero de su,muy antigua :-ytmiiy noble orden del Cardo, su embaxador extraordinario y plenipotencia…</t>
  </si>
  <si>
    <t>Gordon, Roberto</t>
  </si>
  <si>
    <t>Roberto Gordon</t>
  </si>
  <si>
    <t>…y ministro plenipotenciario de la Gran Bretaña cer ca de S. A. R. el Príncipe de Orange Nassau , príncipe soberano de las Pro vincias-Unidas de los Países-Baxos, y le acompaña el caballero Roberto Gordon, como primer secretario de la embaxada. Extracto de varios oficios remitidos por el almirante Young d bordo del Invencible en el Roompot d ip de diciembre de 1813. Habiendo desembarcado el capitán Owen con las tropas de marina en la parte meridional de la isl…</t>
  </si>
  <si>
    <t>Gordort</t>
  </si>
  <si>
    <t>…por debaxo de la batería de Maryland, en don de se encontraba el conmódoro Perry, y por la artillería de la plaza man dada por el mayor Peter. Todos los buques de la esquadra del capitán Gordort y los barcos tomados en Alexandria han entrado en la bahía 1 ahora es menester esperar las crecientes del Patuxent y del Potomac para libertarse enteramente del enemigo. . líewrury xo de Setiembre. El enemigo desembarcó ayer unos 2$ hombres en Booth Bay, y to…</t>
  </si>
  <si>
    <t>Gore</t>
  </si>
  <si>
    <t>…nto que en el ataque.dado íL.ia plaza.de Berg-op-Zoom, se frustra ron nuestras esperanzas, habiendo tenido una pérdida considerable la pri mera división y la brigada del brigadier general Gore. Es inútil referir los motivos que me movieron á intentar la toma de aquella plaza por asalto; porque habiendo logrado dos de las columnas alo jarse en las murallas sin ana perdida considerable, parecía justificable el ries go que se corría en una empresa de…</t>
  </si>
  <si>
    <t>40 2 general Skerret y el brigadier Gore con la de la derechj; esta fue la pri mera que se abrió paso en el cuerpo de la plaza. Estas dos columnas tenían Orden de extenderse por la muralla, y juntarse lo mas pronto posible, y apoyar en Seguida la columna del centro, ó forzar la puerta de Ambérés. Un…</t>
  </si>
  <si>
    <t>…an visto obliga das á rendirse, y que marchaba con escolta á la ciudad. También supe la suerte del destacamento del teniente coronel Clifton , del mayor general Skerret, dei mayor general Gore y del teniente coronel Carleton , y que las tropas que mandaba habian padecido mucho, y habian sido rechazadas de los pumos avanzados en lo largo de la muralla adonde habian penetrado. Como yo estaba convencido de que prolongando el combate sacrificavia in út…</t>
  </si>
  <si>
    <t>Gorp</t>
  </si>
  <si>
    <t>…as órdenes del.teniente coronel Henry^.deL!2ri.“JL.Quarta,co¿ 1 um fia, del 44Í0, goo; granaderos y • cazadores -'deba 1V0 y 200; d&lt;¿l Rea],,óoo.i total 1100 ¿ á las del brigadier general Gorp, y dci téniente coronel CarlcJtom.'r&lt;.r Total de las rp ¡ «o 1 fuerzas.395Pi</t>
  </si>
  <si>
    <t>Gorrín, José</t>
  </si>
  <si>
    <t>José Gorrín</t>
  </si>
  <si>
    <t>$72 de 1814, =f Ff+ww Argaiz.'zzSr., D. José Gorrín. — Y yo lo hago á V. en cumplitnieijtq de mi obligación. San Juan ei Viejo Febrero 26 de 1814.=: José Gorrzz. == Sr. general i&gt;. Francisco Espoz y Mina. Los franceses en numero de 2}o á 300 han salido de U plaza de San juan á sostener los paisanos que en nume…</t>
  </si>
  <si>
    <t>Gorriz, José</t>
  </si>
  <si>
    <t>José Gorriz</t>
  </si>
  <si>
    <t>…puerta donde hay empalizadas y fosos. S. Juan el Vi jo i.° de Marzo. Partes dirigidos al mariscal de campo T&gt;. Francisco Espaz y Mina por (l comandante interino del 6.° regimiento D. José Gorriz. i.° Cotí arreglo á las intenciones del Excmo. Sr. duque de Ciudad-Rodrigo salí de Err^zu el dia 14 del corriente con los tres regimientos que compo nen la brigada de mi mando, y me dirigí á Baygorry, en cuyo pueblo en tré sin encontrar ninguna oposición, y d…</t>
  </si>
  <si>
    <t>Gorrlz</t>
  </si>
  <si>
    <t>. .. . . 2035 cidos por sn coronel Gorrlz con toda la tropa en la noche anterior hasta las inmediaciones de Pamplona, llevando escalas para asaltarla, ofreciéndo les qoatro pagas de parte del general Espoz Mina; pero este cuerpo, reves* tido de honor, no queriendo obscurecer la gloria tan dignamente…</t>
  </si>
  <si>
    <t>Gorvea, Lorenzo de Palacio y</t>
  </si>
  <si>
    <t>Lorenzo de Palacio y Gorvea</t>
  </si>
  <si>
    <t>…cante por muerte de D. Evaristo Vejarano. D. Miguel Fernandez Portal, vecino de Puerto de Vega, ha hecho á S. M, el donativo gratuito de 320 rs. tu. en una letra á la vista contra Don Lorenzo de Palacio y Gorvea, sintiendo-que sus facultades ro le permitan mayores demostraciones de su respeto y amor al Soberano. S. M. se ha dig nado admitir este donativo; y en prueba del aprecio que le merecen los sentimientos de fidelidad del D. Miguel Fernandez Portal, ha mandado q…</t>
  </si>
  <si>
    <t>Goúy, Joaquín.Palacios y</t>
  </si>
  <si>
    <t>Joaquín.Palacios y Goúy</t>
  </si>
  <si>
    <t>…e Albudeyte, conde de Puñonrosfro, conde de Villamarciel , duque de Villahermosa , marques de Benamexí, conde de Motezuma, conde de Orgaz, y duque de Abrantes. Jdem con entrada. A D. Joaquín.Palacios y Goúy, á X&gt;. José María de Tinco, y al mar ques de Vista florida. Mayordomos de semana. A D. Juan Obando, marques de Santa Coloma, I&gt;. Melchor de Mon— toya , y D. Manuel de Castro. Cruces pensionadas de la Real y distinguida orden española de Cárlos III, Al conde d…</t>
  </si>
  <si>
    <t>Goveo, Antonio Díaz</t>
  </si>
  <si>
    <t>Antonio Díaz Goveo</t>
  </si>
  <si>
    <t>…cibimiento que pasado sin haberlo hecho, sin mas citación ni emplazamiento, se procederá en el mismo asunto como corresponda en justicia , y la parará el perjuicio que haya lugar. D. Antonio Díaz Goveo, natural que fue de está corte, y habitante en ella , y sú calle de S. Pedro , núm. 1.6, quarto entresuelo , de edad de 58 años , de estado solte ro , hijo de D. José y de Doña Antonia Gutiérrez Alvarez, falleció en el hospital General de la misma, sin consta…</t>
  </si>
  <si>
    <t>Goycneche, María Antonia de</t>
  </si>
  <si>
    <t>María Antonia de Goycneche</t>
  </si>
  <si>
    <t>…de Saracoiz, Doña María Concepción Antonia de Umendia, D. Vi cente Joaquín de Barrutia, Doña Josefa Joaquina de Aizolares, D. Joaquiu María ¡BarróeVi , Doña María Teresa Faraudo, Doña María Antonia de Goycneche é Indaburu, con el citado consulado de Cádiz sobre paga de los réditos de los capita les qde le prestaron sus causantes ; y como hallándose estos autos suspensos, hecho ya é impreso el memorial ajustado, con citación, desde el año pasado de 1807, haya acudido…</t>
  </si>
  <si>
    <t>Goyeneche, José Manuel de</t>
  </si>
  <si>
    <t>José Manuel de Goyeneche</t>
  </si>
  <si>
    <t>…cedidos por el virey de Lima, y de que se había dado cuenta hasta aquella fecha á resultas de la formación del exército del Alto Perú, las que propuso Isil general en gefe que fue D. José Manuel de Goyeneche mientras lo mandó, las qúe-ocasionó después la' nueva organiza ción del mismo exército, las pro puestas por su actual general en gefe Don Joaquín de la Pezuela, á consecuencia de las brillantes batallas de Vilcapugio y Ayohuma, ganadas por aquellas bizarras t…</t>
  </si>
  <si>
    <t>Gpoké</t>
  </si>
  <si>
    <t>…qüe guia.de Berg— op Zonm á Ambéres, con el fin de estar pronto lá operar en ¡el ataque que te dispuso para'ayer. • .■&lt;: :i '• En Gapelle quedó de reserva la división del rtiayoi .general Gpoké , y la del mayor general M’Kenzié marchó por Ekeren y Done á Merxem, sin tocar en los caminos que ocupaban los prusianos. Mientras qiie'estos se ha llaban bastante empeñados en un combate á la Izquierda, la brigada del co ronel M’Leod mandada por él inferno,…</t>
  </si>
  <si>
    <t>Gqqzajez, Ramón</t>
  </si>
  <si>
    <t>Ramón Gqqzajez</t>
  </si>
  <si>
    <t>…ente de la Princesa. D.,feernando.^e;J.a^enríat.gapitagi de ingenieros. D. José. Ortega, teniente coronel , ayudare ¡ .secundo,fju/,es-j tado mayor. D. José Cieofuegos, id. de id. D. Ramón Gqqzajez^J^pe i3. D. Santos San Miguel, teniente coronel deí 2.0 de Asturias. D. Jos&amp;M^íía Noroa , sargento mayor de id. D. Diego Quirós, capitán de id. D. Tomas Pastoriza , teniente de id. D. Gumersindo Muros, subteniente de id. D. Benito Llórente, capitán del de Gua…</t>
  </si>
  <si>
    <t>Gr.tnb, Manuel Fernandez</t>
  </si>
  <si>
    <t>Manuel Fernandez Gr.tnb</t>
  </si>
  <si>
    <t>…ocederá a la declaración de herederos, y demas que haya lugar. En 2$ de Octubre de 1813 por parte del Exento. Sr. marques de Cerralbo so ocurrió al juzgado de primera instancia de D. Manuel Fernandez Gr.tnb ;a por la escribanía del número de D. Tomas de Sancha y Prado, manifestando no saber el paradero, ní quien es el dueño de la casa que dicho señor ocupo con su familia es la calle de Cedaceros, número 17, sin embargo de haberlo solicitado, para hacer en él la…</t>
  </si>
  <si>
    <t>Graells, Ignacio</t>
  </si>
  <si>
    <t>Ignacio Graells</t>
  </si>
  <si>
    <t>…Robledo. Proyecto y plan de reforma dirigido á promover los adelantamientos de la medicina, y m:jorar la suerte de sus profesores, igualmente que la de los enfer mos, por el Lie. D. Ignacio Graells, médico de la villa de Bañares. Se hallará á 6 rs. en la librería de Villareal, calle de las Carretas; en Búrgos en la de Revi lla; en Soria darán razón en la botica de Valderrama; en Sto. Domingo de la Cal zada en la de Montejo; en Logroño D. Nicolás Peral;…</t>
  </si>
  <si>
    <t>Gragcra, Toribio de Vargas y</t>
  </si>
  <si>
    <t>Toribio de Vargas y Gragcra</t>
  </si>
  <si>
    <t>…no perentorio y último de 50 dias precisos á lap personas que crean tener derecho á los bienes libres que queda ron por fallecimiento del mariscal de campo de los Reales ejércitos D. Toribio de Vargas y Gragcra, conie de la Torre del Fresno, para que acudan por sí 6 por medio de procurador a! concurso de acreedores mandado formar en los autos de la testamentaría del expresado conde, que penden en el tribunal de la capitanía general de Badajoz, por la escribanía de G…</t>
  </si>
  <si>
    <t>Graham</t>
  </si>
  <si>
    <t>…ra un año. Ademas el príncipe real no tiene ar tillería de batir. Parece sin embargo que Davoust quería capitular si le dexaban volver á Francia; pero se le negó. Se espera que el general Graham, luego que se apodere de Berg-opzoom, irá sobre Ambéres. Ha llegado una orden del emperador Alexandro para que se dirijan á Holanda 400 hombres de los de la esquadra rusa que está en Chatham.</t>
  </si>
  <si>
    <t>…einta hombres de las tropas de Badén, Hohenzollern y Lichtenstein. -.4 •. - '*'t (j N.i B R. :E T .A &gt;NbA¿ • * . - * v*.-*-Londres $ de Febrero. SECRETARÍA DE ' GUERRA. Ofi io del general Graham al conde Bathurst. Milord: híábiéndoand hecho saber el general Buíow, comandante en gefé deltercerCcuerpadél exército prusiano, que en la mañana del n de este mes se proponía arrojaratl;enemigo de Hoogstrateu y Wortel en el.Merk, para hacer un reconocimiento…</t>
  </si>
  <si>
    <t>…de Schwartzenberg y Metternich, se ha sabido que no se podía hacer paz con Bonaparte ¿n tér minos honrosos. _ Llegan diariamente convoyes de tropas y artillería de Inglaterra. El general Graham avanzó hoy, y luego que se rinda Berg opzootn, marchará el exército á Ambéres. Se supone que B^tz*. al,sur, d% Beveland, se rindió á las fuerzas mandadas por el capitán Oyven.___Se asegu ra que los franceses recibieron orden de evacuar el Brabante,; ío que pa…</t>
  </si>
  <si>
    <t>…s se oia mucho fuego ; la guarnición de aquella plaza se había disminuido mucho, por haberse enviado varios regimientos al interior. Asegúrase que el exército ingles, al mando del general Graham , se em barcará para dirigirse al sur de Francia; pues habiendo sido su objeto la se guridad de la Holanda, ya es superfino en aquel punto para este efecto. ESPAÑA. Jaca 20 de Febrero, Partes que ha dado el mariscal de campo D, Francisco Espoz y Mina al Exent…</t>
  </si>
  <si>
    <t>…ente ; por lo que se espera pronto una batalla. Una columna de franceses baxd á Pau. Idem 25. Dícese que han desembarcado en Burdeos 15® ingleses de los que man daba en Holanda el general Graham. Sarria 2$ de Febrero. La guarnición de Barcelona hizo antes de ayer una salida general; mas retrocedió escarmentada por un batallón de infantería y un esquadron de caballería españoles, un batallón calabrés, y algunas piezas inglesas. Los enemigos, que llega…</t>
  </si>
  <si>
    <t>Gramberg, Joaquín</t>
  </si>
  <si>
    <t>Joaquín Gramberg</t>
  </si>
  <si>
    <t>…trigo. Los pretendientes diri girán sus memoriales al cura párroco de dicha villa hasta el 24 del presente mes dé Diciembre. ; ; Se desea saber el paradero ó suerte que ha tenido D. Joaquín Gramberg* qué según noticias, después de haber estado de coronel agregado al estado tnivor de la plaza de Madrid, lo estaba á principios de 810 á la de Badajoz; y como desde es ta époch Ho.se tenga ya noticias ds él, se suplica á qualesquiera persona que pueda darlas…</t>
  </si>
  <si>
    <t>Grana, Marcelo</t>
  </si>
  <si>
    <t>Marcelo Grana</t>
  </si>
  <si>
    <t>…D¿ Antonio Agustiot. v. En el de Urubamba el empleo de teniente coronel al sargento mayor del propio cuerpo D. Miguel Espinosa. ^ E-n ei de Aragón de Jauja el empleo de coronel 3 D. Marcelo Grana dos , teniente coronel del mismo. En el batallón de Puno el empleo de coronel al teniente coronel del ¡pro-6 pió cuerpo D. Rufino Bercolme.</t>
  </si>
  <si>
    <t>Granados, Francisco Xavier</t>
  </si>
  <si>
    <t>Francisco Xavier Granados</t>
  </si>
  <si>
    <t>…de*i5) vecinos que pagan las visitas, excepto Jos po bres. Los pretendientes acudirán con sus memoriales en el término de dos meses, contados desde la fecha de esta publicación, á D. Francisco Xavier Granados, se cretario de ayuntamiento de la. misma. El sugeto que supiese el paradero ó suerte de D. Juan Bautista Sánchez y Ruiz, que en el año de 1808 se hallaba en Madrid, y es natural de la villa de Elche, en elfeynó'tfé'.Vfcléiieia, se*servirá avisarlo a su herma…</t>
  </si>
  <si>
    <t>Grant</t>
  </si>
  <si>
    <t>…erales de mas cré dito á tomar el mando en gefe. El mayor general Gibbs,del regimiento 52.0»; acompaña con un numeroso estado mayar á sir Pokenham á bordo de la St iíira. Ei mayor general Grant debe mandar ia caballería 9 con quien mar charán algunos otros oficiales generales. Siendo tan necesaria en Londres la presencia del lord Castlereagh para la abertura del parlamento, se supone que las principales conferencias del congreso se tendrán antes de…</t>
  </si>
  <si>
    <t>Gravina, Pedro</t>
  </si>
  <si>
    <t>Pedro Gravina</t>
  </si>
  <si>
    <t>…ha fallecido ,To manifieste á D. Pedro Zulaybar, vecino de Gijon , ó á D. Diego Crespo de Tejada", del comercio de Madrid, portales de Sra. Cruz. Man fie/to del arzobispo de Nicea D. Pedro Gravina, nuncio y legado de S. S., sobre las ocurrencias de su extrañamiento,^ se le agrega el apéndice de los documen tos que intervinieron, y se le^anade en esta impresión las dos cartas de 24 de Ma yo y de Junio, de las quatcS lá primera es del Excmo. Sr. duque de…</t>
  </si>
  <si>
    <t>…saber á Betancourt el aprecio con que S. M. acepta su generosidad, y que se ponga en la gaceta para su satisfacción. Atendiendo el Rey á los notorios méritos y loables prendas de D. Pedro Gravina, arzobispo de Nicea y nuncio de su Santidad en estos reynos, y mereciendo su Real aprobación y gratitud el constante zelo con que ha de fendido los derechos de la Iglesia, combatida por Ja libertad de opiniones ofensivas al altar y al trono, ha venido S. M. e…</t>
  </si>
  <si>
    <t>Gravina, Pedro de</t>
  </si>
  <si>
    <t>Pedro de Gravina</t>
  </si>
  <si>
    <t>…or zelo, esmero y atención. Madrid i.° de Oc tubre de 1814.” El Rey se ha servido conceder la gran cruz de la Real y distinguida orden Española de Carlos 111 al R. Nuncio de S. S. D. Pedro de Gravina, arzobispo de Nicea. El Rey se ha servido nombrar al Dr. D. Josef Ignacio Cortazar y Labayen, cura párroco de la iglesia matriz de la ciudad de Guayaquil, para el obispado de Cuenca en el Perú, vacante por fallecimiento del limo. Sr. D. Andrés Quintian y Pont…</t>
  </si>
  <si>
    <t>Grechow</t>
  </si>
  <si>
    <t>…Platow por la derecha del enemi go hacia Charmes á su retaguardia. Los franceses se retiraron ai avanzar ei príncipe de Wurtemberg, quien los alcanzó é hizo muchos prisioneros. El general Grechow , que mandaba la vanguardia del cuerpo del general Platow, cayó sobre el flanco del ene migo, que se iba retirando á Thaon , y le hizo muchos prisioneros. La arti llería del cuerpo del general Platow tuvo que detenerse algún tiempo por estar en mal estado los…</t>
  </si>
  <si>
    <t>Gregorio</t>
  </si>
  <si>
    <t>…ragones de Carabayllo tenencia al alférei D. Manuel Palacios; y esta resulta ai cadete D**Melchor Velasco. En el de Chota el empleo de teniente coronel al comandante de esqua dron D. Gregorio de la Torre; y esta resulta á D; Manuel Bernal, sargen to mayor del propio cuerpo. En el de Andahüaylaí compañíasf al ayudante D. Vicente Ámat y Men doza, á ios tenieiités D. Francisco Xavier Arévalo y D. Pedro Nolascó .Teilo, y al marques de Mozobamba: y ten…</t>
  </si>
  <si>
    <t>Grenier</t>
  </si>
  <si>
    <t>Num. 79. [ f quartos, ] r*7 GACETA DE MADRID DEL MARTES 31 DE MAYO DE 1S14. ITALIA. Milán 24 de Abril. El teniente general conde Grenier lia tomado el mando en gefe def exércuo de Italia de orden del príncipe Eugenio. El 16 de este mes se celebro-el siguiente convenio entre los exércitos de las potencias aliadas en Italia y el que está al mando del príncipe Eugenio. Los infrascritos, después d…</t>
  </si>
  <si>
    <t>Grenville</t>
  </si>
  <si>
    <t>…inguna mejoría en el trastorno mental." El Príncipe Regente irá mañana á hacer la abertura de la sesión del par lamento , y pronunciará el discurso acostumbrado. El conde Grey, el lord Grenville, Air. Ponsomby, Mr. Wishbread, Mr. Tierney, y todos los principales miembros de la oposición se hallan squi, y es regular que asistan á la abertura del parlamento. Se espera que la con currencia á las salas del parlamento sea extraordinaria. El estado actual…</t>
  </si>
  <si>
    <t>Greville</t>
  </si>
  <si>
    <t>…era briga da portuguesa del mando del brigadier general Archivaldo Campbell , la del mariscal de campo Robinson y la del de la misma clase Hay, actual mente al cargo del honorable coronel Greville. Hace particular elogio del mariscal de campo Hay, que manda la quin ta división, de los de la misma clase Robinson y Brádtord, del brigadier general Campbell, de los coroneles de Regoa y Greville, que mandan bri gadas, del teniente coronel Loyole, del regimi…</t>
  </si>
  <si>
    <t>Grey</t>
  </si>
  <si>
    <t>…dores de, Rusia y Aus tria y eí Rey de Prusia, así como el convenio concluido en 23 de Abril con el gobierno francés para la suspensión de hostilidades. En la cámara de ios pares, lord Grey , después de haber pedido que se presentase el tratado con cluido con la Suecia, y la orden dada para el bloqueo de los puertos de la Noruega, propuso que se señalase el dia 10 de Mayo para, la discusión de íoS objetos á que se referian estos documentos, y as…</t>
  </si>
  <si>
    <t>…dad; pero sin ninguna mejoría en el trastorno mental." El Príncipe Regente irá mañana á hacer la abertura de la sesión del par lamento , y pronunciará el discurso acostumbrado. El conde Grey, el lord Grenville, Air. Ponsomby, Mr. Wishbread, Mr. Tierney, y todos los principales miembros de la oposición se hallan squi, y es regular que asistan á la abertura del parlamento. Se espera que la con currencia á las salas del parlamento sea extraordinaria…</t>
  </si>
  <si>
    <t>Grifón, Luisa Robinet y Dominica</t>
  </si>
  <si>
    <t>Luisa Robinet y Dominica Grifón</t>
  </si>
  <si>
    <t>…ga la de mil duros: que D. Juan Doz, su hijo, lo haga de la de seiscientos.ducados: que D. Láza ro de Rada, D. Francisco Estanga, D. Manuel de Córdoba, D. Juan Bau tista Maygñen , Doña Luisa Robinet y Dominica Grifón, pague cada uno la multa de doscientos ducados, haciéndoles entender lo desagradable que me ha sido su conducta , y que no den lugar á que se sospeche mas de ella; pre viniéndose ¿ D- Salvador Colrmer observe el porte que corresponde en, el desempeño de su de…</t>
  </si>
  <si>
    <t>Grimaud', Santiago</t>
  </si>
  <si>
    <t>Santiago Grimaud'</t>
  </si>
  <si>
    <t>…los autos. ' ' Los subscriptores á la historia de la revolución de Francia pueden acudir á re coger los tomos 7.0 y 8.°, y adelantar el importe del 9.0, en el almacén de papel de D. Santiago Grimaud', calle de las Carretas; y los que quieran subscribirse dfc nuevo podrán hacerlo en dicho almacén; en Logroño en la librería de Brietna; eu Cuenca en ia de Alvarez de la Madrid; en Valladolid en la dedos hermanos San tander; en Pamplona en la de Asenjo; en Bar…</t>
  </si>
  <si>
    <t>Grimaud, Santiago</t>
  </si>
  <si>
    <t>Santiago Grimaud</t>
  </si>
  <si>
    <t>…e enterará. Los señores suscríptores á la Historia de la revolución de Francia se servirán acudir á recoger el 4.0 torno, y adelantar el importe del 3.0 *n el almacén de pa pel de D. Santiago Grimaud, calle de las Carretas, frente de la imprenta nacional. La venida de Fernando vii; canto heroyco, por D. José Mor de Fuentes. Se hallará en la librería de Castillo, frente á S. Felipe, y en la de Ramos, carrera de S. Gerónimo. MADRID EN LA IMPRENTA NACIONAL.</t>
  </si>
  <si>
    <t>…de la misma. Los subscriptores á ia historia de la revolución de Francia pueden acuílir á re coger el tomo 5.0 y-adelantar el importe del 6.° en Madrid $n el almacén de pa pel de D. Santiago Grimaud, calle de las Carretas, frente á la imprenta real. Estadística ó descripción geográfica y política del gran imperio de Rusia , tra* elucida ai castellano: obra superior á quantas se han publicado en su clase, la qual, ademas de presentar una idea histórica de…</t>
  </si>
  <si>
    <t>644</t>
  </si>
  <si>
    <t>…Manuel Sierra. Los subscriptores á la Historia de ia revolución de Francia podrán acudir á recoger el tomo 6.°, y adelantar el importe del 7.0, en Madrid en el almacén de papel de D. Santiago Grimaud, calle de las Carretas, frente á la imprenta real; y Jos que gusten subscribirse de nuevo podrán hacerlo en Madrid en el indicado al macén; en Logroño en la librería de Brieva ; en Cuenca en la de Alvarez de la Ma drid; en Vailadolid en la de la viuda é hijos…</t>
  </si>
  <si>
    <t>…es. Esta segunda impresión, aumentada con algunas notas, las publica un amante de su religión, de su rey y de su patria, que lo es S. A. M. R. Se.hallará en el almacén ds papel de D. Santiago Grimaud , calle de las Carretas, frente á la imprenta real. Su precio 4 rs. Nueva gramática de la lengua francesa y castellana, nuevo método para apren der el francés en poquísimas lecciones y casi sin necesidad de maestro: por D. Pa blo Antonio Novella, maestro de l…</t>
  </si>
  <si>
    <t>…D. Fernando vn (que Dios guarde) el intendente de Guadalaxara D. José López Juana Pinilla. Se hallará á 4 rs. en la librería de Ranz, calle de la Cruz; y en el almacén de papel de D. Santiago Grimaud, calle de las Carretas. _En la misma librería de Ranz se hallan de venta exemplares del tratado teórico-práctico de los juicios de contra bando , que en 1807 publicó el mismo autor. Un tomo en 4.0 á 16 rs. en rústica y 20 en pasta. EN LA IMPRENTA REAL.</t>
  </si>
  <si>
    <t>…a de encerados. Los subscriptores á la historia de la revolución de Francia pueden acudir á reco ger e! tomo g.° y adelantar el importe del io.° y último en el almacén de papel de D. Santiago Grimaud, calle de Jas Carretas; y los que gusten subscribirse de nuevo podrán hacerlo en dicho almacén; en Logroño en la librería de Brieva, en Cuenca en la de Alvarez de la Madrid , en Valiadolid en la de los hermanos de Santander, en Pamplona en la de Asenjo, en Pa…</t>
  </si>
  <si>
    <t>Grjngora, GristóbaLde</t>
  </si>
  <si>
    <t>GristóbaLde Grjngora</t>
  </si>
  <si>
    <t>…dad de mis amados vasallos. = Teñdreis!o entendido, y dis pondréis lo correspondiente á su cumplimiento. = Rubricado defia real mano de S. M.=En palacio á 23 de Junio de 1814. = A D. GristóbaLde Grjngora. Cuyo real decreto traslado á V. S. de orden de S. M..&gt; para que inme diatamente lo haga publicar, y cumplir en la .parte que le corresponde ; Guin dando con la mayor vigilancia y actividad que.se lléve, á puxo.yfdehidoefec¿ to lo determinado;pari.S^M., remov…</t>
  </si>
  <si>
    <t>Grouchy</t>
  </si>
  <si>
    <t>…e todas clases cometidas por el enemigo, y señalada mente por los cosacos, exceden á toda ponderación. la El 28 avanzó el emperador á Montierender. _ El 29 á las ocho de mañana el general Grouchy, que manda la caballería , avisó que el general Milhaud con el quinto cuerpo de caballería estaba' entre Maizieres y Brien ne en presencia del exército enemigo, mandado por el general Blucher, y reculado en 40© hombres entre rusos y prusianos, estando los pri…</t>
  </si>
  <si>
    <t>…lver á tomar vigorosamente la ofensiva. FRANCIA. San Juan de Luz 23 de Marzo. Tenemos noticias del interior que anuncian una gran batalla cerca de Soissons. El boletín dice: ,, El general Grouchy, que mandaba toda la caba llería, hombre de los maye res conocimientos, fué muerto en una carga que bizo á la cabeza de sus cuerpos. El mariscal Marmont, que mandaba la guardia imperial, maniobró mal, de cuyas resultas perdimos una parte del material de este…</t>
  </si>
  <si>
    <t>Grovenor</t>
  </si>
  <si>
    <t>…hazado con una pérdida considerable en muertos, heridos y prisione ros. En el puente, cerca de la ciudad, lúe rechazado por los piquetes y lps valientes cazadores, mandados por el capitán Grovenor y los teoivrues Ha— miltcn y Riley. En el puente de la ciudad misma fueron también rechaza dos por las' guardias y por la artillería de los fuertes. Al fuego del enemigo se ie correspondió con tal vigor por las baterías americanas, que á la caída de ia tarde…</t>
  </si>
  <si>
    <t>Gua, Josefa</t>
  </si>
  <si>
    <t>Josefa Gua</t>
  </si>
  <si>
    <t>…ue se anunció con tan merecidos elo gios en la gaceta de esta capital del 14 de Enero de 1806., continúa vendiéndose en la calle de Sta. Polonia, núm. p, quarto principal, casa de Doña Josefa Gua« darrama. \ EN LA IMPRENTA REAL.</t>
  </si>
  <si>
    <t>Guarda, Ramón Nadal y</t>
  </si>
  <si>
    <t>Ramón Nadal y Guarda</t>
  </si>
  <si>
    <t>…e Consejo* En virtud de providencia del Sr. D. Manuel Fernandez Gamboa , teniente cor regidor de esta villa, se cita, llama y emplaza á todos los-acreedores a !a testa mentaría de D. Ramón Nadal y Guarda, vecino y del comercio que fue de esta corte, para que en el término de 60 días, contados desde el 4 de este mes, com parezcan por sí, ó por medio de sus apoderados con poder bastante, á usar de sti derecho ante dicho señor juez y por la escribanía del número…</t>
  </si>
  <si>
    <t>Guardamino, Lorenzo de Angulo</t>
  </si>
  <si>
    <t>Lorenzo de Angulo Guardamino</t>
  </si>
  <si>
    <t>…ipal de Huejutla Noviembre 30 de 1813. = Excmo. SrAlexandro Alvarez de Giiitian. = Exento. Sr. D. Félix María Calleja, virey, gobernador y capitán general de esta Nueva-España. El coronel D. Lorenzo de Angulo Guardamino, comandante de las armas de Toluca, ha remitido d este superior gobierno el siguiente parte. Consecuente á las órdenes de V. S. salí de esta ciudad á las ocho de la noche del viernes 31 del ultimo Diciembre para el pueblo de Calimava, en donde, con los 50 pat…</t>
  </si>
  <si>
    <t>…ue mi partida haya tenido ninguna novedad. Dios guarde á V. S. muchos años. Toluca 10 de Enero de 1814. = Ma nuel de la Concha. = Sr. comandante general de las armas de este valle Don Lorenzo de Angulo Guardamino. San Roque j6 de Mayo, r En el momento que en esta ciudad se recibió la plausible noticia de la llegada á Gerona de nuestro deseado Monarca el Sr. D. Fernando vil, para dar una prueba del constante amor que le profesaba, dispuso que sin pérdi da de tiempo hub…</t>
  </si>
  <si>
    <t>Guardamíno, Pedro</t>
  </si>
  <si>
    <t>Pedro Guardamíno</t>
  </si>
  <si>
    <t>…Domingo de la Cal zada en la de Montejo; en Logroño D. Nicolás Peral; en Haro D. Manuel Fer nandez Mariaca; en Náxera el médico de ciudad; en Calahorra el de cabildo; en Pamplona D. Pedro Guardamíno, oficial primero del Crédito público, y en Vi toria D. Pedro López Alegría, calle de la Correría. Memoria geográfico-cconómico-política del departamento de Venezuela, por D. J osé María de Aurrecoechea. Se hallará en Cádiz en el puesto del Sol y en la librerí…</t>
  </si>
  <si>
    <t>Guardióla, Francisco</t>
  </si>
  <si>
    <t>Francisco Guardióla</t>
  </si>
  <si>
    <t>…er postura acuda an te dicho señor teniente y escribanía del número de D. Alexandro Gutiérrez, don de se admitirán las que se hicieren siendo arregladas. Habiéndosele extraviado á D. Francisco Guardióla, vecino de la villa de Prie go, en Andalucía, los nueve vales Reales que abaxo se expresan, suplica á la per sona á cuyas manos lleguen se sirva avisárselo á él, ó en esta corte á D. Francisco de la Cruz, que vive calle de Toledo, frente de los estudios Reale…</t>
  </si>
  <si>
    <t>Guarnan, Sebastian Cabatlero Henuquez de</t>
  </si>
  <si>
    <t>Sebastian Cabatlero Henuquez de Guarnan</t>
  </si>
  <si>
    <t>…en autos, a instancia de Ja oírte do la real casa hospital de la sama Caridad de nuestro Señor Jesucristo, sobre pose! sion de ios bienes, fincas y rentas del mayorazgo que fundó D. Sebastian Cabatlero Henuquez de Guarnan, comendador que fué de Aguilarcjos, en Ja órdeu de Santi.igo; el qual vaco por muerte s.n sucesión del señor marques del Pedroio v por lo mismo, con arreglo a ia voluntad de! fundador, aplicados sus bienes fin cas y rentas a un monte pió que estableció, dejan…</t>
  </si>
  <si>
    <t>Guarncrio, Luis</t>
  </si>
  <si>
    <t>Luis Guarncrio</t>
  </si>
  <si>
    <t>…ía, y cirujano de cá mara de S. M. Católica, zzTratado de la manía ó locurar escrito por Pinel, cate drático en la escuela de medicina de París; traducido al castellano por el Dr. Don Luis Guarncrio, médico en el Real sitio de San Ildefonso: un tomó tii 8.° mayor: su precio 20 rs. en pasta. Estas tres obras se venden en la librería de Martin, calle de la Cruz, y en su despacho de libros, calle anchadle'Majaderitos, núm. 6 y 7. Los principales acontecimie…</t>
  </si>
  <si>
    <t>Guaza, Pedro</t>
  </si>
  <si>
    <t>Pedro Guaza</t>
  </si>
  <si>
    <t>…ro moción de D. Pedro Ramírez de la Piscina al obispado de Ciudad Rodri go, á D. Pedro Ignacio Garbiso: para una capellanía de Sres. Reyes nue vos de Toledo, vacante por muerte de D. Pedro Guaza, á D. Lorenzo del Estal, cura párroco de la villa de Venturada, en 1&gt; misma diócesis de Tole do ; y para el arciprestazgo de Herrera de rio Pisuerga, diócesis de P. lencia, vacante por promoción de D. Saturnino Sta. María á una canongía de la iglesia metropol…</t>
  </si>
  <si>
    <t>Guazo, Manuel Ximenez</t>
  </si>
  <si>
    <t>Manuel Ximenez Guazo</t>
  </si>
  <si>
    <t>…Madrid ij de Octubre. El dia 28 de Julio último tuvieron la honra de presentarse y felicita* al Rey nuestro Señor y á los Sermos. Infantes los comisionados por la villa de Ubrique D. Manuel Ximenez Guazo, D. Francisco Molle, D. Ignacio Mu helena y D. Diego Morejon y Roxas; de los quales el primero dirigió á S. M. el discurso siguiente: ,,Señor: la villa de Ubrique , capital del cantón denominado del cen tro, en la serranía de Ronda , fue uno de los dos primer…</t>
  </si>
  <si>
    <t>…propia clase D. Fernando de Sierra, todos en las ordenes militares. O En atención al distinguido mérito y acendrado patriotismo que en la pa sada guerra con Francia ha acreditado D. Manuel Ximenez Guazo, oficial mayor de la secretaría de Estado y del despacho de Gracia y Justicia, en ca lidad de comandante de la partida de la Cruzada, se ha servido S. M. con cederle grado de coronel de infantería. Real lotería moderna. En el sorteo duodécimo, que se celebró…</t>
  </si>
  <si>
    <t>Guerra, Castulo</t>
  </si>
  <si>
    <t>Castulo Guerra</t>
  </si>
  <si>
    <t>…ct; tenencia de fusileros ai subteniente de granaderos ' D. Francisco Rodríguez; esta resulta al subteniente de fusileros D. José Oiruytiner; y la subtenencia de bandera al cadete D. Castulo Guerra. * • • * • ■ ■&gt; * . ’ i , . . L -£ . * La fragataespañolaS. Juan Bautista, &lt;?apitan Arfarte, procedente del Callao de Lima con dinero y frutos, - fug apreSaaa poy una fragata de guer ra francesa, y-después teprésada por la frágata de guerra inglesa Menélausf…</t>
  </si>
  <si>
    <t>Guerra, Ignacio Campesino</t>
  </si>
  <si>
    <t>Ignacio Campesino Guerra</t>
  </si>
  <si>
    <t>mos fines á los ayuntamientos del distrito de su mando. Dios guarde á V\ muchos años. Madrid ió de Mayo de 1814. El señor juez de primera instancia /D. Ignacio Campesino Guerra ha señalado para el diavi6.de Junio próximo á la hora de las ocho de su mañana en su posa da, calle de la Abada, junta general de acreedores de D. Juan Francisco Aguirre, irecino y del comercio de esta corte, y que se les haga saber por este anuncio al públic…</t>
  </si>
  <si>
    <t>Guerra, José</t>
  </si>
  <si>
    <t>José Guerra</t>
  </si>
  <si>
    <t>…ndo Muros, subteniente de id. D. Benito Llórente, capitán del de Guadalaxara. D. Camilo Marquina, id. de id. D. Juan de Novoa, id. de id. D Francisco Vega, ayudante primero de id. D. José Guerra, subteniente de id. D. Eduardo Jdosqjuera, capitán de, fragata. Dora</t>
  </si>
  <si>
    <t>Guerra, José Ireneo</t>
  </si>
  <si>
    <t>José Ireneo Guerra</t>
  </si>
  <si>
    <t>…ñías de fusileros á los sub tenientes D. Juan Nepomuceno Rivas, D. Tomas de Heredia, D. Rafael de Heredia, D. Alonso Aznar y D. Felipe de la Cámara: la subtenencia de granaderos á D. José Ireneo Guerra; y subtenencias de fusileros á D. Ma nuel Benito Quixano, D. Nicolás Ortiz, D. Agustín Sánchez, D. Arcadio Quixano, D. Joaquín Sánchez y D. Arcadio Cicero. Por los oficios que con fecha del 23 del corriente han dirigido el secre tario interino del despacho de…</t>
  </si>
  <si>
    <t>Guerra, Juan Alvares</t>
  </si>
  <si>
    <t>Juan Alvares Guerra</t>
  </si>
  <si>
    <t>…s, á quien nombro secretario interino de dicho departamento. Tendreislo entendido, y lo comunicareis á quienes corresponda. = Está rubricado.=En palacio á 14 de Enero de 1814. = A D. Juan Alvares Guerra."</t>
  </si>
  <si>
    <t>Guerra, Juan Alvarez</t>
  </si>
  <si>
    <t>Juan Alvarez Guerra</t>
  </si>
  <si>
    <t>…tura teórica, práctica, económica, y de medicina rural y veterinaria. Escrito en francés por una sociedad de agrónomos, y ordenado por el Abate Rozier: traducido al castellano por D. Juan Alvarez Guerra, individuo de la clase de agricultura de la real sociedad económica de Madrid: 16 tomós en 4.0, á 30 rs. cada uno en rústica. Se hallará en el despacho de la imprenta nacional. Elogio fúnebre del Dr. D. Eugenio de la Peña, catedrático del colegio nacio nal de…</t>
  </si>
  <si>
    <t>Guerra, Juan Alvaréz</t>
  </si>
  <si>
    <t>Juan Alvaréz Guerra</t>
  </si>
  <si>
    <t>…ndreis!o entendido, y dispon dréis se imprima,' publique y circule. = Por ausencia del señor presidente. = Redro de Agar. = Gabriel Ciscar.zzPalacio á i i ; de Abril de 1814. == A D. Juan Alvaréz Guerra. -vo • - ; . . ' . : Por los partes, quqycon fecha de 7 del corriente ha dirigido el gefe polí tico de Aragón, ha sabido la Regencia con particular satisfacción que S. M. y el Sermo. Sr. Infante D. Garlos permanecían Zaragoza sin *lar ¡ífienor novedad, en su…</t>
  </si>
  <si>
    <t>…el presente decreto en todas sus partes. = Tendreislo entendido y dispondréis se imprima y publique. =: Ausente el señor cardenal presidente. = Pedro de Agar.— Gabriel Ciscar. = A D. Juan Alvarez Guerra.” D. Fernando vil, por la gracia de Dios y por la Constitución de la mo narquía española, rey de las Españas, y en su ausencia y cautividad la Regencia del Reyno nombrada por las Cortes generales y extraordinarias, á todos los que las presentes vieren y enten…</t>
  </si>
  <si>
    <t>…todas sus partes. = Tendreislo entendido y dispondréis se imprima y publique.= Ausente el señor presidente.^:Pedro de Agar.zz Ga briel Ciscar.—En palacio á 24 de Abril de i8i4.=A D. Juan Alvarez Guerra.” Por los partes que con fecha de 30 de Abril y i.° del corriente han di rigido el secretario interino de Estado y el gefe político de la prov/inok de Valencia ha sabido la Regencia con particular satisfacción que S. M. sigue en términos de casi cabal restabl…</t>
  </si>
  <si>
    <t>…: Xendrefsta &gt;énféndtdó&gt; .y .dispondréis se imprima, publique y circulev:= Ausente señor presidente. rr-LVí/r# de Agar . — Gabriel Cfircvir. 2= Palacio á 18 dé Abril de 1814. = A. D. Juan Alvarez Guerra. - ■--* u- .■ -o.--'?;! .■ ;?/.■ ?. c Por Íosí.psrtes que con ‘lecha de 4«.del corrieme han [dirigido ef secretario interino del despacho de Estado y eLalcalde primero’cónstiracional de- la ciudad de Valencia, por ausencia del gefe político, ha sabido la Rege…</t>
  </si>
  <si>
    <t>Guerra, Manuel Martínez del Campo y</t>
  </si>
  <si>
    <t>Manuel Martínez del Campo y Guerra</t>
  </si>
  <si>
    <t>…se ha servido nombrar para la dignidad de arcediano de Aleara* y canongía vacantes en la iglesia primada de Toledo, por promoción de D Juan Escoiquiz al arcedlanato de Talavera, á D. Manuel Martínez del Campo y Guerra, con dimisión de la dignidad de arcediano de Reyna y canongía que obtiene en la catedral de Santiago: para el arcedianato de Lara, dignidad de la iglesia metropolitana de Burgos., vacante por fenecimien to de D. Manuel Ramírez y.Cid, á D. Martin Xavier Roxo ,…</t>
  </si>
  <si>
    <t>Guerrero</t>
  </si>
  <si>
    <t>…hos de sus criados, salió de León, acompañado de madama Leticia, su hermana, con dirección á Roma. Los condes de Funchal y de Palmella partieron esta semana para París, y quedó el señor Guerrero, secretario de embaxada, encargado de los ne gocios de Portugal durante la ausencia del embaxador. Idem /o. Se había anunciado en los periódicos franceses la toma de Génova por el lord Bentinck, yantes de ayer recibió el gobierno los oficios de este suceso, q…</t>
  </si>
  <si>
    <t>Guerrero, Basilio</t>
  </si>
  <si>
    <t>Basilio Guerrero</t>
  </si>
  <si>
    <t>…ualmeu|¿Emitidos á cumplimentar á S. M. y A A. por ¿ú feliz restitución al tronffc, éíír&gt;&lt;&gt;mbre de la villa de Aguijar del Río Alama y su cabildo eclesiástico^©^Victoriano Mayor y D. Basilio Guerrero; de los quales el primero arengó á S. M. y A A. en estos términos: ,,Señor: la villa de Aguilar del Rio Alama y su cabildo eclesiástico, destrozados por las tropas del tirano, afligidos por la pérdida de sus hijosr vilmente asesinados por ser defensores de lo…</t>
  </si>
  <si>
    <t>Guezala, José</t>
  </si>
  <si>
    <t>José Guezala</t>
  </si>
  <si>
    <t>…ara esta fésulra á D. José del Rivero, comandante-del tercer esquadron del misma Asimismo se ha servido promover en el regimiento provincial de la La gunaú capitán de granaderos á D. José Guezala, y de fu-ñeros á D. Fran cisco Díaz y D, Francisco Peraza; á teniente de granaderos á D. Luis Mi randa, y de cazadores á D. Domingo Viejobueno ; á segundo ayudante á D. Tomas de Vargas; á tenientes de fusileros á D. Valentín Baudet, D. Garlos Fernandez y D. M…</t>
  </si>
  <si>
    <t>Gui</t>
  </si>
  <si>
    <t>…ue YVhite siendo gobernador de S. Agustín de la Florida, y dexado un legado de i® pesos al coronel D. Pedro O-Daly, capitán de granaderos del regimiento de Hibernia, y 500 pesos á D. Gui llermo Q-Cancanen, teniente retirado á la plaza de Tuy, se hace saber á ios inte resados á fin de que acudan á su albace3 el capitán D. Fernando de la Puente, en Florida , para tratar sobre estos pagos. Se desea saber el paradero de D. Antonio Carrero, secret…</t>
  </si>
  <si>
    <t>…e otros objetos de felicidad pública, de que no se desentienden SS. A A., imitando ei exemplo del Rey nuestro Señor. En atención á los distinguidos servicios del mariscal de campo D. Gui llermo Parker Corrol, ha venido el Rey en concederle la gracia de cruz su pernumeraria de la Real y distinguida orden española de Cários m. El Rey nuestro Señor, imparcial en la distribución de gracias, ha que rido dar una prueba de la estimación y aprecio qu…</t>
  </si>
  <si>
    <t>Guijarro, Joseí</t>
  </si>
  <si>
    <t>Joseí Guijarro</t>
  </si>
  <si>
    <t>32</t>
  </si>
  <si>
    <t>…nvidaron á sa itarMn. tierra;; pero él ,i sin embargó de conocer á Varios, no s,e prestó á eüo sin,que se presentaran el .teniénte-coronel de, infantería D., Francisco Marmol y el teniente D. Joseí Guijarro , qiief se decían, gobernador y ayu-i dame de la&lt;Guayra;¿j á quienes conocía y-y de quienes no.tenia motivos desos pechas. Vinieron estos, y burlándose de sus recelos de saltar en tierra, se de terminó Begoña á verificarlo entre los abrazos dé Mármol y Guijar…</t>
  </si>
  <si>
    <t>Guilarte, Estanislao</t>
  </si>
  <si>
    <t>Estanislao Guilarte</t>
  </si>
  <si>
    <t>…resoltas á D. Juan Nepomuceno Vela y D. Esteban Moyano: para la vara de Montoro á B. Francisco Xavier Rincón : para la de Cabra á D. Vicente Ruiz Morquecho: para la de Bui¡trago á D. Estanislao Guilarte; para la.de Potes á B. León González del Camino: para la de Algeciras á D. Juan Batte y Ortega: para la de'Máfchena á D. Cristóbal Izquierdo de los Santqsi para lá de'Priego á D., Vi** cente Pereda: para la de Alcalá de Henares á D. Joaquín Zeñgotita y Benoa:…</t>
  </si>
  <si>
    <t>Guillaumichon</t>
  </si>
  <si>
    <t>5? 2 que á cosa de una hora antes de la partida sean dadas las órdenes, y exécutadas inmediatamente. Mr. el capitán Guillaumichon desempeñará las funciones de vaguemestre general (capitán general de carros), quien tendrá por adjunto á Mr. el lugar teniente de gendarmería Cardiny con ocho gendarmes de á caballo y los ca pitanes de carros de los cuerpos, y se hará un reglamento para la ma…</t>
  </si>
  <si>
    <t>Guillen, Juan</t>
  </si>
  <si>
    <t>Juan Guillen</t>
  </si>
  <si>
    <t>…bteniente de id. D. Manuel Uznia, id. de id. D. Pedro Ovalle&gt; id. de id., D. Juan Canal, capitán del de Santiago. D. Juan de Castro, teniente de Id. D. Benito Martínez, id. de Id. D. Juan Guillen, subteniente de id. D. Francisco Quiroga, id. de id. D. Juan Cancela, id- de id. D. Bernabé de las Pallas, id. de id. D. Martafio Castell, teniente coronel, sargento mayor de la Corona. D. Tomas Noriega, teniente de id D. Mariano Canalls, subteniente de id. D…</t>
  </si>
  <si>
    <t>Guiller</t>
  </si>
  <si>
    <t>…[5 quartos. ] 637 GACETA DE MADRID DEL SABADO n DE JUNIO DE 1814. GRAN BRETAÑA, Londres 20 de Mayo. SECRETARIA DE GUERRA. El capitán Milnes, ayudante de campo del teniente general lord Guiller mo Bentinck, ha entregado un pliego de su general al conde Bathurst, cuya copia es Ja siguiente: Génova 20 de Abril de 1814. Milord: por mi oficio de 6 del corriente hablé á V. E. de la ocupación de Spezzia, y de los movimientos de nues tras tropas hasta aque…</t>
  </si>
  <si>
    <t>Guillermo</t>
  </si>
  <si>
    <t>…ntras que nuestros bizarros volun tarios muestran esta emulación, vemos llegar todos los dias, y aun á toda hora, transportes con tropa y armas preparadas hace mucho tiempo por e! príncipe Guillermo vi, que no tardará en llegar á este pais. Entre tanto, para qüe ne se pierda un instante, damos en este departamento las disposicio nes necesarias á fin de formar un exército de 35® hombres, que estarán pron tos para entrar en campaña por la primavera. Ahora…</t>
  </si>
  <si>
    <t>…nes por la parte del Rhin, desde Maguncia hasta Wesel, sino que se le adjudicará también la mayor parte de la Saxonia , la qual cdnservará su constitución, y será gobernada por el príncipe Guillermo, quieft •residirá en Dresde con el título de virey. Pero en consecuencia de esté arre glo se supone que la Prusia cederá á la Rusia la porción de la Prusia orien tal situada en la orilla derecha del Niemen; de suerte que esta ú-.tima po seerá el puerto de Mem…</t>
  </si>
  <si>
    <t>834</t>
  </si>
  <si>
    <t>…escuelas, y desde allí entre los vivas y aclamaciones nunca interrumpidas se trasladó S. M. á la casa d« Mr. Pourtales, en donde se le tenia dispuesto el alojamiento, asi como al príncipe Guillermo el tercero de sus hijos, y en donde el consejo de Estado se hallaba reunido para recibirlo. A las quatro de la tarde salió S. M. de su alojamiento para ir á ver el hospital militar: en seguida se trasladó á casa de la señora de Ge’ieu , que había sido la prim…</t>
  </si>
  <si>
    <t>…nicadas dan á entender que dentro de pocos dias va á realizarse la reunión de la Saxonia con la Prusia. Se asegura que luego que nuestras tropas hayan ocu pado toda la Saxonia, el príncipe Guillermo, hermano de nuestro Rey , irá á Dresde como virey de la Saxonia; que el anterior canciller prusiano Mr. de Beyme tomará la dirección de los negocios civiles , y que el general Kleist' será el gobernador militar de la Saxonia. Se contradice la noticia de las d…</t>
  </si>
  <si>
    <t>Guillermo, Federico</t>
  </si>
  <si>
    <t>Federico Guillermo</t>
  </si>
  <si>
    <t>…n todavía mas sus felices resultados.----Según las deliberaciones pre liminares, que tienen por objeto el bien estar de todos juntos y de cada uno de por sí', SS. MM., á saber: el rey Federico Guillermo, en calidad de so berano futuro del país, ha declarado que no tiene intención de incorpo rar como una provincia la Saxonia y sus estados; pero sí el reunirla á iaFru sta con e! título de rey no de Saxonia ; de conservarla siempre íntegra, y ase gurarle el goc…</t>
  </si>
  <si>
    <t>Guillié</t>
  </si>
  <si>
    <t>…en alta voz lo que habia sido dictado á este; quien per su parte, mirando á las señales que le hizo ei ciego, escribió las frases dictadas á este. Este ingenioso método, debido al doctor Guillié, director del instituto, redobla e! interes en los exercicios de los jóvenes ciegos. * ó. Mr. Redouté, bien conocido de los botánicos y dibuxantes por la exac titud, corrección y verdad que reynaen Jos dibuxos de sus obras dé lasplan*tas de la familia natural…</t>
  </si>
  <si>
    <t>Guilloto, Bartolomé</t>
  </si>
  <si>
    <t>Bartolomé Guilloto</t>
  </si>
  <si>
    <t>…üedad de 30 de Octubre de 1810, á capitán de granaderos á D, Anto nio Bienpica, y de fusileros á D. Manuel Bonilla y D. Francisco Mendieta; á ayudante mayor del segundo batallón á D. Bartolomé Guilloto; á te niente de granaderos á D. José María Cosío y Abellan ; Ídem de fusileros á</t>
  </si>
  <si>
    <t>…leros á D. Domingo Patino; á subteniente de granaderos á D/Jo^é Viüafranca, y á subteniente de bandera al cadete D. Francisco Elouza. Con la de 24 de Setiembre de 814, á capitán á D. Bartolomé Guilloto ; á ayu dante mayor á D José Benigno Cepero; teniente á D. José Ignacio de Castro; subteniente de granaderos á D. Jo é Romero, y á subteniente de bandera á D. Pedro de la Paz Acosta. Asimismo ha comedido S. M. el 3 dd corriente en el batallón veterano infante…</t>
  </si>
  <si>
    <t>Guinea, Gregorio</t>
  </si>
  <si>
    <t>Gregorio Guinea</t>
  </si>
  <si>
    <t>…zar, briga dier de los reales exércitos; el marques deTorretagle, coronel del regimien to de la Concordia; D. Francisco Valdivieso y D. Dionisio Inca Yupanqui, diputados por Lima; D. Gregorio Guinea, deán de la Sta. iglesia deTruxiiio; D. Agustín Fernandez de Córdoba, D. José Miguel del Castillo, dipu tados por Truxillo; D. Antonio Navarrere, diputado por Puira; D. Juan Antonio Andueza, diputado por Chachapoyas; D. Tadeo Gárate, goberna dor, electo inten…</t>
  </si>
  <si>
    <t>Guiral, Diego González</t>
  </si>
  <si>
    <t>Diego González Guiral</t>
  </si>
  <si>
    <t>…fes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</si>
  <si>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Guismar</t>
  </si>
  <si>
    <t>…lers-Coterets, que pertenecía antes al diiqúé de Orleans. ■ &gt;' ; ' Un destacamento del tercer cuerpo aleman/ córiipuesto de sáxones'y de un regimiento de cosacos á las órdenes del coronel Guismar, se ha apoderado de Cóurtray, Menin y Cassél. Después dé una acción, cuyo resultado ha sido-glorioso á los aliados, el-enemigo se vió: obligado' 4 ab&amp;ndonár en su fu ga 10 piezas de artillería. Hemos’ hecho-fin húmerb* ■conSidterábié' dé-prisio neros , y pues…</t>
  </si>
  <si>
    <t>Guissenau</t>
  </si>
  <si>
    <t>…dispo siciones que había tomado. Él fué el mas avanzado en el ataque del pueblo de La-Rothiere, y estuvo animando las tropas mientras embestían. A su lado fué muerto un cosaco del general Guissenau. Las reservas avanzaron por orden de S. M. I. y del príncipe Schwartzenberg; pero solo fueron empleados tres batallones. Se han hecho prisioneros de ios cuerpos tercero, quarto y sexto, y de las guardias. Generalmente se supone que Bonaparte había reunido el…</t>
  </si>
  <si>
    <t>Guitian, Ahxandro Alvarez de</t>
  </si>
  <si>
    <t>Ahxandro Alvarez de Guitian</t>
  </si>
  <si>
    <t>…iado Pichegrú. Desde Besanzoh hasta rPaxis no; hay plaza taUguna que pueda contener la «archa de los aliados^ 1 r&gt; » ESPAÑA/ ' México 27 de Agosto de 1813. Parte del corftandáfiié'D. Ahxandro Alvarez de Guitian al Exento. Sr. /"“/• . ; /- ' virey. ' " '' Excmo. Sr.: el cura interino de Tamasunchale bachiller D. Octaviáno Rioja, desetso de contener á sus feligreses en sus inveterados excesos, co mo que son tos primeros revolucionarios de todo este distrito, y de dond…</t>
  </si>
  <si>
    <t>Guitian, Alexandro Alvarez de</t>
  </si>
  <si>
    <t>Alexandro Alvarez de Guitian</t>
  </si>
  <si>
    <t>…= Zacapoaxtla 22 de Julio de 1813. A las siete de la mañana zz Cayetano Gómez González. =rSr. D. Juan Diez, gobernador político y militar del fuerte de Perote. Parte del teniente coronel D. Alexandro Alvarez de Guitian, coman dante en gefe de la provincia de la Huasteca, dirigido al señor virey. Excmo. Sr.: el dia 20 del próximo pasado Junio me presentó en este pueblo el cura párroco de I'xhuatlan bachiller D. Francisco Ignacio Perez 91 hombres de su feligresía , que habian…</t>
  </si>
  <si>
    <t>Guiüehno</t>
  </si>
  <si>
    <t>…mayores, se ha negado constantemente á admitirlas. Se;dice que el emperador, Alexandrq ha sostenido con empeño la negativa del duque de Oldemburgo. Se mira ya como decidido que el príncipe Guiüehno, hermano del rey de Prusia , será virey dé Saxonia. Se espéra aquí una diputación de la ciudad de Leipsick que viene á cum plimentar i* noéstro Soberano, que, según se cree , está en ánimo de conce der gfaodes pnvilcgiot á esta ciudad, y de protege!: con empe…</t>
  </si>
  <si>
    <t>Guizaburuaga, Estanislao</t>
  </si>
  <si>
    <t>Estanislao Guizaburuaga</t>
  </si>
  <si>
    <t>…de Melilla al Teniente Coronel D. Jacinto Díaz Capi lla, Sargento mayor de la misma plaza; habiéndose dignado S. M. conferir Ja Sargentía mayor de la de Madrid al Teniente Coronel D. Estanislao Guizaburuaga, Ayudante primero de Ja misma. Aviso á los subscriptores de la gaceta. Los que tengan que reclamar alguna gaceta que por una casualidad im prevista les haya faltado, ó hacer alguna advertencia en círden á sus subs cripciones , deberán escribir al administrado…</t>
  </si>
  <si>
    <t>Guizarnotegñi, Felipe</t>
  </si>
  <si>
    <t>Felipe Guizarnotegñi</t>
  </si>
  <si>
    <t>…33 prisioneros, muchos fusiles, carabinas, y tres piezas de á tres que tomaron solo las tropas de esta guarnición. La nuestra ha sido la del capitán graduado de dragones de Puebla Don Felipe Guizarnotegñi, y del teniente de dragones de Tulancingo D. Ped,ro del Valle, heridos; el primero murió de resultas de la,herida; quatro solda dos muertos, dos del batallón ligero , uno de voluntarios de Celaya y otro de patriotas efe Valladoíid; 22 cabos y soldados heridos…</t>
  </si>
  <si>
    <t>Gutiér, José Benito</t>
  </si>
  <si>
    <t>José Benito Gutiér</t>
  </si>
  <si>
    <t>…a, se ha servido con cederle honores del Consejo de Estado. El Rey se ha servido «nombrar* para el corregimiento de Torrijas ¿ Don Manuel Perez Aransolo*; para kpvara.de Saldada i!D. José Benito Gutiér rez Bustamante: para la de Tavara á D. Manuel Ximenez: para el corregi miento dé Afstójfga á D. Babiüa/Gircía:MaQrtqiue : para la vara de Santilla-</t>
  </si>
  <si>
    <t>Gutiérrez, Alexandró</t>
  </si>
  <si>
    <t>Alexandró Gutiérrez</t>
  </si>
  <si>
    <t>…ue dentro del término ele 15 dias, que por tres, y el último perentorio qtfe les señala, contados desde esta fecha, comparezcan ant-e su señoría, y por la escribanía del número de D. Alexandró Gutiérrez, donde se hallan radicados los autos de abintestado, á deducir su derecho; con apercibimien to que pasado que séa les parará el perjuicio que haya lugar. La persona que supiere el paradero dé Doña Josefa Cabañero, sé servirá avi sarlo i la tienda,.del Toledan…</t>
  </si>
  <si>
    <t>Gutiérrez, Alexandro</t>
  </si>
  <si>
    <t>Alexandro Gutiérrez</t>
  </si>
  <si>
    <t>…a que dentro del término de 20 días, que por tres, y el último perentorio, se íes señala, contados desde 18 del mismo mes, comparezcan ante S. S. y por la escribanía del número de Don Alexandro Gutiérrez, donde se hallan radicados los autos de abititestato, á dedu cir su derecho; con apercibimiento que pasado que sea dicho término, les parará el perjuicio que haya lugar. Habiendo fallecido el brigadier D. Henrique YVhite siendo gobernador de S. Agustín de la…</t>
  </si>
  <si>
    <t>…24^ mrs., y perteneció á María Vázquez, difun ta, del comercio en el expresado Real sitio. Quien quisiese hacer postura acuda an te dicho señor teniente y escribanía del número de D. Alexandro Gutiérrez, don de se admitirán las que se hicieren siendo arregladas. Habiéndosele extraviado á D. Francisco Guardióla, vecino de la villa de Prie go, en Andalucía, los nueve vales Reales que abaxo se expresan, suplica á la per sona á cuyas manos lleguen se sirva avisá…</t>
  </si>
  <si>
    <t>Gutiérrez, Ceferino</t>
  </si>
  <si>
    <t>Ceferino Gutiérrez</t>
  </si>
  <si>
    <t>…Gaseo, t emen te capitán del regimiento de voh-ntarios de Burgos, que fue hecho prisión-ero en la batalla de Ocaña. Quien tuviere noticia de su paradero se servirá comu nicarls Á D. Ceferino Gutiérrez, que vive en la calle de Toledo, casa llamada de la Sal, núm. 7, quarto 2.* Se desea saber el paradero de D. Melchor Osorio de Coca, natural de Salaman ca, que en 2 1 de Diciembre de 1808 por una carta que escribía en Cuenca á su capitán D. Miguel Anlestia, q…</t>
  </si>
  <si>
    <t>Gutiérrez, Francisco</t>
  </si>
  <si>
    <t>Francisco Gutiérrez</t>
  </si>
  <si>
    <t>…honor de besar la mano á S. M. ona diputación del ilustre consulado de Burgos, compuesta de los Sres. Don José Joaquín Colon, D. Narciso Gonzalo del Rio, el marques de Villacampo, D. Francisco Gutiérrez de la Huerta y D. Miguel de Corres; el primero de los quales habló á S. M. en los términos siguientes: „Señor: el consulado de Burgos&gt; primero y mas anriguo de Castilla la Vieja, y erigido por los Sres. Reyes Católicos, tiene la honra de felicitar á V. M. por…</t>
  </si>
  <si>
    <t>Gutiérrez, José Francisco</t>
  </si>
  <si>
    <t>José Francisco Gutiérrez</t>
  </si>
  <si>
    <t>…de dragones fieles del Potosí al cargo del cabo Reyes González, que to dos ascendían á 186 hombres. La fuerza del enemigo llegaba á 400, dividi dos en tres trozos, mandados por el coronel José Francisco Gutiérrez, el teniente coronel, subdiácono, José María Alducin, y otro de igual grado José María Covarrubias. El terreno tan intransitable, los calores tan excesivos, la suma escasez de víveres, y el decidido valor y entusiasmo de la tropa, la hacen digna de la mayor r…</t>
  </si>
  <si>
    <t>Gutiérrez, Pedro</t>
  </si>
  <si>
    <t>Pedro Gutiérrez</t>
  </si>
  <si>
    <t>…. , Se desea saber el paradero de Doña Isabel Arenas, natural de Lora del Rio, provincia de Sevilla. El que supiere su paradero se servirá avisarlo en Madrid en la imprenta Real á D. Pedro Gutiérrez, y en Cádiz en el correo á D. Matías Int'riago. Ensayos sobre la historia de la filosofía desde Adan hasta nuestros dias: obra en que se da noticia de los principales filosofes y de sus principios, impugnando los errores de unos con la doctrina de otros; y en…</t>
  </si>
  <si>
    <t>Gutiérrez, Pedro Tiborcio</t>
  </si>
  <si>
    <t>Pedro Tiborcio Gutiérrez</t>
  </si>
  <si>
    <t>…aquín Eiio y Jaureguizar: para una de oidor de la chancillería de Valladolid á D. Juan Nicolás Ondaveytia, ministro de la audiencia de Oviedo: para otra de la misma chancillería á D. Pedro Tiborcio Gutiérrez: para una de alcalde del crimen á D. .José Reguerra: para una de oidor de</t>
  </si>
  <si>
    <t>Gutiérrez, Pedro Tiburcio</t>
  </si>
  <si>
    <t>Pedro Tiburcio Gutiérrez</t>
  </si>
  <si>
    <t>…a la universid. d de Salamanca. La diputación encargada por la universidad de Facer e^te homenage á S. M. era compuesta de los Dres. D. Toribio Nuñez Sesíé, su bbiotecario mayor; D. Pedro Tiburcio Gutiérrez, catedrático de leyes; D. Miguel Marcos . catedrático de filosofía, y D. Tomas González, encargado de la de elocuencia. Acompañaban á la diputación los Excmos. Sres. duque de S. Carlos, marques de Cerralbo y marques de Alcañices , co mo conservadores de la un…</t>
  </si>
  <si>
    <t>Gutiérrez, Rosendo José</t>
  </si>
  <si>
    <t>Rosendo José Gutiérrez</t>
  </si>
  <si>
    <t>…s aprobados que quisieren pretendor dicha plaza, dirigirán sus memoriales hasta i.° de Setiembre al alcalde or dinario de dicha villa D. Rafael Sánchez de Lugo. A los herederos de D. Rosendo José Gutiérrez, del orden de Carlos rn, y cónsul que fué en Algeciras, se les avisa acudan á D. José Díaz Valdés, residente en el real sitio de Aranjuez, el qual tiene que comunicarles asuntos que les interesa. La persona qHe supiese el paradero de D. Alfonso Masi, que se a…</t>
  </si>
  <si>
    <t>Guzman, Agustín Perez de</t>
  </si>
  <si>
    <t>Agustín Perez de Guzman</t>
  </si>
  <si>
    <t>…ró y otros ai de Martoreil. Los restantes se hallan en el principal de este cantón hasta que V. E. se sirva darles destino. Los tenientes adictos at estado mayor D. Ma nuel Bray y D. Agustín Perez de Guzman, que me sirvieron‘de ayudantes de campo, se han comportado con honor y distinción. El último de estos oficiales, que fué portador de lájórd^íi para q^ue cargase la caballería, vio á un sargento de húsares dexar tendidos en el campo á ocho soldados france ses…</t>
  </si>
  <si>
    <t>GzernicheíF</t>
  </si>
  <si>
    <t>…Todos los oficiales que hay en Inglaterra con licencia, y pertenecen al exército de lord Weilington, tienen orden de trasladarse inmediatamente á dicho exército. Hablase de que el general GzernicheíF se resolvía á atravesar con 3® cosacos los departamentos meridionales de Francia para ir á reunirse con los exércitos de la Península; pero es de presumir que Sea ya tarde para esta arrojada empresa, pues Bonaparte ha reunido ya tropas en Lebñ.-b* Se ha dado…</t>
  </si>
  <si>
    <t>H, T.</t>
  </si>
  <si>
    <t>T. H</t>
  </si>
  <si>
    <t>…us conocimientos. Se hallará á 3 rs. en la librería de Hurtado, calle de las Car retas. Principios acerca de prisiones, conforme á nuestra Constitución y las leyes, es critos ¡por D. T. H. para instrucción del pueblo y gobierno de jueces y alcaldes constitucionales. Se vende á 3 rs. en la librería de Quiroga, calle de las Carretas. MADRID EN LA IMPRENTA NACIONAL.</t>
  </si>
  <si>
    <t>Haber</t>
  </si>
  <si>
    <t>T93 'Proclama del general Haber f, p • • ÉXÜRGITÓ IMPERIAL DE ARAGÓN Y CATALUÑA .L- SEGUNDA DIVISION, v Barcelona i.° de Febrero de 1814.___Orden del dia. f „ Soldados de la segunda división: la defensa d*e Barcelona ha sido puesta en nuestras manos; y sabremos responder á la confianza que…</t>
  </si>
  <si>
    <t>…con la pre sente orden; sin embargo no se mudará cosa alguna en el servicio, y si hu biese excepciones ó nuevas instrucciones, estas se participarán diariamen te. = Firmado ss El barón Haber t.-zz. Por copia conforme. == El coronel gefe de estado mayor = Firmado ss. El coronel Debains Quartel general de S. Andrés de Palomar. Se ha publicado aquí la orden siguiente:__ Orden general del 26 de Abril de 1814. ,,E1 Excmo. Sr. general en gefe de este e…</t>
  </si>
  <si>
    <t>Habert</t>
  </si>
  <si>
    <t>237</t>
  </si>
  <si>
    <t>…asión el general Picton. ESPAÑA. ■ • ■ i Tarragona 20 de Febrero, Se ha recibido un diario de Barcelona que contiene la providencia si guiente: Según las órdenes del señor general barón Habert, comandante de la le gión de Honor, comendador de la orden imperial de la Reunión, coman dante superior de la Cataluña baxa, y gobernador de Barcelona, El coronel comandante de armas previene á los habitantes de la ciudad que quisieren hacer salir colchones,…</t>
  </si>
  <si>
    <t>…Según la conducta y los 'escritos de los enemigos en Cataluña advertí-* mos que tratan te -rodearnos dé la misma confusión y las mismas inceriN dumbres que en 1808. Al paso que al general Habert, gobernador de Bar celona, ha pub’/cado un edicto ■declarando &gt;aquella plaza en estado de si tio, han aparecido impresos y-.anuncios yerbales del misma Habert manifes tando que se esperaba en Barcelona á nuestro monarca el Sr. D. Fernan do vn ,&gt;para cuyo aloj…</t>
  </si>
  <si>
    <t>…no tendrán masJa actitud de invasoras. Ya la desolación y las calamidades con que afligieron á toda la Europa amenazan actualmente á su decantado imperio. La adjunta proclama del general Habert os hará venir en conocimiento del miserable estado á que se ven reducidos vuestros contrarios. Comparad su lenguágeicon el que hace un año usaban vuestros enemigos. Ved en él su humillación, ved;como se:quejan de que no se ha admitido una paz que ellos mismos…</t>
  </si>
  <si>
    <t>3 2% de la Albufera, nos general de división barón Habert» uno de los coman dantes de la legión de HoítwrfJ comendador de la orden imperial de la Re unión , comandante superior de la Cataluña baxa, gobernador de Barcelona; Habiéndonos hecho dar cuenta del abastecimiento de los mercados de Barcelona, y convencido qué…</t>
  </si>
  <si>
    <t>Haddo</t>
  </si>
  <si>
    <t>…R. y A-., ministro de Estado de las conferencias, y mi nistró1 de Negocios extrangeros: y S. M. el rey de la Gran Bretaña al lord Gordon, conde de Aberdeen , vizconde Fermartine, lord Haddo, Melblie, Jervis y Kellié &amp;c., uno de los* 16 pares de Escocia , caballero de la anti quísima y mobilísima orden del Gardo, tu enviado extraordinario y ministro plenipotenciario cerca de S. M. I. R. y A;.; ios quales ¿ habiendo cangeado ■stís respectivos plen…</t>
  </si>
  <si>
    <t>Haedo, Lorenzo Gómez de</t>
  </si>
  <si>
    <t>Lorenzo Gómez de Haedo</t>
  </si>
  <si>
    <t>…del limo. Sr. D. José Antonio Garnica, á D. Juan de Cavia, canónigo Iectoral de la santa iglesia metropolitana de Toledo; y para el de Segorve, vacante por fallecimiento del limo. Sr. Don Lorenzo Gómez de Haedo, al limo. Sr. D. Fr. Lorenzo Alaguero, obispo de Jaca. J El cabildo de la santa iglesia catedral de Osma, imposibilitado por una parte de contribuir en el momento al alivio dé las urgencias del estado, tan to por las continuas y exorbitantes exacciones del en…</t>
  </si>
  <si>
    <t>Halen, Juan Van-</t>
  </si>
  <si>
    <t>Juan Van- Halen</t>
  </si>
  <si>
    <t>…el de caballería al. comandante de esquadron D. Henrique Cruquembourg; y ha conferido también compañía en el regi miento de caballería de cazadores de Madrid al alférez de fragata D. Juan Van- Halen, en premio del importa tísimo servicio y mérito extraordinario que hía contraído en la reconquista de las plazasplazas de Lérida y Mequinenza, y del castillo de Monzon. El ayuntamiento constitucional de la villa de ¿\lbacete ha determinado la celebración de u…</t>
  </si>
  <si>
    <t>Hampton</t>
  </si>
  <si>
    <t>…uarnición se rindiese prisionera de guerra. El 20 dei corriente se han recibido periódicos de Halifax, en que se anuncia que el exército americano de 7© hombres, á las órdenes del general Hampton, ha sido vergonzosamente rechazado de la frontera del Canadá el 28 de octubre por una legión franca de canadianos, mandada por el coronel Salaberry, que ha tomado una posición excelente en los bosques donde se halla atrincherado. El teatro de esta heroicidad…</t>
  </si>
  <si>
    <t>…ciones pequeuas, desae el río Sal* mon á Montreal, ó unir sus tropas á las del mayor general Harapton, y avanzar á la provincia por ei camino de Chateaugay o de Odel. ^ „ El mayor general Hampton recibió órdenes positivas para volver a ocur par la posición que habia abandonado en el rio Chateaugay quando se re tiró para Plattsburgo después de la vergonzosa derrota que sufrió ; pero el tiempo fué tan contrario á las operaciones combinadas, que si el ge…</t>
  </si>
  <si>
    <t>Haran, J.</t>
  </si>
  <si>
    <t>J. Haran</t>
  </si>
  <si>
    <t>…2 1 de Diciembre de 1813 por el mismo á favor del mencionado sugeto por importe de maiz y heno: otra de 36400, núm. 510, librada en 11 de Diciembre d© 1813 por el mismo á favor de D. J. Haran por im porte de carne. Las tres letras expresadas son de cargo del comisario general del exército británico sir R. H. Kennedy, adicto alquarlel general del mismo, adonde se servirá remitirlas el que las hubiese encontrado. Qualquiera perspna que quiera hacer…</t>
  </si>
  <si>
    <t>Harapton</t>
  </si>
  <si>
    <t>…o aun si el mayor general Wiikinson resuelve seguir su primitiva intención de ir en las embarcaciones pequeuas, desae el río Sal* mon á Montreal, ó unir sus tropas á las del mayor general Harapton, y avanzar á la provincia por ei camino de Chateaugay o de Odel. ^ „ El mayor general Hampton recibió órdenes positivas para volver a ocur par la posición que habia abandonado en el rio Chateaugay quando se re tiró para Plattsburgo después de la vergonzosa de…</t>
  </si>
  <si>
    <t>Hardeg</t>
  </si>
  <si>
    <t>…; y habiéndosele reunido el general Wittgenstein, in mediatamente la acometió segunda vez cerca de St. Aubin y JVlarnay , y la arrobó hacia Nogent, que fué ocupada en parte por el conde Hardeg. £1 conde Wittgenstein habiendo avanzado hacia el pyehte del Sena, y el general Wrede hacia Bray, el enemigo abandonó la izquierda del Sena, y destruyó los puentes, que fueron restablecidos por los aliados, y el gene ral Wrede se avanzó á Provins. Habiendo pa…</t>
  </si>
  <si>
    <t>Harispe</t>
  </si>
  <si>
    <t>…mando del teniente general Sir Rowland Hill, el dia 14; y habiendo arrojado los piquetes enemigos que estaban sobre el Soyeuse, atacó su posición de Há llete, de la que obligó al.general Harispe á retirarse hacia S. Martin con al guna pérdida-----También hice que el destacamento de las tropas del ge neral Mina del valle de Bastan se presentase el mismo dia sobre Bidarray y Báygorry, y cortada la comunicación del enemigo con S. Juan de Pie de Puerto p…</t>
  </si>
  <si>
    <t>Harra</t>
  </si>
  <si>
    <t>…órdenes del archiduque Juan , varias manio bras , que presenciaron SS. MM. y AA. con una singular muestra de com placencia; y después se trasladaron SS. MM. y A A. al castillo del conde Harra, en donde comieron, restituyéndose por la noche á esta capital. Al dia siguiente á medio dia se trasladaron SS. MM. y A A. con toda la corte al castillo de Laxémburgo, en donde se les sirvió un exquisito y mag nífico almuerzo, después dei qual se pasearon por…</t>
  </si>
  <si>
    <t>Hauser</t>
  </si>
  <si>
    <t>…las bayonetas, y para hacerle saber á este general, que la reunión de los cantones de Vaud y de Argovia al de Berna, seria contrario á la volun tad general de la confederación. El coronel Hauser, ayudante dél landamman, marchó inmediatamente á llevar el oficio de la dieta ai príncipe de Schwarzenberg. Se habían tomado disposiciones para trasladar el quartel general de los aliados á Berna; pero el 27 de Diciembre hubo contraórden. No se puede adivinar…</t>
  </si>
  <si>
    <t>Hay</t>
  </si>
  <si>
    <t>…e j , &lt;•&lt;? hay - disminuido .con la desgracia y las penalidades. de tan oficial 1 ti a1 tímente estimado y respetado de todos. He sentido también sincera mente la muerte del mayor general Hay, cuyos servicios y mérito he te ñid í frecuentes ocasiones de poner en noticia de V. E. Por uri oficio que he recibido del teniente general Clinton del 6 de este, he sabido que es-* taba próximo á executar mi orden del 4 de Marzo de retirarse de:Catalu*&gt; ñ.ie…</t>
  </si>
  <si>
    <t>Henriquez, Antonio</t>
  </si>
  <si>
    <t>Antonio Henriquez</t>
  </si>
  <si>
    <t>…coini- , sario ordenadór. f- ' : ■.'•0? •/ • .• \ • -»•*: . . ■&gt; ; ; ' ' r-' El Rey por.'decretos de Í4 del corriente , «atendiendo a los buenos-ser»vicios del comisario ordeñador D. Antonio Henriquez, y del intendente de» provincia de la Mancha D. Juan Bautista dé Erro , ha tenido bi.en5 nómbrar á aquel para la intendencia de'exército y provincia deExtremaduray.jrv á- este para la de esta provincia de Madrid; . A virtud de despacho librada por el Sr. D, L…</t>
  </si>
  <si>
    <t>902</t>
  </si>
  <si>
    <t>…mino que estaba señalado por el Ge neral en gefe del Exército, esto seria cargo solo del Comandante de éi, y no de sus Subalternos: que lo mismo se entienda con el primer Teniente D. Antonio Henriquez, declarándole también S. M. libre del cargo de dis persión , y que le sirva de castigo el tiempo de su arresto, pues consta se separo al mismo tiempo que Urbina ; comunicándose esta real determina ción á los Exércitos y Capitanes Generales de Provincia con ar…</t>
  </si>
  <si>
    <t>Henry</t>
  </si>
  <si>
    <t>…6oo: totaf iioo hombres al cargó del tedíente córónel Morrice&gt; dél 69.%_Terceta columna del 91.°, 400 ; dcl ir.°y 100; dei 87.?, 150: tófal dgo hombreé, á las órdenes del.teniente coronel Henry^.deL!2ri.“JL.Quarta,co¿ 1 um fia, del 44Í0, goo; granaderos y • cazadores -'deba 1V0 y 200; d&lt;¿l Rea],,óoo.i total 1100 ¿ á las del brigadier general Gorp, y dci téniente coronel CarlcJtom.'r&lt;.r Total de las rp ¡ «o 1 fuerzas.395Pi</t>
  </si>
  <si>
    <t>Her, Francisco Toribio</t>
  </si>
  <si>
    <t>Francisco Toribio Her</t>
  </si>
  <si>
    <t>…la Pedrosa, cura párroco de la misma diócesis; y para el benefi cio mayor de la villa de Pozaldtz, en el obispado de Valladolid, vacante por muerte de D. José Joaquín de Menoyo, a D. Francisco Toribio Her nández. En América El Rey sé ha servido nombrar para el obispado de Cuenca en el Perú, vacante por fallecimiento del limo. Sr. D. Andrés Quintian, á D. José Ignacio Cortázar, cura propio de la iglesia matriz de Guayaquil. El Rey nuestro Señor sé ha dignado ad…</t>
  </si>
  <si>
    <t>Herboso, Pedro</t>
  </si>
  <si>
    <t>Pedro Herboso</t>
  </si>
  <si>
    <t>…se creyó en la. precisa obligación de hacer, entender su1contenido: al pueblo para su mas puntual observancia. A este fín dispuso,, con acuerdo de_ los señores teniente de curav y D. Pedro Herboso,. dignidad de tesorero-de la colegial de lioa, juntar concejo pleno á campana taradu*</t>
  </si>
  <si>
    <t>Herce, Pablo</t>
  </si>
  <si>
    <t>Pablo Herce</t>
  </si>
  <si>
    <t>…de Marina. D. Ramón Ayala, teniente de id. D. Juan Moreno, id de id. D. José Osorio, subteniente de id. D. Ramón Rerigel, te niente coronel, comandante de voluntarios de Asturias. D. Pablo Herce, capi tán de id. D. Andrés Pardo, a&gt; udante de id. D. Bernardo Pita , teniente de ¡d. IX Ramón Nuñez, id de id D. José Villamil, subteniente de id. D. Manuel Uznia, id. de id. D. Pedro Ovalle&gt; id. de id., D. Juan Canal, capitán del de Santiago. D. Juan de Cas…</t>
  </si>
  <si>
    <t>HerciHa, Manuel de</t>
  </si>
  <si>
    <t>Manuel de HerciHa</t>
  </si>
  <si>
    <t>…coroo lal presidenterdé,dicha junta , siendo individuosí de &lt;ella el Exbmo AíS¿ cohdé dejcMotezuma-, corregi dor; los Sres. Dv Fráfltiscd Ramiro y Art&amp;yosí, 'vicario eclesiástico; Don Manuel de HerciHa* Visitador ecle^tico-;'D.-Rafael R*eynaUe, -regidor-de Madrd; D. Juan Antonio Salcedo, euira pá/roco:de S. Ginés; D. Fermín</t>
  </si>
  <si>
    <t>Heredero, NicoLs</t>
  </si>
  <si>
    <t>NicoLs Heredero</t>
  </si>
  <si>
    <t>…tación de la universiiad literaria de la misma ciudad, compuesta de los doctores D. Tomas López de Regó, su actual rector, D. Venancio Dusmet, catedrático de concilios nacionales, D. NicoLs Heredero, de elo cuencia, D. Juan de la Dehesa, de instituciones civiles, y D. Francisco An tonio González, bibliotecario de S. M., tuvo el honor de felicitar á S. A. la Regencia de las Españas el domingo 16 del corriente. ARTICULO DE OFICIO. El mariscal de campo D. L…</t>
  </si>
  <si>
    <t>Heredia, Pedro de Peón</t>
  </si>
  <si>
    <t>Pedro de Peón Heredia</t>
  </si>
  <si>
    <t>…cielo les restituía á su amado Sobe rano. Con este objeto en la tarde del dia 20 del pasado conduxeron por las principales calles del pueblo el retrato de S. M., qive llevaban el coronel Don Pedro de Peón Heredia y los tenientes coroneles D. Francisco Miravalles linquerk y D. Bernardino de Peón, y llegados^ la iglesia de S. Francisco, de donde salió á recibirle la comunidad, se cantó en ella un solemne Te Deum\ y concluido, fue conducido de nuevo el retrato á la plaza…</t>
  </si>
  <si>
    <t>Heredia, Rafael de</t>
  </si>
  <si>
    <t>Rafael de Heredia</t>
  </si>
  <si>
    <t>…ncia del Reyno la compañía de granaderos al ca pitán de fusileros D. Juan Esteban Arfian: compañías de fusileros á los sub tenientes D. Juan Nepomuceno Rivas, D. Tomas de Heredia, D. Rafael de Heredia, D. Alonso Aznar y D. Felipe de la Cámara: la subtenencia de granaderos á D. José Ireneo Guerra; y subtenencias de fusileros á D. Ma nuel Benito Quixano, D. Nicolás Ortiz, D. Agustín Sánchez, D. Arcadio Quixano, D. Joaquín Sánchez y D. Arcadio Cicero. Por los…</t>
  </si>
  <si>
    <t>Heredia, Tomas de</t>
  </si>
  <si>
    <t>Tomas de Heredia</t>
  </si>
  <si>
    <t>…ha conferido la Regencia del Reyno la compañía de granaderos al ca pitán de fusileros D. Juan Esteban Arfian: compañías de fusileros á los sub tenientes D. Juan Nepomuceno Rivas, D. Tomas de Heredia, D. Rafael de Heredia, D. Alonso Aznar y D. Felipe de la Cámara: la subtenencia de granaderos á D. José Ireneo Guerra; y subtenencias de fusileros á D. Ma nuel Benito Quixano, D. Nicolás Ortiz, D. Agustín Sánchez, D. Arcadio Quixano, D. Joaquín Sánchez y D. A…</t>
  </si>
  <si>
    <t>Hermas, Francisco Xetrero y</t>
  </si>
  <si>
    <t>Francisco Xetrero y Hermas</t>
  </si>
  <si>
    <t>…ria. ESPAÑA. Madrid 30 de Setiembre. El dia 21 dé Julio próximo pasado tuvo él bachiller y presbítero Don Fernando Hermoso el honor de felicitar á S. M. en nombre de su tío ei Dr. D. Francisco Xetrero y Hermas, cura párroco y vicario juez ecle Ustico de la villa de Barcarotá, obispado de Badajoz, y del otro cura ei bachiller Don Antonio Porras y Foronda y de sus cabildos parroquiales, con cuyo mo tivo manifestó á S. M. el zelo y patriotismo de aquellos dignos ecles…</t>
  </si>
  <si>
    <t>Hermida, Benito Ramón de</t>
  </si>
  <si>
    <t>Benito Ramón de Hermida</t>
  </si>
  <si>
    <t>…stá confiado, se ha servido la Regencia del reyno promoverle á teniente general de los exércitos nacionales. El día i.° de Febrero próximo pasado falleció en esta corte el Exento; Sr. D. Benito Ramón de Hermida, á los 77 años de edad, y 45 de servi cios. Nació eú la ciudad de Santiago; fue colegial en el mayor de Fonseca; empezó su carrera de alcaide del crimen de la chancillería de Granada; pa só á oidor de la misma; fué ascendido á Regenté de la Audiencia de Sevi…</t>
  </si>
  <si>
    <t>Hermosilla, Juan Martínez de</t>
  </si>
  <si>
    <t>Juan Martínez de Hermosilla</t>
  </si>
  <si>
    <t>…plata pendiente de un collar, y 16 de se gunda, con igual distintivo, á los niños y niñas agraciados de las enseñanzas de esta ciudad y arrabales, que fueron costeados tres por el Sr. D. Juan Martínez de Hermosilla para los discípulos de las escuelas pías, y para las discípulas de las enseñanzas dos por la señora baronesa de Uxola , y uno por la señora baronesa de Antelia , y los restantes 47 por la sociedad; habiendo cedido la parte pecuniaria del premio Doña Tomasa Bo…</t>
  </si>
  <si>
    <t>Hermoso, Fernando</t>
  </si>
  <si>
    <t>Fernando Hermoso</t>
  </si>
  <si>
    <t>…poleón y de la Regencia , que era electivo, y el actual demuestro augusto Monarca D. Fernando vn, que es hereditario, sólido y dura ble. Un tomo en 4.0, compuesto por el bachiller D. Fernando Hermoso, dedica do á S. M. Esta obrita interesante á los que se precian de católicos y amantes de^ Fernando y de su propia felicidad , se hallará en la librería de Perez, calle de las' Carretas, y en la de Novillo, calle de la Concepción gerónima, frente á la espar t…</t>
  </si>
  <si>
    <t>…bre la organización de los países dé Italia que han vuelto al dominio del Austria. ESPAÑA. Madrid 30 de Setiembre. El dia 21 dé Julio próximo pasado tuvo él bachiller y presbítero Don Fernando Hermoso el honor de felicitar á S. M. en nombre de su tío ei Dr. D. Francisco Xetrero y Hermas, cura párroco y vicario juez ecle Ustico de la villa de Barcarotá, obispado de Badajoz, y del otro cura ei bachiller Don Antonio Porras y Foronda y de sus cabildos parroqui…</t>
  </si>
  <si>
    <t>Hermoso, María Dolores</t>
  </si>
  <si>
    <t>María Dolores Hermoso</t>
  </si>
  <si>
    <t>…En idem. 24077. 10000 idem........ En idem. 14678 10000 ídem......... En Madrid. 23602, icoóo’ idem ........ &gt; En idem. . :-í &gt; * •*'■■ rEn los autos del concurs'6 de acreedores á Doña María Dolores Hermoso, en que tiene responsabilidad Tomas Llopis, y cuyo'juicio universal pende en el tri bunal del cortsñlado de'Cádiz, y 'escribanía de D. Elias* Izquierdo y Payan, se ha decretado citar y emplazar á quantos se estimen con derecho á los bienes de dicho concurso,…</t>
  </si>
  <si>
    <t>Hernán, Casimiro</t>
  </si>
  <si>
    <t>Casimiro Hernán</t>
  </si>
  <si>
    <t>…a tuvieron asimismo el honor'de besar la mano y felici tar á S. M. y A A. una diputación de la villa de la Puebla de D. Fsdrique» en laprovincia de Ciudad-Real, compuesta del Lie. D. Casimiro Hernán dez, alca’de mayor; D. José Victoriano Díaz Moreno, alcalde ordinario, y D. Manuel de Jesús Torralba y Arnalte, procurador síndico; de los quales el primero are ngó á 5. M. en los términos siguientes:</t>
  </si>
  <si>
    <t>Hernán, Manuel</t>
  </si>
  <si>
    <t>Manuel Hernán</t>
  </si>
  <si>
    <t>…de esta ciencia, con arreglo á las Far macopeas matritense é hispana, y la explicación de sus fórmulas y demas artícu los, con arreglo al nuevo sistema de química: su autor el Dr. D. Manuel Hernán dez de Gregorio, boticario de cámara de S. M.: tres tomos en 4° &gt; con *3 lámi nas finas y dos planes. Son tan conocidos- los adelantamientos de los jóvenes dedi cados á la farmacia desde que salió á luz esta obra por primera vez, que su autor emprendió la seg…</t>
  </si>
  <si>
    <t>Hernández, Estéban</t>
  </si>
  <si>
    <t>Estéban Hernández</t>
  </si>
  <si>
    <t>…y media de la mañana concurrió el ayuntamiento á la iglesia co legial, donde se dió principio á la solemnísima función, en la que ofició el prior de la colegiata, y predicó el Dr. D. Estéban Hernández, canónigo vicario de la-parroquial de Sta. María. Concluida la función de iglesia, en la plaza que está al frente de la co legial esperaban ya formadas en ala dos comparsas de infantería y caballe ría, compuestas de mozos jóvenes y robustos, que vestidos de h…</t>
  </si>
  <si>
    <t>Hernández, Eugenio Rufino</t>
  </si>
  <si>
    <t>Eugenio Rufino Hernández</t>
  </si>
  <si>
    <t>…illo: un tomo en 4.0 Se hallará en la librería de la viuda de Barco López, calle de la Cruz. Himno patriótico al regreso de S. M. el Sr. D. Fernando vil ( que Dios guar de ) : por D. Eugenio Rufino Hernández: puesto en música con acompañamiento para forte-piano. Se hallará con la música , grabada con el mayor esmero , en Ma drid en la librería de Sojo, calle de las Carretas, y en las demas donde se vende el Procurador; en Valencia en la de López; en Alicante en e…</t>
  </si>
  <si>
    <t>Hernández, José</t>
  </si>
  <si>
    <t>José Hernández</t>
  </si>
  <si>
    <t>…\de ios: valientes delJOonativfls patrióticos detonados yl alivio quarto exército, que tan pródigamente derramaron su sangre en la memor able batalla de gi de Agosto de i8ig. Dr. D. José Hernández, cura párroco, 100 reales: José Riaza Milano, alcalde, constitucional, loó: Juan ¡Antonio'García^ regidor .decano, ♦ ■’óó; Juan Riaza Sanz , regidor, 40: Manuel José Sanz, regidor, 30: Xavier : Miguel Asenjo, regiAsen jo,. regidor, 60 : Mateo Sancho,‘regidor,…</t>
  </si>
  <si>
    <t>Hernández, Josefa</t>
  </si>
  <si>
    <t>Josefa Hernández</t>
  </si>
  <si>
    <t>…aña para el norte de la Europa con las tropas dei mando del general marques de la Romana. La persona que supiere de su paradero ó de su muerte se servirá avi sarlo en esta corte á Doña Josefa Hernández, que vive en la calle del Príncipe, Uum. 14, en la cerería* Quien tuviere noticia del paradero de D. Francisco Metieses, natural de Si sante, y casado en Vara de Rey, ambos pueblos de la provincia de Cuenca, que se hallaba de subteniente de caballería de volu…</t>
  </si>
  <si>
    <t>Hernández, Juan</t>
  </si>
  <si>
    <t>Juan Hernández</t>
  </si>
  <si>
    <t>34^ Vargas, el de caballería D. Pedro Luis Ichauspi , y los capitanes de la mis ma arma D. Juan Hernández y D. Concepción Herrera, y el voluntario Magdaleno Riberos. ,,Concluida la acción, y acabado de perseguir y dispersar al enemigo, pensé marchar contra la división de Sarare, como debia haberlo hecho; pero por la correspondencia cogida á los gefes, y la declaración de un oficial mo r…</t>
  </si>
  <si>
    <t>Hernández, Tiburcio</t>
  </si>
  <si>
    <t>Tiburcio Hernández</t>
  </si>
  <si>
    <t>…ica de Aíadrid, compuesta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 histórico del emperador Trajano, á que si…</t>
  </si>
  <si>
    <t>2115</t>
  </si>
  <si>
    <t>…por su dignidad y su ilús• trácionfformaban una reunión de Jas mas briilantés.cEI Excmo. Sr. duque de Híjar, director de la Real sociedad r leyó la oración inaugural; y el so cio D. Tiburcio Hernández, como encargado de dirigir la enseñanza de los jordo-rmidos, y á cuyo zelo y conocimientos se deben los experimentos pu blicados sobre la posibilidad de curarlos, y el mismo que ha trabajado un plan científico de enseñarles, cuya publicación está inmediata, l…</t>
  </si>
  <si>
    <t>…tínez r de San Martin, censor Antonio Osterez yNario, secretario; D. Antonio Regas, contador; D. Fermín María de Uria Nafarrondo, tesorero; D. Anr tonio Sandalio Arias, archivero; D. Tiburcio Hernández, bibliotecario . ; r • . • , ■» ' ■ j ‘ • ■ &gt; • f * * En la villa de Chozas de Canales, distante ocho leguas de esta corte y quatró de Toledo, se halla vacante la plaza de maestro de niños, cuya dotación consiste en seis rs. diarios, pagados puntualmente, cas…</t>
  </si>
  <si>
    <t>Hernández, Xavier</t>
  </si>
  <si>
    <t>Xavier Hernández</t>
  </si>
  <si>
    <t>…micas atágicas plicadas con las en menor núme inflamatorias..... ro, y mas be nignas................ Mediano. A fines de Agosto de 1808 se remitieron desde Tarazona de Aragón por Don Xavier Hernández, con endoso á favor del P. Fr. Salvador Echarri, á la ciudad de Zaragoza, para su renovación y cobro de intereses quatro vales de 150 pesos, crea ción de Setiembre, señalados con los núms. 145099, 165231, 166201 y 205860; y habiéndose extraviado, se suplica á…</t>
  </si>
  <si>
    <t>Heros, Pedro</t>
  </si>
  <si>
    <t>Pedro Heros</t>
  </si>
  <si>
    <t>…y Curazao, tocando á la vista de este puerto. '• * • V = . v • &lt; .• • &lt; Fragata Dolores, su capitán D. Pedro Muzquiz, procedente de Cádiz, sobre cabo Maysí» Fragata S. Luqueña, su capitán D. Pedro Heros, procedente de Cádiz, sobre ídem, yen su carga traía sables y fornituras’para los de buena causa. . Del trafico de esta provincia. . : , Goleta el Tigre, perteneciente á D; JosefMolans. .. ? .—^Queche Ana María, de D.. Manuel Justiz, represado con su carga po…</t>
  </si>
  <si>
    <t>Herranat, Antonio</t>
  </si>
  <si>
    <t>Antonio Herranat</t>
  </si>
  <si>
    <t>…irector se-1 gundo al señor canónigo D. José Sobrevía. En la elección de oficiales sé nombró censor al Sr. D. Agustín Alegre, abogado, alcalde primero consti tucional; contador al Sr. D. Antonio Herranat, y tesorero al Sr. D. Andrés 3Ma-riá , abogado. Declarada vacante Ik secretaría principal quedesempeñaba rD. Diego de Torres, contador que fue de la qtiarta división durafite-la dtíminacton francesa, con presencia de la causa que se le está siguiendo acercar…</t>
  </si>
  <si>
    <t>Herrasti, Andrés Perez</t>
  </si>
  <si>
    <t>Andrés Perez Herrasti</t>
  </si>
  <si>
    <t>…co -de la plaza de Vich á D. Cesario Escobar;, para el de la plaza de'Cartage-na á D. Juan de Dios Topete: para el de Tortosa 4 D. Francisco Marcó del Pont: para el de Barcelona á D. Andrés Perez Herrasti: para el de Tarraigona á D. Carlos de España: para el de las quatro villas de Santander 4 vD. Vicente Quesada; y para el de Lérida á D. Francisco Fulgosio. Igualmente se ha servido nombrar S. M. par-a la regencia del consejo djs Navarra á D. Juan Garrido Lópe…</t>
  </si>
  <si>
    <t>Herrasti, Andrés Perez de</t>
  </si>
  <si>
    <t>Andrés Perez de Herrasti</t>
  </si>
  <si>
    <t>…o de Iturmendi. = Teniente de Canci ller mayor, Fernando de Iturmendi. El Rey nuestro Señor en consideración á los distinguidos servicios y di* latado mérito del mariscal de campo D. Andrés Perez de Herrasti, y para manifestar á este digno general el aprecio que ha debido á S. M. el señalan do que contraxo mandando la gloriosa defensa de la plaza de Giudad-Ro** drigo, se ha servido promoverle á teniente general de sus exércitos» con la antigüedad del dia de la re…</t>
  </si>
  <si>
    <t>Herre, Alexandro</t>
  </si>
  <si>
    <t>Alexandro Herre</t>
  </si>
  <si>
    <t>…. el por•: enor de la referida batalla, y tenga los partes de los gefes que mandaban las dos alas y los de sus respectivos cuerpos. ■■■ . Repito á V\ E. éste parte por el teniente coronel D. Alexandro Herre ra, teniente de artillería, para que por extraordinario tenga V. E. iuego esta satisfacción, é igualmente el público todo, y esos nobles, rieles y generosos habitantes de Lima, á quienes mi gratitud profesa una inclinación sin tér mino. ' Dios guarde á V. E.…</t>
  </si>
  <si>
    <t>Herrera, Bernardo Perez de</t>
  </si>
  <si>
    <t>Bernardo Perez de Herrera</t>
  </si>
  <si>
    <t>…la, quien lo entiesará dando las señas. ' Por sentencia de la chancillería de Valladolíd de 22 de Mayo de 1807 está re ser vano en derecho á los hijos, nietos,y biznietos del Líe. D. Bernardo Perez de Herrera, el tyie pueden tener al crédito de 47977 rs. y 32 mrs. vn., correspon diente a Doña Beatriz Freyle, contra el estado del marquesado de Fromista, y á los réditos vencidos y «lindados pagar por 3a sentencia, cuya cantidad unida á la antecedente asciende á 3848…</t>
  </si>
  <si>
    <t>Herrera, Francisco María de</t>
  </si>
  <si>
    <t>Francisco María de Herrera</t>
  </si>
  <si>
    <t>…. En Córdoba ..... Rafael de Montis. ..D. En, la . oruna..»••»••»•«••»••.. D. helipe .Elorz. En Cuenca .................. . D. José Escolar y Noriega. En Canarias................. D. Francisco María de Herrera. En Gran rda................. D. Francisco Escovar. En Guadal^xara-........... D Joaquín Beladies. ■ '' ' -En Guipúzcoa y Vitoria. D F rancheo Arrieta ' • En J. 3en............................ D. José Arroyo y Serrano y D. Francisco Ló pez Zavala. En León....…</t>
  </si>
  <si>
    <t>…........... D. Rafael de Montis. En la Coruña,.................. D. Felipe Elorz. En Cuenca..........¡............... D. José Escolar y Noriega. En Canarias....................... D. Francisco María de Herrera» En Granada...................... D. Francisco Escovar. En Guadalaxara............. D. Joaquín Beladies. En Guipúzcoa y Vitoria. D. Francisco Arrieta. En Jaén............................... D. José Arroyo y Serrano y D. Francisco Ló pez Zavala. En León.......…</t>
  </si>
  <si>
    <t>…o. ' ¡En Córdoba...... .......D. Rafael de Mofatis. En la Coruña....... D. Felipe Elorz. En Cuencal..................... D. José Escolar y Nbriega. En Canarias.................... D. Francisco María de Herrera* En Gfañada..;.'..?.^... ... D. Francisco Eseovar* ; r ■En Guadataxar#. ^ D.JoaqujnBeladies. En Guipúzcoa y. Vitoria C I&gt;. Francisco Arríeta., ¡; En Jaén......................... D. José Arroyo y Serrano y D. Francisco Lo* • ' pez Zavala. En Leon'.Jt^..¿..¿i.…</t>
  </si>
  <si>
    <t>Herrera, Gonzalo de</t>
  </si>
  <si>
    <t>Gonzalo de Herrera</t>
  </si>
  <si>
    <t>…tallón de milicias disciplinadas de infantería de Chiquimula, en Goatemala, á D. Dionisio Paez, D. Manuel José Sandoval y Don Juan José Palma, sargentas del propiobeuerpov &lt; * ; ' D. Gonzalo de Herrera, diputado en Cortes por la isla de Cuba, deseo so de dar pruebas de su amor á riuestró monarca el Sr. D. Fernando vn, ha puesto á disposición del Gobierno un coche con su tiro para que sirva en el viage de recibo y acompañamiento de S. M., costeándose de su c…</t>
  </si>
  <si>
    <t>Herrera, Juan Pedro</t>
  </si>
  <si>
    <t>Juan Pedro Herrera</t>
  </si>
  <si>
    <t>…o de Campos, canciller deja inigne orden del Toyson de Oro y cura del Real palacio: para una ración de la iglesia cate dral de Málaga, vacante por muerte de D. José de Cisneros, á D. Juan Pedro Herrera: para otra ración de Ja misma iglesia, vacante por fallecí-</t>
  </si>
  <si>
    <t>Herrera, Mateo de</t>
  </si>
  <si>
    <t>Mateo de Herrera</t>
  </si>
  <si>
    <t>…ciudad de Santander: su dotación son 100 fane gas de maíz y 150 ducados, pagados por la justicia. Los pretendiera tes dirigirán sus m"m'&gt;ria!es á la justicia del dicho Honor, ó á D. Mateo de Herrera, vecino del mismo. i Qué era la constitución? ó sea Observaciones sobre la que sancionaron las Cortes generales y extraordinarias publicadas en 1812, y reimpresas ahora de nue vo en un solo volumen por su autor D. Benito Mirla Sotelo de Novoa y Niño, marques'…</t>
  </si>
  <si>
    <t>Herrero, Pedro Nieto</t>
  </si>
  <si>
    <t>Pedro Nieto Herrero</t>
  </si>
  <si>
    <t>…Juan Escoiquiz, con dimisión de la dignidad y canongía que obtiene en la misma iglesia pri mada: para la abadía de S Vicente, dignidad de la propia iglesia, vacante por muerte de D. Pedro Nieto Herrero, á D. Diego Martin Rorro: para i«na canongía de la iglesia catedral de Calahorra, que resultará vacante por promoción de D. Fermín Francisco San Juan al arcedianato de Berberiego, dignidad de la&lt;mÍ9ma catedral, á D. Matías Antonio Gómez: para el bene-</t>
  </si>
  <si>
    <t>Herreros, Manuel García</t>
  </si>
  <si>
    <t>Manuel García Herreros</t>
  </si>
  <si>
    <t>…prima , publique y circule. = L. de Barbón, cardenal de Scala, arzobispo de Toledo, presidente. = Pedro de Agar.—Ga briel Ciscar.zzEn la Isla de León á 22 de Noviembre de 1813. =A Don Manuel García Herreros.* D. Fernando vir, por la gracia de Dios y por la Constitución de la mo narquía española, rey de lasEspañas, y en su ausencia y cautividad la Regencia del Reyno nombrada por las Cortes generales y extraordinarias, á todos los que las presentes vieren y entend…</t>
  </si>
  <si>
    <t>…u cum plimiento, y dispondréis se imprima, publique y circule ==En palacio á 14 de Abril ¿e 1,814. = Ausente el señor cardenal presidente, vxPedro tde Agar.zz. Gabriel Ciscar. = A D. Manuel García Herreros; ’ • i* D. Fernando vil, por la gracia de Dios y por la Constitución de la mo narquía española, rey de las Españas, y en su áuséncia y caurividad la Regencia del Reyno nombrada por las Cortes generales y extraordinarias, á todos los que las presentes vieren y…</t>
  </si>
  <si>
    <t>…ra su cum plimiento , y dispondréis se imprima, publique y circule ssFb palacio á 19 de Abril de 1814.:= Ausente el señor cardenal presidentes Pedro de Agar. = Gabriel Ciscar.zz A D. Manuel García Herreros.” D. Fernando vil, por la gracia de Dios y por la Constitución de la mo narquía española , rey de las Españas, y en su ausencia y cautividad la Regencia del Reyno nombrada por las Cortes generales y extraordinarias, á todos lps que las presentes vieren y ente…</t>
  </si>
  <si>
    <t>Herreros.', Manuel García</t>
  </si>
  <si>
    <t>Manuel García Herreros.'</t>
  </si>
  <si>
    <t>…su cum plimiento, y dispondréis se imprima, publique y circule = En palacio á 19 de Abril «le 1814. == Ausente el señor cardenal presidente* ~ Pedro de Agar,-x Gabriel Ciscar. ~ A D. Manuel García Herreros.'*</t>
  </si>
  <si>
    <t>Herries</t>
  </si>
  <si>
    <t>…mucho menos tiem po, y con menor pérdida que la que creí posible. El mayor general Gibbs, que mandaba la segunda división , auxiliado por el mayor general Taylor y por e! teniente coronel Herries, dirigió este ataque, en el qual todas las tropas se conduxeron ccht el acostumbrado de nuedo é intrepidez de los soldados británicos. Ademas de los oficiales mencionados, se conduxeron valientemente el teniente coronel Cameron, el teniente coronel Hompesch,…</t>
  </si>
  <si>
    <t>Hervás, Juan José</t>
  </si>
  <si>
    <t>Juan José Hervás</t>
  </si>
  <si>
    <t>D. Tiburcio Asi-ain; y para la de Pozuelo de Cdatrava a 'D. Juan José Hervás, todas en el territorio de las órdenes militares___Admismo por Real decreto de 23 de Noviembre ultimó se ha servido S. M. nombrar para la de la villa de Tomelloso, en el propio territorio, á D. Agustín Francisco de Cuenca. El Rey se ha servido nombrar para la…</t>
  </si>
  <si>
    <t>Hesse</t>
  </si>
  <si>
    <t>…to. Los diferentes cuerpos de austríacos que se hallan ya enlas inmediaciones de Dijon se pondrán á las órdenes del general Bianchi. El primer cuerpo de reserva, baxo el mando del príncipe Hesse, que se halla ya mas acá de Basilea, se reunirá con este exército. Tengo la honra &amp;c. Troyes 21 de Febrero.•=. Burghersh. 2.0 El príncipe Schwartzenberg ha determinado hoy que se pongan mañana en movimiento los cuerpos de los generales Wrede y Wittgenstein po…</t>
  </si>
  <si>
    <t>Hesse, Ernesto de</t>
  </si>
  <si>
    <t>Ernesto de Hesse</t>
  </si>
  <si>
    <t>…no de los augustos Soberanos que las honraban con su pre sencia. j ; V Han llegado últimamente á esta capital SS. AA. el gran duque de Ba lden; el príncipe de la Tour-de-Taxis; el príncipe Ernesto de Hesse, gene ral del exército ruso; el conde de Loevenhiid, enviado de Suecia en la cqr, te de Rusia, y sq consejero de embaxada Mr. de Brandel; el conde Capo de ..Istria, enviado de Rusia en Suecia; Vech, diputado de Zurich; Zeriende, diputado de Berna, y otros. An…</t>
  </si>
  <si>
    <t>Hesse, Federico de</t>
  </si>
  <si>
    <t>Federico de Hesse</t>
  </si>
  <si>
    <t>120</t>
  </si>
  <si>
    <t>…tilidades no se introducirán en Rendsburg ni municiones ni tropas. Baxo ningún pretexto se podrá aumen tar la guarnición con tropas antes de comenzar de nuevo las hostilidades. Ei príncipe Federico de Hesse, comandante de las fuerzas danesas, se .obli ga ademas á no aumentar las fortificaciones de la plaza con flechas ni otra suerte de obras. El exército aliado por su parte no construirá tampoco obra alguna contra la plaza, y durante el armisticio permanecerá de…</t>
  </si>
  <si>
    <t>Hesse, Guillermo de</t>
  </si>
  <si>
    <t>Guillermo de Hesse</t>
  </si>
  <si>
    <t>…amarca; el lord Cathcart, ministro de Inglaterra en la corte de Rusia; el general Doctorof; el consejero de Estado Verneguer; los condes de Linange, de Sickingen y de Salm-Dyk; el príncipe Guillermo de Hesse; el príncipe here dero de Hesse' Rumpeheim; lord Stewart, embaxador de Inglaterra en nuestra corte; el consejero de Estado de Prusia Beguelin; el consejero de Guerra de la misma Lombard, y el barón de Hompleda, ministro de Han nóver, que debe asistir al congr…</t>
  </si>
  <si>
    <t>Hetcher</t>
  </si>
  <si>
    <t>…RETAÑA. Londres 29 de Julio. Los periódicos de Dublin» que se han recibido aqui esta mañana» pintan á la Irlanda en el estado de la mayor agitación. Entre otras cosas dicen que el juez Hetcher, yendo.haciendo su visita por el condado de Kilkenny, se vio insultado en tales términos, que le fué preciso tomar una escolta de lz dragones , y que á pesar de esta medida el populacho de Callen lo había apedreado. - -v- ** Se asegura que antes de que se ver…</t>
  </si>
  <si>
    <t>HéWart, Sír Wiliiam</t>
  </si>
  <si>
    <t>Sír Wiliiam HéWart</t>
  </si>
  <si>
    <t>…ralela á la que ocupaba el enemigo, con el objeto de doblar su izquierda, y cortarle su retirada por aquel camino, al mismo tiempo que la segunda división, mandada por el teniente general Sír Wiliiam HéWart, la atacaba de frente. Estas tropas hicieron el ataque mas bizarro contra la podcicm del enemigo, que era extremadamenté. fuerte, tomándola sin embargo con poca pérdida.----Mucha parte del dia'se había pasado ames que hubiese podido empezar el ataque, y la ac…</t>
  </si>
  <si>
    <t>Hi, Santiago</t>
  </si>
  <si>
    <t>Santiago Hi</t>
  </si>
  <si>
    <t>…la ciudad de Guadalaxara, luego que vio acercarse el deseado dia en que debía verificarse el arribo de S. M, y AA. RR. á la corte, nombró una comisión compuesta de sus capitulares D. Santiago Hi dalgo, decano; D. José García, D. Manuel Gaona, D. Ramón Moreno y D. Inoce.nte Estúñiga, los quales desde luego se apresuraron á dirigir á S. M. la siguiente exposición: „ Señor: la muy noble y siempre leal ciudad de Guadalaxara, represen tada por cinco d*e s…</t>
  </si>
  <si>
    <t>Hidalgo'Sarguero, Diego</t>
  </si>
  <si>
    <t>Diego Hidalgo'Sarguero</t>
  </si>
  <si>
    <t>…S. M. y besar su Real mano D. Gerónimo de Godoy y Quintana, capellán de Reales guardias de Corps, y su hermano D. Juan, subrigadier del mismo Real cuer po, los quales en nombre de D. Diego Hidalgo'Sarguero yde su muger é * rijos, vecinos de til Villa de Quintana, en el partido de la Serena, en Extre madura, déspHes de haber cumplimentado á S. M., hicieron el donativo de 8S&gt; reales vellón para subvenir á los gastos de la nación, manifestando el sentimiento de qu…</t>
  </si>
  <si>
    <t>Hidalgo, Manuel</t>
  </si>
  <si>
    <t>Manuel Hidalgo</t>
  </si>
  <si>
    <t>…esto noticias de su paradero, se supli ca al que las tenga las comunique á su esposa Doña Josefa Morante en la villa de Niebla, reyao de Sevilla, ó en¿la misma villa á su hermano D. Manuel Hidalgo. In laudem potentissimi ac sapientissimi Georgii tertii, Angliac Regis et Hispaniarum fautoris benignissimi cautus hispani adoptivi. zz Pauperculae musae heyoycum Hj^paniae. vindieem demir$njj$ Joetus arte quiejem rudis^sed amore politus. irChant d’ailégresse…</t>
  </si>
  <si>
    <t>Hidalgo, Santiago</t>
  </si>
  <si>
    <t>Santiago Hidalgo</t>
  </si>
  <si>
    <t>560</t>
  </si>
  <si>
    <t>…Madrid. En este mismo dia fué admitida á cumplimen tar á S. M. y A A. una di putación de la ciudad de Guadalaxara, compuesta de cinco de sus capitu lares, en nombre de los quales D. Santiago Hidalgo a-rengó á S. M. en estos términos í „ Señor: la ciudad de Guadalaxara felicita á V. M. por su regreso á Esaña, y contará por el mayor de sus timbres la dicha de besar la real mano e V. M. y las de los Sermos. Sres. Infantes sus dignos Hermano y Tio§ ( arrodil…</t>
  </si>
  <si>
    <t>Hidalgo, Silvestre</t>
  </si>
  <si>
    <t>Silvestre Hidalgo</t>
  </si>
  <si>
    <t>…Cántabro. Don Juan Suarez, capitán de id. D. Vicente Carvajal, id. de id. D. Juan Piñal, teniente de id. D. Francisco Mediavilla, id de id. D. Ramón de Arribas, subteniente de id. D. Silvestre Hidalgo, teniente coronel del de Laredo. D. Bernardino García, capitán de id. D. Antonio González Villamil, ayu dante de id. D. José Alfonso, teniente de id. D. Félix del Arenal, subte niente de id. D. José Gómez, subteniente de tiradores de Cantabria. Contusos. D. A…</t>
  </si>
  <si>
    <t>Higrall</t>
  </si>
  <si>
    <t>…experimentado realzan la pericia del general, y el excelente espíritu de que está animado este cuerpo. Las operaciones de la artillería las dirigió con tanto talento como valor el capitán Higrall. La artillería sueca é inglesa, y el cuerpo destacado del conde Woronzow se han distinguido extraordina riamente. El general barón de Boye elogia el talento de los capitanes Thersner y Melander, ingenieros. El capitán ingles Farquhar con la esquadriila de su…</t>
  </si>
  <si>
    <t>Hiil</t>
  </si>
  <si>
    <t>…destreza, y tuvo un feliz resultado; la división ligera dei mando del general barón de Alten arrojó al enemigo de las alturas encima de Orlen, y habiendo atra vesado la ciudad el general Hiil, y dispuesto sus columnas para el ataque, se retiró el enemigo en todas direcciones. La pérdida de este p@r el punto donde verificó su ataque la división li gera, ha sido considerable, no habiéndolo sido la nuestra en ninguna de es tas operaciones. Nuestras t…</t>
  </si>
  <si>
    <t>…nificencia de la nación.” Se han comunicado á la misma Cámara otros tres mensages para que se les señale igualmente pensiones anuales al lord Lynedock (Graham), lord Beresford y á lord Hiil. CAMARA DE LOS COMUNES. El canciller del Echiquier en la sesión del 12 pronunció un discurso so bre la parte gloriosa que los exércitos británicos y su ilustre comandante han tenido en los acontecimientos qne han dado la paz al mundo, y propuso conceder al du…</t>
  </si>
  <si>
    <t>Hil</t>
  </si>
  <si>
    <t>…pañolas, y el resto de las inglesas. El $ de madrugada se intentó de nuevo pasar el puente ; mas no fué posible por haber crecido el rio, y-haberse inutilizado algunas -barcas. El general Hil!, que estaba en Muret, á la derecha- de Tolosk ^ pasó; átla izquierda para pro* teger nuestro paso y llamar la atención ;deh enemigo; ^ i ¿o- -■ • nr- &gt;‘ ESPAÑA. v Vich 5 de Abril, ÍJ ¡í Dícese^qbei lós enemigos contirtúin • sacándolos.Afectos de laplazade S.…</t>
  </si>
  <si>
    <t>Hilaire</t>
  </si>
  <si>
    <t>…alto el dia 11 por el príncipe real de Wurtemberg, quien inmediatamente marchó á*Bray por Pont del Yone. El dia 9 el conde Plardeg acometió la retaguardia del enemigo en Romilly y Sr. Hilaire; y habiéndosele reunido el general Wittgenstein, in mediatamente la acometió segunda vez cerca de St. Aubin y JVlarnay , y la arrobó hacia Nogent, que fué ocupada en parte por el conde Hardeg. £1 conde Wittgenstein habiendo avanzado hacia el pyehte del Sena,…</t>
  </si>
  <si>
    <t>Hill</t>
  </si>
  <si>
    <t>2i , Previendo ú esperando este ataque, previne al mariscal Beresford que reforzase al teniente general Hill con la sexta división, que pasó el Nivé al amanecer de la misma, mañana, y sucesivamente le reforcé con la quarta división y dos brigadas de la tercera. La esperanza de la llegada de la sexta división dio al teniente general Hill grande facilidad en la cxecuc…</t>
  </si>
  <si>
    <t>…an en Azparren con la tercera y sexta ; y añaden que la del general EsÍ&gt;aña estaba también reunida con los ingleses. Parece se han retirado a4 otro ado del Aran , según escribe el general Hill. Por la parte de Bayona ocupa el enemigo las mismas po siciones, traba jando siempre en los reductos. Dias pasados fue conducido á ésta por una partida nuestra un francés, hijo de Burdeos, que se hallaba avecindado en Bayona, por haberle encon trado algunas c…</t>
  </si>
  <si>
    <t>20 : José de Aguado* del ayudante primero D. Luís Cepeda, del segundo Don Manuel Bausa, y del capiran ingles D. Jorge Hiller, del estado mayor del general Hill. Son igualmente recomendados muchos soldados y sargentos, y entre estos el segundo de ia Union Flario Barral, que por si solo hizo 14 prisioneros, y el de igual clase de León Vicente Ruiz, que después de herido y curado, volvió al fuego. 1 Acaba de recibir el…</t>
  </si>
  <si>
    <t>…n S. Juan de Pie de Puerto por las ventajas del general Sir Rowland Hill, quedó bloqueado aquél fuerte por las tropas expresadas----- La mañana del siguiente dia 15 las tropas del general Hill continuaren en alcance del enemigo, que se ha bía retirado á una fuerte posición enfrente de Garis, en cuyo punto se Jé había incorporado la división del general París, que habia sido llamada otra vez después de empezada su marcha al interior de Francia, y ot…</t>
  </si>
  <si>
    <t>…el 15-----El enemigo se retiró atravesando el rio en St. Palais cf* noche, y destruyendo después los puen tes , que fueron sin embargo reparados tan prontamente que las tropas del general Hill los pasaron el dia 16-----El 17 , habiendo sido arrojado el enemi go del otro lado del Gave de Mauleon , intentó destruir el puente de Arriveretre ; pero no tuvo lugar de completar su destrucción, y habiéndose des cubierto un vado mas arriba del puente, el re…</t>
  </si>
  <si>
    <t>…as divisiones primera y se gunda, porque destacada esta á las inmediatas órdenes del teniente general Hoppe, y hallándose la otra á larga distancia de este punto con el cuerpo del general Hill, no han tenido tiempo sus comandantes generales de diri girme las noticias competentes.----Espero que V- E. tendrá á bien de in formar i S. A. la Regencia de lo ocurrido en este dia , y posición que ocu pa el exército , manifestándola lo satisfecho que estoy…</t>
  </si>
  <si>
    <t>HilL</t>
  </si>
  <si>
    <t>…llería y el general Picton con la tercera división pasaron aquel rio por debaxo del puente de Berens; y haciendo marchar al mismo punto las divisio nes sexta y ligera, di órden ál general HilL para que con sus tro pas ocupase las alturas que hay enfrente de Ortés y el camino real de Sauveterre. Las divisiones sexta y ligera pasaron el rio al ama necer del dia 27, y encontramos al enemigo en una fuerte posi ción cerca de Ortés apoyada su derecha en…</t>
  </si>
  <si>
    <t>…al Picton con la sexta división , al mando del general Clinton , y coa los restos de la tercera división, desalojaron al fin al enemigo, y nos dieron la victoria. ,,Entre tanto el general Hill habla forzado el paso del Gave por baxo de Ortés, y viendo ei estado de la acción, se puso en movi miento con la segunda división y la caballería del general Trane en derechura por el camino real de Ortés á St. Severe, manteniéndose de este modo sobre el flan…</t>
  </si>
  <si>
    <t>…ue en esta ocasión hemos perdido al teniente coronel^Hood, oficial de grande mérito v de grandes esperanzas. Por lo demas la pérdida no ha sido considera^ ble» Según el parte d_el general Hill las: i tropas dé su mando han dado en esta ocasión nuevas pruebas del valor y bizarría que siem pre las han distinguido* Dios guarde á V. E. muchos años. Quartel general de St. Severe á 4 de Marzo de 1814.= Excmo. Sr.s 'Wellingtofi,, duque de Ciudad-Rodrigo,…</t>
  </si>
  <si>
    <t>…llaba baxo su inmediato mando, y espero que la brigada de caballería del mayor general Ponsomby se reunirá ef diá de mañana.__ El general Fane, que manda ios puestos avanzados del general Hill, me ha informado que el enemigo había reunido hov una fuerza considerable eri las inmediaciones de Conchez; y por consi guiente infiero que la fuerza destacada del exército de Cataluña ( que se di ce sube á to® hombres), se ha reunido al exército enemigo.—1 D…</t>
  </si>
  <si>
    <t>Híll</t>
  </si>
  <si>
    <t>…dos columnas desde Vich de Bigorre y Rabastens, y man dé al teniente general sir Henry Clinton que con la sexta división atacase y doblase la derecha del enemigo, mientras que el general Híll atacaba la ciudad por el camino real de Vich de Bigorre. El movimiento del general Clinton fué ejecutado con mucha destreza, y tuvo un feliz resultado; la división ligera dei mando del general barón de Alten arrojó al enemigo de las alturas encima de Orlen, y…</t>
  </si>
  <si>
    <t>…retnguar- . día en St. Gaudens, no han podido nunca nuestras tropas venir á las-ma nos con ellas. Incluyo á V. E. el parte de esta acción que da el mayor ge neral Fane al teniente general Hill, que hace mucho honor al regimiento 13.^ de dragones ligeros. No tengo noticias muy recientes de Bourdeaux , é igno ro sí la esquadra se halla ya delante del Garona. No tengo noticias muy frescas de Cataluña. Incluyo á V. E. el estado de los muertos y heridos…</t>
  </si>
  <si>
    <t>…pa Soult entre el canal y el rio; pero nada hubo: qdíeto* to$0$ en só$\pütftós ^y tínicamente algún tiroteo de guerrillas se oía pór la izquiérctefdeí Garóña, en donde se halla él general Hill. Son las nufcve efe 1&amp; noche, y no hay aviso de que mañana haya ataque; peto esperamos vénga de un momento á otro. Nuestras'divisiones están -acampadas en ios puntos en que terminó la Idem 12 á las cinco de la mañana: Los enemigos abandonaron á Tok&gt;sa á las 1…</t>
  </si>
  <si>
    <t>…para publicar la paz, con cuyo motivo le ha escrito una carta el icrd Sidmuth al lord corregidor. Se asegufa que la grande expedición que se prepara en Burdeos, baxo el mando del general Hill, irá destinada al Chesepeake. Nuestro invencible exército del Canadá se pondrá en movimiento á Ja misma época sobre el Susquehannah, y los dos cuerpos se reunirán, según todas las apariencias, en Washington, Fiiadelfia y Baltimore. La residencia del gobierno…</t>
  </si>
  <si>
    <t>…ue la opinión mas común es que se compone de; 9© infantes y 4® artilleros. Se dice también que junta mente con este exército. habia eritta-do .en íaquella capital el del mando del general Hill; y por noticias particulares (recibidas posteriormente se sabia &lt; que estaba desembarcando en el mismo punto otra división de tropas ingle sas, cuyo número se ignoraba, aunque^ convenían que eran las suficientes á</t>
  </si>
  <si>
    <t>…s. Se sabe por un correo.que han sido hechos prisioneros quatro soldados; pero se ignoran las fuerzas que tienen: unos dicen que son 4© hombres, y otros 700 solamen te. Esperan al general Hill con un refuerzo, y se lisonjean de tomar quarte* les de invierno en Baltimore. El 13 entro el conmódoro Chauncey en Sacket, y se puso en línea de batalla á la entrada del puerto. Los cañones de la Omeda deben desembarcar se para hacer una batería. Como sir Ja…</t>
  </si>
  <si>
    <t>Hill, Sir Rowland</t>
  </si>
  <si>
    <t>Sir Rowland Hill</t>
  </si>
  <si>
    <t>…erra el parlte siguiente: „Excmo. Señor: conforme á las intenciones manifestadas á V. E. en mi anterior despacho, puse en movimiento la derecha del exército, al mando del teniente general Sir Rowland Hill, el dia 14; y habiendo arrojado los piquetes enemigos que estaban sobre el Soyeuse, atacó su posición de Há llete, de la que obligó al.general Harispe á retirarse hacia S. Martin con al guna pérdida-----También hice que el destacamento de las tropas del ge ne…</t>
  </si>
  <si>
    <t>Hiller, Jorge</t>
  </si>
  <si>
    <t>Jorge Hiller</t>
  </si>
  <si>
    <t>20 : José de Aguado* del ayudante primero D. Luís Cepeda, del segundo Don Manuel Bausa, y del capiran ingles D. Jorge Hiller, del estado mayor del general Hill. Son igualmente recomendados muchos soldados y sargentos, y entre estos el segundo de ia Union Flario Barral, que por si solo hizo 14 prisioneros, y el de igual clase de León Vicente Ruiz, que después de herido y curado, vol…</t>
  </si>
  <si>
    <t>Hipó</t>
  </si>
  <si>
    <t>…del lügar de S. Cristóbal de la Vega, que Vacó por muerte de D. .Lorenzo Vázquez : para el.beneficio simple de Flellin , vacante por muerte del cardenal de la santa iglesia romana D. Hipó lito Vincenti, á D. Francisco Salazar en consideración al distinguido méri to y acrisolado patriotismo que ha acreditado en defensa del Rey y de la religión: para el beneficio simple servidero de S. Vicente de la ciudad de Avila, vacante por muerte dé D. Fran…</t>
  </si>
  <si>
    <t>HiÜ</t>
  </si>
  <si>
    <t>…l infame tirano; y que un testimonio de todos es tos hechos se archive para eterna memoria. Trun 24 de Marzo. Los regimientos de León, Jaén y Vitoria adelantan con el exército del general HiÜ con dirección á Toiosa, habiendo quedado para el sitio de Na— varrens el general Morillo con los batallones Doile, Union y Legión extre meña Se construyen por las noches baterías para colocar la art Hería luego que el tiempo permita su llegada. Entonces nos a…</t>
  </si>
  <si>
    <t>Hiuie'</t>
  </si>
  <si>
    <t>…Espina. = Vidal.=Andrés Ruiz de Sagredo, secretario. Por noticias de Puerto-Rico y la Havana, recibidas en Cádiz el ífi de Agosto, y traídas por el bergantín español la Virgen, su capitán Hiuie'! que ha llegado en 40 (has del primer punto, se sabe que el comandante Bo yes tomo a Caracas el 6 de Julio, y que ha reconocido al Rey toda la nroymcia. Asimismo trae not.cias de la buena disposición del pueblo de V ;1 de Cuba, y de estar para salir de la Hav…</t>
  </si>
  <si>
    <t>Homaí, Bernardo María de</t>
  </si>
  <si>
    <t>Bernardo María de Homaí</t>
  </si>
  <si>
    <t>…y para el arciprestazgo de Herrera de rio Pisuerga, diócesis de P. lencia, vacante por promoción de D. Saturnino Sta. María á una canongía de la iglesia metropolitana de Burgos, á D. Bernardo María de Homaí. En el año de 1809 se extraxeron del Banco nacional de S. Carlos por el go bierno intruso los planos del canal de Guadarrama á Sevilla con la descripción del mismo canal y el cálculo de su coste, cuyos papeles fueron á parar por el pronto á la secretaría de H…</t>
  </si>
  <si>
    <t>Homar, Juan de</t>
  </si>
  <si>
    <t>Juan de Homar</t>
  </si>
  <si>
    <t>…omar de ser presentado por el Exorno. Sr. duque de S’.-Gátíos’á besar la mano al Rey nue tro Señor, y presentar á S. M. los planos del canal de Castilla , levan tados por su padre D. Juan de Homar, ingeniero director que fué del mis mo. S. M. se digno enterarse muy detenidamente de todas las obras exéirutíidas y" proyectadas, haciendo juitiésas observaciones y paralelos entre el canafl de La-ngüedoc', que S¡ M. ha visto, y los diseños del de Castilla ,…</t>
  </si>
  <si>
    <t>Hompesch</t>
  </si>
  <si>
    <t>…on ccht el acostumbrado de nuedo é intrepidez de los soldados británicos. Ademas de los oficiales mencionados, se conduxeron valientemente el teniente coronel Cameron, el teniente coronel Hompesch, el mayor Kelir el teniente coronel Broun ; las fuerzas que mandaban atacaron la izquierda y centro del pueblo, arrojando al enemigo de todas sus fuertes posiciones, y tomando á viva fuerza la batería del molino del dique Fernando, mientras el mayor general T…</t>
  </si>
  <si>
    <t>Hoppe</t>
  </si>
  <si>
    <t>…pitán y alguna gente, y las lanchas siguieron su maniobra. De e.ste modo la embocadura dei-rio quedó indefensa, asi de fuerzas de mar como ter/restres; circunstancia que&lt; animó al general Hoppe á emprender una operación ciertamente atrevida, qual es. la de pasar tropas á la derecha sin estar establecido el puente, mi tener planchas ó barcas con que retirar sus tropas .en caso de que fuesen a tacadas por superiores fuerzas enemigas. AI mismo tiempo s…</t>
  </si>
  <si>
    <t>…fuego de guerrilla, sostenido lo bastante para entretener al enemigo, y lograr el feliz paso del rio por nuestra izquierda de algunas tropas inglesas, al mando del señor teniente general Hoppe, lo que se ha verificado...—La pérdida que han tenido nuestros cuerpos es la que manifiestan los adjuntos estados, no habiendo sufrido ninguna la segunda brigada de la tercera división; porque hallándose en segunda lineádsele previno á su comandante general e…</t>
  </si>
  <si>
    <t>…lins de la Marina real, y debo por mi parte infinito al almirante por el cordial auxi lio que me ha prestado durante los preparativos de este plan, y también por el que ha dado al general Hoppe al tiempo de execütsrlo. Imaginando el enemigo que los medios que tenia sir Colea Hoppe para pasar el rio, que se reducían á puentes volantes de pon-o toñes, no le permitirían pasar mayor fuerza durante el dia 23 , ata có aquella misma tarde el cuerpo que hab…</t>
  </si>
  <si>
    <t>Horcasitas, Francisco de</t>
  </si>
  <si>
    <t>Francisco de Horcasitas</t>
  </si>
  <si>
    <t>…ente general ;D.. Antonio: de A rcb. x ' ; \ Al de igual clase D.^Gabriel ¿Je «Mendiziabal. . * CAI Mariscal de Campo D. Pedro Ignacio Correa. . ¡; í/ . .-y ^ r 77. ^ fAl Teniente general D. Francisco de Horcasitas. Por la Caballería..^ de i?ual cfase D Ju;m de H,nestrosa&gt; Por Ingenieros....... Al Mariscal de^Campo D. Manuel Zappino. Par Artillería,....... Al Tejiente general D. José Cienfuegos. Por Intendente...... D. Anselmo de Rivas. Por Togado..i........ D. Esteban…</t>
  </si>
  <si>
    <t>Hoyos, Gabriel de</t>
  </si>
  <si>
    <t>Gabriel de Hoyos</t>
  </si>
  <si>
    <t>885 cLL Excmo. Sr. Ü. Pedro de Cevalfos, y de los Sres. D. Antonio de la. Cuesta y D. Gabriel de Hoyos y ’Velarde, quienes tuvieron ei honor de bear la real mano de S. M. y la de SS. AA., después de haber pronunciado el primero de ellos el siguiente difcurío: ,,Señor: la junta general de los representantes de las montañas de San tander y Quatro Villas de la co…</t>
  </si>
  <si>
    <t>Hsrrasti, Andrés Perez de</t>
  </si>
  <si>
    <t>Andrés Perez de Hsrrasti</t>
  </si>
  <si>
    <t>…ucesos ocurridos en la plaza de Ciudad-Rodrigo durante el sitio que le pusieron los franceses en el año de 1810 hasta su rendición el 10 de Julio del mismo, formada por eu general gobernador D. Andrés Perez de Hsrrasti para perpetua memoria de los hechos de su dilatada y gloriosa defensa.: van insertas en ella las cartas de intimación al gobernador,, sus contestaciones, y un mapa de la plaza con la demostración de los principales ata ques de los enemigos: un tomo en 4.0 Se…</t>
  </si>
  <si>
    <t>Hualde, Guillermo</t>
  </si>
  <si>
    <t>Guillermo Hualde</t>
  </si>
  <si>
    <t>…. Do mingo Cantero á una capellanía de la Real capilla de Sres. Reyes nuevos de la ciudad de Toledo , á D. Nicolás Cantero. , ■ . 51 . . , En atención á los méritos y sérvicióé dé D. Guillermo Hualde , presbí tero de la orden de Santiago y capellán ele honor,' ha venido S. M. en con cederle la jubilación de procurador general que era de las'qüatro* Órdenes militares, con los honores que le corresponden. En atención á los méritos y servicios de D. Ventura…</t>
  </si>
  <si>
    <t>Huguet, Pedro</t>
  </si>
  <si>
    <t>Pedro Huguet</t>
  </si>
  <si>
    <t>…erez. En Valencia.... D. Manuel López Maestre. En Valtidolid. D. Luis Francisco de Lu¡s¿ En Zaragoza., El Barón de la Torre.' ; En Zamora...... D. Manuel de Umara. En Zmta........ D. Pedro Huguet. En la extracción de la primitiva lotería real, executada en la tarde de boy, han salido por el mismo orden con que aquí se anotadlos cinco nú meros siguientes: 87 , 11,69, 59 y 63. El premio de 2500 rs. vn., concedido en todas las extracciones á una de las h…</t>
  </si>
  <si>
    <t>…........... D. Luis Francisco de Luis. En Zaragoza,...,............... El Barón de la Torre. En Zamora................. D. Manuel de Urnara. jEn Zeuta............................. D. Pedro Huguet. Se halla vacante la plaza de médico de la villa y puerto de Laredo. Su dotación anual son 600 ducados, pagados los 500 de propios y arbitrios, y los 100 restan tes por subscripción del vecindario, ínterin se consigue Ja licencia que está pedi da para cargarl…</t>
  </si>
  <si>
    <t>meso En Zamora.....i....:...... . D. Mane el de Uinara. JEn Zeuta........................... D. Pedro Huguet. fi. n~uMitrnta dé ^ pípvidenpíap ¡de la -comisian «nombrada para: la substanciación de ^tfjpaus^ de^E^Udo* forrnaija$ á Ips ¿uget-os que, han atentado contra la, soberanía del Rey nuestro'Señor j impresa tle óiden superior en la imprenté Real. Véndese á 6 qu…</t>
  </si>
  <si>
    <t>HUI</t>
  </si>
  <si>
    <t>…este momento pasa para la frontera considerable treia de artillería in glesa. « Se dice que el tercer exército y la reserva de Andalucía tienen orden de entrar en Francia; que el general HUI ha empezado su movimiento adelan tándose ayer una legua; que los franceses han abandonado ya su línea, y que los aliados han pasado el Adour. Zaragoza 14 de Febrero. Nos escriben de la frontera de esta provincia haberse observado á prin cipios de este mes en…</t>
  </si>
  <si>
    <t>Huí</t>
  </si>
  <si>
    <t>distinguirse. Quando *e exécutaban por la izquierda las operaciones que aca? bo de detallar, el general Huí arrojó at enemjgo de sus obras exteriores en el arrabal sobre la izquierda del Garona, hasta encerrarlo dentro de la anti-. gua muralla; y el teniente general P-icton con la división tercera arrojó al enemigo dentro de la cabeza de puente sobre el del cana!,…</t>
  </si>
  <si>
    <t>Huirte, Juan</t>
  </si>
  <si>
    <t>Juan Huirte</t>
  </si>
  <si>
    <t>…quedaron&gt;aterrorizados por la se renidad de la tercera compañía?, que en gran parte se debió i. la de sus ofi ciales el teniente Dallo y de los subtenientes D.Ciríaco Hernández y, D. Juan Huirte, este último herido. Dios guarde á Y. S, muchos años! Baros,30 de Setiembre d,e 1813.srAntonio.Oro. =Sr. D. Francisco Espoz y Mina.= Lo que tengo el gusto de participar á V. E. p'ara que se sirva elevarlo al cono cimiento de la Regencia delReyno. = Nuestro Se…</t>
  </si>
  <si>
    <t>Hül</t>
  </si>
  <si>
    <t>…dores y el regimiento de la Legión tuvieron esta ocasión de gloria, y se conduxeron bizarramente; mas debiendo seguir el movimiento de la izquierda, según las órdenes del teniente general Hül, para reconcentrarse á él, dexé unas fuerzas para alejarlos, y yo me dirigí con las demas á realizarlo: luego que los franceses fueron arrojados del cerro de Arrocaray é inmediatos, supe por unos prisioneros que el general Paris habia abandonado á Louhoussa,…</t>
  </si>
  <si>
    <t>Hulin</t>
  </si>
  <si>
    <t>42 ral Compans, y de unos 8® hombres de tropa arreglada, y 30® guardias nacionales mandados por el general Hulin, gooernador de la plaza. Con estas fuerzas el enemigo, á las órdenes de José Bonaparte, tomó posición esta mañana con su derecha en la altura y pueblo de Belleville; el centro sobre el canal de 1 Ourque, y la izquierda hacia Neuilly. Esta situación, fuerte de…</t>
  </si>
  <si>
    <t>Hulot</t>
  </si>
  <si>
    <t>…FRANCIA. Calais 6 de Julio.. El 29 del pasado llegaron aqui , procedentes dé Inglaterra,. la: viada del general Moreau y su hija, joven de 12 años de edad, á quiénes acompaña, el general Hulot,. hermano de aquella. Al dia siguiente, de su-llegada sepu— sieren, en: camino para; trasladarse á. París. París 13; de. Junto.* El marques dé Vernon , gefe de las caballerizas del Rey, ha recibido1 drden de S. M, dé poner á. disposisiom del duque de Doudeauv…</t>
  </si>
  <si>
    <t>Hur, Bonifacio de Tosantos y</t>
  </si>
  <si>
    <t>Bonifacio de Tosantos y Hur</t>
  </si>
  <si>
    <t>…del corriente tuvieron la honra de felicitar á S. M. y besar su real mano y de los Sres. Infantes á nombre del cabildo de la catedral de Santo Domingo de la Calzada los Sres. Dr. D. Bonifacio de Tosantos y Hur tado de Corctaera, lectoral, y D. Vicente Marín, prebendado de la misma j ti primero de los quales tomando la palabra dixo:</t>
  </si>
  <si>
    <t>Hur, José Antonio</t>
  </si>
  <si>
    <t>José Antonio Hur</t>
  </si>
  <si>
    <t>…ión en la misma iglesia á D. Toribio González, y para media ración á D. José Miguel Ramírez. Igualmente se ha servido nombrar pata una ración en la iglesia metropolitana de Lima á D. José Antonio Hur tado, y para media-ración en la misma iglesia á D. Carlos Overa y Olaortua. A: imismo ha nombrado S. A. para ia chantría de la iglesia catedral de Ciudad-Real de Chiapa á D. Ramón Ordoñez, y para la canongía lectora! de la misma iglesia á D. José Serápió Sánc…</t>
  </si>
  <si>
    <t>Huver, Cristóbal</t>
  </si>
  <si>
    <t>Cristóbal Huver</t>
  </si>
  <si>
    <t>…tropa desde el pue blo, y solo pude aprehender dos baúles de su equipaje. ,, Él subteniente de Santo Domingo D. Josef Antonio Matianda, y el co mandante del piquete de caballería D. Cristóbal Huver, que me han acom pañado en esta expedición , se han portado con honor-, y á su exemplo to da la tropa que he teñid » el honor de mandar. Reconocido el campo he-' mos encontrado n muertos.” Este oficio en que doy parte á V. E. de los acaecimientos de estos di-…</t>
  </si>
  <si>
    <t>Hyliiar, Santiago</t>
  </si>
  <si>
    <t>Santiago Hyliiar</t>
  </si>
  <si>
    <t>…lo sucedido, si juraban de nuevo á nuestro Monarca Fernando vil, y obediencia á las autoridades le gítimamente constituidas; de cuyas resultas había comisionado dicho gobier no al Sr. D. Santiago Hyliiar, capitán de la fragata de S. M. Británica la Febe, para pasar á tratar el asunto con el Sr. Gainza, cuyo comisionado se' esperaba en Talca dos dias después de la salida de los pliegos del general: estos contienen varias acciones. La pérdida de los enemigos en…</t>
  </si>
  <si>
    <t>I, Infante</t>
  </si>
  <si>
    <t>Infante I</t>
  </si>
  <si>
    <t>1070</t>
  </si>
  <si>
    <t>…e no salgao sin es tas prevenciones. (Se continuará,) ' * Por decreto de 4 del corriente se ha servido S. M. nombrar Hermane mayor del Real cuerpo de Maestranza de Ronda al Sérmo. Sr. Infante I). Cárlos. El Rey se ha servido nombrar para el obispado de la Puebla de los An-</t>
  </si>
  <si>
    <t>I, Josef Pumarejo y</t>
  </si>
  <si>
    <t>Josef Pumarejo y I</t>
  </si>
  <si>
    <t>á temen tés*ide frágil t‘á{iV íos alféreces de navio D. Juan de A zas, D. Loren zo Villegas, D. Josef Pumarejo y I). Carlos Calafat, y á alféreces de na¿vío á íos de fragata D. Alexandro Pusa , D. Antonió Fermín Sollozo, Don Román Ayala , D. Rafael Martínez, D. Juan Moreno, D. Francisco Cha morro ,D. Joaq'Difi'Argiiel les y D. Miguel Ordoñez. La Regencia del Reyrió se Ki…</t>
  </si>
  <si>
    <t>I, Juan de</t>
  </si>
  <si>
    <t>Juan de I</t>
  </si>
  <si>
    <t>…ndas; Arnedo, Señor, así lo espera de V. M. y del mejor Rey de los Reyes.” El mismo dia tuvo la honra de besar. la mano y cumplimentar á S. Al. en nombre de la ciudad-de Motril el Sr. D. Juan de I garzabal y Palacio, comisario ordenador honorario de los reales exércitos, y contador principal de hacienda y guerra de la ciudad-de Velez-Alálaga, quién poniendo en sus reales manos una representación que con fecha de 19 del pasado le diri-</t>
  </si>
  <si>
    <t>Ib, Francisco</t>
  </si>
  <si>
    <t>Francisco Ib</t>
  </si>
  <si>
    <t>…o se ha servido nombrar para la canongía docto ral de la capilla real de Granada á D. Jo:é Rafael de Sebastian. Asimismo lia nombrado para magistrados de la audiencia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t>
  </si>
  <si>
    <t>Ibalzola, Joaquín Tutor</t>
  </si>
  <si>
    <t>Joaquín Tutor Ibalzola</t>
  </si>
  <si>
    <t>…é Areipacochaga» En Segovia,........................ Viuda de Ramiro y Mesa. En Santiago........................ D. Manuel de la Riba Moreno. En Soria............................. D. Joaquín Tutor Ibalzola. En Salamanca................... D. Francisco de Zúñiga y Barbosa. En Santander................. . Vial é hijo. En Toledo....,..................... D. Francisco Perez.</t>
  </si>
  <si>
    <t>Ibañez, Francisca López de</t>
  </si>
  <si>
    <t>Francisca López de Ibañez</t>
  </si>
  <si>
    <t>…desde la ocupación de esta ciudad por Jos franceses no se ha tenido noticia. Se suplica, pues, á los gefes militares que sepan de ¿I ó de su muerte, lo avisen en Cádiz á.su madre Doña Francisca López de Ibañez, ó á su hermano D. Francisco Ibañez López. Se hallan vacantes las plazas de maestro y maestra de niños y niñas de la vi lia de B riones, en Rioja: la primera tiene de dotación 400 ducados anuales, libres de toda imposición, con exoneración de pagas de médico,…</t>
  </si>
  <si>
    <t>Ibañez, Joaquín</t>
  </si>
  <si>
    <t>Joaquín Ibañez</t>
  </si>
  <si>
    <t>…quanto antes destruyan á los expresados corsarios; cuya noticia se comunica de orden de, S. A. para noticia del comercio y de lá nación. : Retrato &amp; caballo d&gt;el mariscal de campo D. Joaquín Ibañez, barón de Eró les, á 8 rs. iluminado r a 4 én negro.. Se hallará en la librería de Qutroga, calle cíe las Carretas..».En la misma se hallan los de^D. ¿JuanMartin, el Empecinado, D. J ui ia$ Sánchez, D. JuanEalarer* el Mcdicopy. D. Erancisco¡ Abad y Moreno, Ch…</t>
  </si>
  <si>
    <t>Ibañez, Martin</t>
  </si>
  <si>
    <t>Martin Ibañez</t>
  </si>
  <si>
    <t>…ntad’seguramente con el ¡Rey, y en segundo lugar contad con su Ministro, vuestro fiel y afectísimo paisano. Madrid 20 de Ju lio de 1814 Miguel de Lardiz abal y Uribe, :&gt;r ' El Dr. D. Martin Ibañez, cura páTroco de la villa de Cantavieja , des pués de haber celebrado una función de iglesia para dar gracias al Todo poderoso por U feliz vuelta del Rey nuestro Señor al rrono, ha ofrecido á S. M. para las urgencias del estado la suma de 1500 rs., que son la…</t>
  </si>
  <si>
    <t>Ibarra, Agustín</t>
  </si>
  <si>
    <t>Agustín Ibarra</t>
  </si>
  <si>
    <t>…gencia del Reyno ha tenido á bien promover en el cuerpo de'ar tillería nacional á mariscal de campo subinspector del departamento de Mé xico al brigadier subinspector dé la Habana D. Agustín Ibarra ; á coroneles á los tenientes coroneles del propio cuerpo D. Juan Aznar, D. Antonio M¡railes y D. Mariano Montóya, y á tenientes coroneles ah capitán déla mis ma arma D. Amadeo Mora, y al sargento mayor D. Cayetano Blengua. A subtenientes en el batallón de mi…</t>
  </si>
  <si>
    <t>Ibarra, Alfonso de</t>
  </si>
  <si>
    <t>Alfonso de Ibarra</t>
  </si>
  <si>
    <t>…llones; Don Francisco López de Aícaraz, y D. Jacobo de Parga y Puga. Fiscales. D. Manuel de Lartiga, y D. Bernardo Mozo Rosales. Secretarios. D. Marcelo de Ondarza, de Gobierno; y D. Alfonso de Ibarra, de MiUoiies. Ministros del Tribunal de Contaduría mayor. D. Pedro Regalado-de Garro; Marques de las Hormazas; D. Nicolás de Otamendi; D. Sebastian Jócano; D. Carlos de JEspinosa; D. Pablo Ruiz de la Bastida. = Palacio n de Agosto de 1814. = Señalado de la Re…</t>
  </si>
  <si>
    <t>Ibarra, Joaquín</t>
  </si>
  <si>
    <t>Joaquín Ibarra</t>
  </si>
  <si>
    <t>…, D. José Bucareli, 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Francisco D’IIautregard, D. José</t>
  </si>
  <si>
    <t>Ibarra, Josef de</t>
  </si>
  <si>
    <t>Josef de Ibarra</t>
  </si>
  <si>
    <t>…que se compondrá el Consejo Supremo de Hacien da y dicho Tribunal de Contaduría mayor en consecuencia del Real De creto de esta fecha. Ministros Togados. D. Josef Perez Caballero; D. Josef de Ibarra ; D. Sancho de Llamas;D. Pedro Nicolás del Aballe; O. Tadeo Segundo Gómez; D. Antonio Al calá Galiano; D. Jayme Aivarez de Mendieta,y D. Juan Antonia Fernan dez de Quesada. Ministros de Capa y Espada■. D. Pantalecn de Beramendi; Conde de Lereua; D. Víctor Ras…</t>
  </si>
  <si>
    <t>…Sanz de Bedoya, Administrador general de Rentas de la Provincia . de Cartagena, he venido en nombrarles Directores generales de Renta- y en tendiéndose en comisión con respecto á D. Josef de Ibarra, y en quanto á ‘Orovio y Bedoya con los honores del Consejo de Hacienda, en la forma que los gozaron sus antecesores; y en consideración igualmente á los conocimientos y méritos de D Agustin de Saamano y D. Josef de Imas, Administra' dores generales de'Reñías…</t>
  </si>
  <si>
    <t>Ibernon, Diego Martínez de</t>
  </si>
  <si>
    <t>Diego Martínez de Ibernon</t>
  </si>
  <si>
    <t>En atención á los méritos y largos servicios de D. Diego Martínez de Ibernon, comisario de guerra de marina, se ha servido el Rey conferirle Ja administración de salinas del Peñón blanco en la intendencia de S. Luis de Potosí. S. M. se ha servido Conferir en el regimiento de milicias urbanas de ca ballería de Truxillo compañía al teni…</t>
  </si>
  <si>
    <t>Ibmez, José</t>
  </si>
  <si>
    <t>José Ibmez</t>
  </si>
  <si>
    <t>…acio á 11 de Agosto de 1814. = A D. Cristóbal de Góngora. El Rey sA ha servido nombrar para una canongía de la santa iglesia me1tropolitana d¡ Toledo, vacante por fallecimiento de D. José Ibmez, á X&gt;9o Pedro Morejon; para otra canongía de la santa ig.esia metropolitana déS?villa, vacante por fallecimiento de D. Francisco Bergutzas, a D. 1 e^ro Gar cía Coronel; para el priorato y canongía de la.iglesia cateara! de SMamancg, . vacante por muerte de D.…</t>
  </si>
  <si>
    <t>Ichauspi, Pedro Luis</t>
  </si>
  <si>
    <t>Pedro Luis Ichauspi</t>
  </si>
  <si>
    <t>34^ Vargas, el de caballería D. Pedro Luis Ichauspi , y los capitanes de la mis ma arma D. Juan Hernández y D. Concepción Herrera, y el voluntario Magdaleno Riberos. ,,Concluida la acción, y acabado de perseguir y dispersar al enemigo, pensé marchar contra la división de Sarare, como debia haberlo hecho; pero…</t>
  </si>
  <si>
    <t>Ide, Corregidor</t>
  </si>
  <si>
    <t>Corregidor Ide</t>
  </si>
  <si>
    <t>…oria, que para pago de acreedores solicita el Excmoy i&amp;r. marques de Astorga, conde de Aitamira, se^hátdLdo comisi n al Sr.”Dl'bLeon de la iGárfiralra Cano, del Consejo de S. Mi, .teniente Corregidor Ide estft villa, paráóqtié del modo que-estime con veniente convoque y haga comparecer ante sir;dentro del término de 20 dias á los referidos acreedores1, á fin de cjue traten de sus intereses, y se con vengan en el medio de comparecer en este supremo tribunal y…</t>
  </si>
  <si>
    <t>Idill, Sir Rolando</t>
  </si>
  <si>
    <t>Sir Rolando Idill</t>
  </si>
  <si>
    <t>…, comandante ge neral de la primera división de este exército, me dice con fecha 9 del actual lo siguiente. =Excmo. Sr.: según las instrucciones que recibí ayer noche del v Excmo. Sr. Sir Rolando Idill para pasar el Nivé al amanecer de hoy, dis puse que á esta hora lo executasen los cazadores al mando de su coronel co mandante D. Antonio Cano por el vado de la Isleta, y la primera brigada, al del brigadier D. Lorenzo Cebrian, á la izquierda de estos, por el…</t>
  </si>
  <si>
    <t>Ig</t>
  </si>
  <si>
    <t>…á D. Antonio Romero; á segundos tenientes á D. José Joaquín de la Mata, de granaderos, al conde de Torrejon de ca zadores, y de fusileros á D. José de Osea, D. Andrés de Andrade, D. Ig nacio de Alava, D. Antonio María San Andrés y D. José Masón; á alfére ces, de granaderos á D. Alfonso de Tuero, y de cazadores á D. Miguel de Urguia y D. Lorenzo Fernandez Somera; de fusileros á D. Ignacio Mora les de los Ríos, teniente de infantería de Burgo…</t>
  </si>
  <si>
    <t>Iglesias, Eusebío</t>
  </si>
  <si>
    <t>Eusebío Iglesias</t>
  </si>
  <si>
    <t>…elmo Pelaez.” En el mismo dia fue admitida !á cumplimentar á S. M. una diputación de la ciudad de Avila, compuesta de D. Lui‘s Rosao, alcalde de primer vo to, D. Francisco Crespo, D. Eusebío Iglesias, regidores, y D. Felipe Bar ra, procurador síndico, pronunciando el primero la arenga siguiente: Señor: vuestra M. N. y M. ciudad de; Avila tuvo la gloria el terri ble año de 1808 de adelantarse entre las primeras de Castilla .la vieja para oonvertir su robus…</t>
  </si>
  <si>
    <t>Igna</t>
  </si>
  <si>
    <t>…ermanente, establecido en esta capital, por privarLe deí desempeño de las funciones de su empleo de teniente de Rey ; se ha nombrado para que le suceda en la citada presidencia al brigadier D. Igna cio Balanzat, con quien podrán entenderse los sugetos que tengan asuntos pendientes en el referido tribunal. Se desea saber el paradero de D. José Castellanos, natural de Valdeolivas, sol dado distinguido del batallón voluntarios de Guadalaxara, de la divisió…</t>
  </si>
  <si>
    <t>…no de Cámara mas antiguo, y de Gobierno de nuestro Consejo, se le dé la misma’ fe y crédito qúe á su original. Dada en Madrid á 6 de Setiembre de 1814. = El Duque dtl Infantado. = D. Igna cio Martínez de Villela. = D, Luis Melendez y Bruna. = D. Josef Anto nio de Larrumbide. = D. Tomas Moyano,=Yo D. Bartolomé Muñoz, Se cretario del Rey nuestro Señor, y su Escribano de Cámara, la hice escribir por su mandado con acuerdo de los de su Consejo. =…</t>
  </si>
  <si>
    <t>Igna, Antonio</t>
  </si>
  <si>
    <t>Antonio Igna</t>
  </si>
  <si>
    <t>…Agosto de 1814. = YO EL REY. = Yo D. Juan Ignacio de Ayestarán, Secretario del Rey nuestro Señor, lo hice escribir por su man dador El Duque del Infantado. = D. Andrés Lasauca. = D. Antonio Igna cio de Cortabarría. zs D. Miguel Alfonso Villagomez. = D. Luis Meiendez y Bruna. = Registrada, Fernando de Iturmendi. = Teniente de Canciller mayor, Fernando de Iturmendi. Circular del ministerio de Hacienda. El Rey ha tenido á bien resolver que los Intendent…</t>
  </si>
  <si>
    <t>Igna, Juan</t>
  </si>
  <si>
    <t>Juan Igna</t>
  </si>
  <si>
    <t>…Secretario, Escribano de Cámara mas antiguo, y de Go bierno del mi Consejo, se le dé la misma fe y crédito que á su original. Da da en Madrid á 25 de Julio de 1&amp;4.SYO EL REY. = Yo D. Juan Igna cio de Ayestarán, Secretario del Riey nuestro Señor, lo hice escribir por su mandado. = El Duque del Infantado. = D. Juan Antonio González Carrillo. s= D. Nicolás María de Sierra. = D. Sebastian de Torres. = D. Luis Melendez y Bruna. = Registrada, Fernando de…</t>
  </si>
  <si>
    <t>Ignacia</t>
  </si>
  <si>
    <t>…tado en esta corte por el Sr. D. José Martínez Moscoso, juez de letras de ella, y escribanía numeraria ¡del cargo de D. Alfonso de Yébcnes , se manda ci-; tar, llamar y emplazar á Doña Ignacia y Doña Ramona Bahamonde y&gt; demas hi jos y herederos' de D. Carlos Bahamonde, comisario de guerra, y vecino que fué. de la ciudad del Puerto de Santa María, y Doña María del Carmen Tobal, para que comparezcan ante dicho Sr. D. Lorenzo Ruiz de Robles á justificar el derecho que pueda…</t>
  </si>
  <si>
    <t>Ignacio</t>
  </si>
  <si>
    <t>…dad de entregarlos á Don - Francisco,Simón Saez, del: comercio de esta corte, que vive en la calle de la Mon tera. Todos ios expresados vales-csían renovados á nombre del referido D. Ignacio, y sin endoso alguno. Se halla vacante el magisterio de primeras letras de la villa de Navamorcuencfc, que tiene de dotación 300 ducados, libres de toda contribución, pagados de pro pios por el ayuntamiento, casa y dos cabezas de ganado de cerda. Las condicio…</t>
  </si>
  <si>
    <t>…uy apreciable oficio de V. E., su fecha 24 dei pasadoj por medio de monseñor el delegado apostólico de Lisboa, á quien para ma yor seguridad lo había dirigido con otro suyo el Sr. ministro D. Ignacio de la Pezuela. „ Aprovecho el inmediato correo, y me valgo del mismo conducto para acusar á V. E. el recibo, y manifestarle la viva sensación que en mi cora zón ha causado la declaración que á nombre de S. M. se digna hacerme pa ra que me restituya á esa cort…</t>
  </si>
  <si>
    <t>…tin de los Arcos y Enema, a i&gt;. Alexo.üui- Hen;'para él arcédianato titular de la santa iglesia metropolitana de hurgo, vacante por muerte de D. José Marrón, y por haber fallecido D. Ignacio ■ Aíóñ'sóBügedo J nombrado para él, artes de tomar posesión, a:D. Atexardro • Izquierdo í abad de Compludo,: dignidad de la iglesia catedral de Astorga; ' para el a'rcediahatb de Valpúestá , dignidad de la santa iglesia metropolitana dé Bureos, vacante por fa…</t>
  </si>
  <si>
    <t>Ignacio, Antonio</t>
  </si>
  <si>
    <t>Antonio Ignacio</t>
  </si>
  <si>
    <t>7 6o Sr. D. Antonio Ignacio de; Coriabarría............7...................................... Madrid. ^ ' Sí. D. Francisco Arjona Solsoria, Urgel, Tarazón a y Bar• • . i-.:-- -¿u" •/ bastro. . Sr. D. Miguel Alfonso Villagomez... Canaria y Ceuta. Sr. D. Juan Antonio Carrillo............…</t>
  </si>
  <si>
    <t>Ignacio, Juan</t>
  </si>
  <si>
    <t>Juan Ignacio</t>
  </si>
  <si>
    <t>…os corresponda, sin contravenirlos, permitir ni dar lugar á que se contravenga én manera alguna : que asi es mi voluntad: y que al tras lado impreso de esta mi Cédula, firmada de D. Juan Ignacio dé Ayestarán, mi Secretario nombrado para el despacho de los. negocios privativos de la de la Cámara de Gracia y Justicia y Estado de Castilla, y ademas para Jos seculares que pertenecían á la de la Corona de AragOR» se le dé la misma fe y crédito que á su or…</t>
  </si>
  <si>
    <t>Igual, Joaquín Sánchez</t>
  </si>
  <si>
    <t>Joaquín Sánchez Igual</t>
  </si>
  <si>
    <t>…nandez Gamboa contra Justo Fernandez y Félix Puebla, vecinos de Vicálvaro , por haber robado el primero una muía ¿ y tener del segundo sos pechas de complicidad: oido su defensor D. Joaquín Sánchez Igual, y el promotor fiscal D. Jayme Ferrer, y enterado S. M. de la avanzada edad del principal, abandono de su muger é hijos, como de los ligeros indicios que resultan contra el acusado de cómplice, y asimismo del tiempo que han sufrido prisión, se sirvió S. M. in…</t>
  </si>
  <si>
    <t>Igual, VVeilrngton</t>
  </si>
  <si>
    <t>VVeilrngton Igual</t>
  </si>
  <si>
    <t>…t^ brigadas de este cuerpo en Holanda y en el mediodía de da Francia. Este refuerzo se compone principalmente de los voluntarios de la milicia, y la mayor parte irá al exército de lord VVeilrngton Igual orden han recibido dos esquadrones de cada uno de los regimientos de caballería de la casa del Rey, Estas</t>
  </si>
  <si>
    <t>IíQuierdb, Elias</t>
  </si>
  <si>
    <t>Elias IíQuierdb</t>
  </si>
  <si>
    <t>…o territorio; y de su recibo me dará aviso. . Dios guarde á V. muchos anos. Madrid 17 de Noviembre de 1814. En el Réa! tribunal del consulado de la ciudad de Cádiz y escribanía de D. Elias IíQuierdb y^aran penden los autos de concurso 'de acreedores de D. Pedro José Martines de Junquera, en los qúe por disposición de dicho tribunal se han man dado citar y emplazar á todos los que secresii con derecho á la indicada dependen cia,: para que. en el.término p…</t>
  </si>
  <si>
    <t>Ilarraza, Cristóbal Antonio de</t>
  </si>
  <si>
    <t>Cristóbal Antonio de Ilarraza</t>
  </si>
  <si>
    <t>…os negocios eclesiásticos de él, se ha servido nombrar para la pri mera á D. Juan Ignacio de Ayestarán, Secretario del Real Patronato de la Corona de Castilla, y para la segunda á D. Cristóbal Antonio de Ilarraza, Oricial mayor primero de la Secretaría de Estado y del Despacho de Gracia y Justicia de mí cargo, con calidad de permanecer en el exerciciode tal Oficial mayor hasta nueva resolución deS M.; de cuya Real orden lo participo to do á V. E. para su inteligencia…</t>
  </si>
  <si>
    <t>Ilde</t>
  </si>
  <si>
    <t>…s complutenses hacia su legítimo y ansiado Monarca.” Igualmente tuvo el honor de besar la mano á S. M. y A A. una di putación de la villa de Talavera de ía Reyna, compuesta del Sr D. Ilde fonso Martin Gutiérrez, alcalde primero, délos Sres. D. Manuel Rubio Es cudero y D. Agustín Sobrinos, regidores, y del Dr, D. José María de la Paz Rodríguez, procurador síndico general de su ilustre ayuntamiento, el primero de los quales manifestó á S. M. en…</t>
  </si>
  <si>
    <t>Ildefonso, Fr.-</t>
  </si>
  <si>
    <t>Fr.- Ildefonso</t>
  </si>
  <si>
    <t>…rnardo def la congregación de Castilla, el P. Mtro. D. Fr. Eu genio Amoedo, abad del monasterio de Stá. Ana de esta porteólos PP. pre- ‘ oteadores mayores D Fr. Arañado Florines y D. Fr.- Ildefonso . González;, los PP. penitenciaros D Fr. Vicente Varóna y D.Fr. Pabló Castillo ; de ' los quales el primero arengó á S. M. en ios términos siguientes: ¡ ■ „ Señor: el abad y monges de S.v Bernardo ¿ á quiénes V. M. se digna f dispensar hoy el inestimable hono…</t>
  </si>
  <si>
    <t>Ilesse, Federico de</t>
  </si>
  <si>
    <t>Federico de Ilesse</t>
  </si>
  <si>
    <t>…s á inedia noche. 2.0 Durante el armisticio quedan en libertad los aliados de apoderarse, si pudiesen, de las fortalezas de Gluckstadt y Frederickstadt, las quales ha declarado eí príncipe Federico de Ilesse no estar en su mano entregar, por no hallarse baxo sus órdenes. 3.0 Las fuerzas aliadas evacuarán el ducado de Schleswig, á excepción de los puntos que á continuación se expresan, que serán ocupados por ellas, como también el ierre o situado éntrela línea que…</t>
  </si>
  <si>
    <t>Imas, Josef de</t>
  </si>
  <si>
    <t>Josef de Imas</t>
  </si>
  <si>
    <t>…Bedoya con los honores del Consejo de Hacienda, en la forma que los gozaron sus antecesores; y en consideración igualmente á los conocimientos y méritos de D Agustin de Saamano y D. Josef de Imas, Administra' dores generales de'Reñías de las Provincias de Zamora y Málaga, he veni do en nombrarles Contadores generales. Los Directores se reunirán inme diatamente, y me propondrán el Reglamento que estimaren conveniente, asi del núínéro y funciones de los…</t>
  </si>
  <si>
    <t>In</t>
  </si>
  <si>
    <t>…ha comunicado la Real orden si guiente í ~ „ Por Real resolución de i.° del corriente mes tuvo á bien S. M. crear una Junta de Generales, baxo la inmediata presidencia del Sermo. Sr. In fante D. Cárlos,, para tratar de los puntos concernientes á dar una Consti tución al Exército, qual le convenga asi al estado de paz como al de guer ra , de *u instrucción, establecimiento de Colegios militares,. premios, reti ros , y quanto se créa necesario…</t>
  </si>
  <si>
    <t>…r extracto de la de este, dia á Doña Francisca Ja Nougarede, hija de D. Luis, teniente coronel. ARTICULO DE OFICIO. En 10 del corriente tuvo á bien el Rey aprobar la propuesta del Sr. In fante Almirante general de España é Indias, y nombrar en consecuencia para vocales del Consejo de Almirantazgo 4 ios capitanes generales de la ar mada el bayiío Fr. D. Antonio Valdés y D. Félix de Texada, para que asis tan á las sesiones quando el estado de s…</t>
  </si>
  <si>
    <t>In, Juan Antonio</t>
  </si>
  <si>
    <t>Juan Antonio In</t>
  </si>
  <si>
    <t>…roquia de S. Vicente.de la ciudad de S. Sebastian. . f . Por real resolución á consulta de la Cámara ha nombradoS. M. para nna plaza del Consejo Reai, vacante por fallecimiento de D. Juan Antonio In— guanzo, y renuncia de D. Pedro María Ric, á D. Francisco Marín y Sán chez. Para la regencia de ia audiencia de Galicia, vacante por promoción de D. José de Navia y Bolaños á la de la extinguida audiencia de Madrid, á D Manuel de León Santos de San Pedro. Y p…</t>
  </si>
  <si>
    <t>Inarte, Antonio</t>
  </si>
  <si>
    <t>Antonio Inarte</t>
  </si>
  <si>
    <t>…minaya, y subtenientes á D. Jo é Villarino y D. Francisco Uribi: en el batallón veterano de M racaybo concedido grado de capitán, con la antigüedad que se ie conñrió sq retiro, al teniente D. Antonio Inarte: en el de Guay^ana grado de teniente coronel al capitán D. Antonio Orozco; y en el regimiento de caballería vo luntarios de la Colonia del Sacramento nombrado primer comandante y sar gento mayor á D. Juan Guerrero y Serón; Para pago de acreedores, y en virtud…</t>
  </si>
  <si>
    <t>Inciarte, José Ignacio de</t>
  </si>
  <si>
    <t>José Ignacio de Inciarte</t>
  </si>
  <si>
    <t>74$ Con fecha de 14 de Majo Ultimo remitieron por el correo al banco nacional tus comisionados en Cádiz los Sre«. D. José Ignacio de Inciarte y D. Prudencio Hernández de Sta. Cruz un pliego con 8c vales reales de á 300 Pcsos de H crea ción de i.° de Mayo: los 37 primeros cedidos al mismo banco por D. José Urtonagoena en 31 de Mayo de 1808, y los 44 restantes por el Excmo. Sr. conde de Aitamira, firmados en virtud de poder…</t>
  </si>
  <si>
    <t>InestrUla, Santos Saenz de</t>
  </si>
  <si>
    <t>Santos Saenz de InestrUla</t>
  </si>
  <si>
    <t>…delicias y felicidad de esta heroyca nación.” Al dia siguiente tuvo asimismo la honra de ser admitido á besar la real mano y cumplimentar á S* M. e«-*-nombre de la villa de Autol D. Santos Saenz de InestrUla, présbítero beneficiado de ella, el qual hablo en los tér minos siguientes v ! ,, Señora Ja villa de Autol y su cabildo.;eclesiástico tributan á V. M. el mas puro homenage, y este testimonio de am®r y constante lealtad que reservaron ¿IWlo sui! ti m'o Soberan…</t>
  </si>
  <si>
    <t>Infan</t>
  </si>
  <si>
    <t>…do la Regencia que el 13, el 14 y el 15 continuaba en Valencia sin particular novedad el Sermo. Sr^ Infante D. Antonio. Posteriormente ha sabido la Regencia que el Rey y el Sermo. Sr. Infan te DI Carlos habían llegado á Sarrion entre dos y tres de la tarde del día 14 con la mas completa salud, y que en medio de un inmenso concurso y de repetidas aclamaciones había sido conducido S. Ai. á su aposentamiento por aquellos fieles habitantes en una si…</t>
  </si>
  <si>
    <t>Infantado, Duque del</t>
  </si>
  <si>
    <t>Duque del Infantado</t>
  </si>
  <si>
    <t>PDF p. 16</t>
  </si>
  <si>
    <t>…en la gaceta para su satisfacción. De orden de S. M. lo comunico á V. E. para su cumplimiento. Dios guar de á V. E. muchos años. Palacio 2/ de Agosto de 1814^Francisco de Eguía. = Sr. Duque del Infantado.” EN LA IMPRENTA REAL.</t>
  </si>
  <si>
    <t>…s.” ARTICULO DE OFICIO. Circular del Consejo Real. El Excmo. Sr. D. Pedro de Macanaz, Secretario de Estado y del Des pacho universal de Gracia y Justicia , ha comunicado al Excmo. Sr. Duque del Infantado, Presidente ael Consejo, con fecha 25 de Agosto último, la Real orden que dice asi: ,, Excmo. Sr.: El Sr. Secretario de Estado y del Despacho del mismo negociado me dice con fecha de 12 de este mes de orden de S. M. lo si guiente: ,, Excmo. Sr.: Habiendo lleg…</t>
  </si>
  <si>
    <t>Infantado, Duque.del</t>
  </si>
  <si>
    <t>Duque.del Infantado</t>
  </si>
  <si>
    <t>…la parte que le toca. Dios guarde á V. muchos años# Madrid i.° deOctu* bre de 1814. .. -- * f i ; \ Con fecha de 21 de Octubre paso el Sr. Secretario ^e-Estado y del Des* pacho al Sr. Duque.del Infantado un eíicio.deikreoor siguiente: : ^ Sr.deseando el Rey promover todos, los establecimientos que -Exorno. pueden contribuir al alivio de sus amados .vasallos, de todas &lt;elase$ , y ere* yendo-que el establecimiento de la junta general dp Caridad y diputacio nes…</t>
  </si>
  <si>
    <t>Infante</t>
  </si>
  <si>
    <t>…correspondiente* á S. M., que siguió el camino hasta esta plaza, acompañado por mí, por dicha plana mayor, y por el cuerpo de caballería de mi exército, que al efecto destiné. El Sr. Infante D. Carlos llegará ma ñana. He tenido la honra de poner en manos de S. M. el pliego cerrado y sellado, que se sirvió dirigirme V. E. de orden de S. A. Todo lo que par ticipo á v . E. para que se sirva ponerlo en conocimiento de S. A. la Re gencia del Reyno. Dios guarde…</t>
  </si>
  <si>
    <t>…de 24 del corriente di parte á V. E. de la llegada á esta ciudad, á las quatro horas de Ja tarde del mismo dia , de nuestro adorado Monarca el Sr. D. Fernando vn en compa ñía deh Sr. Infante,I}.. Antonio. Ayer á las tres horas de la tarde llego el Sr. Infante Di Qáríos, habiendo ¡salida á recibirle S. M. y comitiva á caballo una hora antes. Tanto S. M. como SS. A A. si guen sin novedad en. su importante salud; y está señalado el día dé mañana par…</t>
  </si>
  <si>
    <t>…te': „Excmo. Sr. : S. M. el Sr. D. Fernando vil y el Sermo. Sr. Infante S&gt;. Carlos siguen el viagecon- dirección á esa corte sin la menor novedad en *u importante salud. El Sermo. Sr. Infante D. Antonio ha quedado hoy e&gt;n .batato con motivo de una ligera indisposición; pero según manifestaron los médicos á mi salida, podrá ponerse en camino S. A. pasado mañana. Todo lo que pongo en conocimiento de V. E. para que se sirva dar cuenta á Si. A. la Regencia del R…</t>
  </si>
  <si>
    <t>…e la provincia de Aragón antes de recibir la carta que con fecha de 29 del pasado le había escrito la Regencia, habla determinado pasar á Zaragoza, cuyo rodeo le proporcionaría al Sr. Infante D. Antonio poder restablecerse de la indisposición que le había obligado á quedarse en Mataró; y que el junes de pascua saldría S. M. de Zaragoza con dirección á esta ciudad, á la que llegaría á fines dé la misma semana. S. M. añade que el mal estado de los caminos, y l…</t>
  </si>
  <si>
    <t>…de Estado1 y el gefe político de aquella provincia» que á las dos de aquella tarde había entrado en la expresada ciudad de Valencia, sin novedad en su importante salud, el Serme. Sr. Infante D. Antonio, á quien salió á recibir á una legua de distancia el Sr. Presidente de la Regen cia con todas las autoridades y corporaciones, que se han esmerado en tri butar á S. A. el homenage que le es debido; y que en su entrada manifestó el pueblo, todo lleno de gozo,…</t>
  </si>
  <si>
    <t>…cción cumplidos mis ardientes deseos; pues he recibido la gustosa y an helada notí Ja de que S. M. nuestro amado monarca el Sr. D. Fernando vir, acompañado de su hermano el Sermo. Sr. Infante D. Cárlos,ha resuelto se guir su viage para la corte pasando por esta heroyea capital, á la que debe llegar mañana, cuya feliz determinación hago saber á las tropas de esta guar nición para que puedan celebrar tan dichoso día: premio que el cielo ha concedido á los val…</t>
  </si>
  <si>
    <t>…á S. M. á inmediación del arrabal. ;= De orden del ge neral = Ramón Gayan, teniente de rey. , ~ . El 6 llego á esta ciudad S. M. el Sr. D. Fernando vn, acompañado de su hermano el Sr. Infante D. Cárlos: las salvas de artillería anunciaron á las dos de la tarde su próxima entrada, y los corazones de todos sus habitan tes comenzaron á dar rienda suelta á los vivos sentimientos dei mas puro amor. No puede haber pincel tan diestro que se atreva á pintar con sus…</t>
  </si>
  <si>
    <t>…o • - ; . . ' . : Por los partes, quqycon fecha de 7 del corriente ha dirigido el gefe polí tico de Aragón, ha sabido la Regencia con particular satisfacción que S. M. y el Sermo. Sr. Infante D. Garlos permanecían Zaragoza sin *lar ¡ífienor novedad, en su importante salud, y que en di'cho dia habían asistido;los divinos oficios , y visitado las estaciones, acompañados: »de todas las autorida des, y seguidos de un: inmenso conbursío , que, no¡ cesaba de mani…</t>
  </si>
  <si>
    <t>…ublicado en la gaceta de 9 de este mes. El secretario interino de Estado y el gefe político de la provincia dé Va lencia avisan , con fecha del 9 y 10 del corriente, que el Sermo. Sr. Infante D. Antonio continuaba sin particular novedad, y que saldrían el 14 para re cibir á S. M. en Segorbe. ¡ El general en gefe del quarto exército ha dirigido al secretario interino del despacho ce la Guerra el oficio siguiente: ... „ Excmo. Sr. : el comandante militar de Sa…</t>
  </si>
  <si>
    <t>…e. La Regencia del Reyno ha sabido con particular satisfacción que el día 11 del corriente , entre cinco y seis dé la tarde, habian llegado á la ciudad de Baroca S. M. y el Sermo. Sr. Infante D. Carlos con la mas complefa sa lud, habiendo sido recibidos por aquellos habitantes con las más tinas de mostraciones de regocijo y alegría , y visitado y adorado en aquella noche el santo misterio, y asistido á un solemne TeDeum,. que se cantó en ia co legial de aqu…</t>
  </si>
  <si>
    <t>…Los enemigos abandonaron á Tok&gt;sa á las 10 de la noche, volando, dos puentes. n ■ *■ ESPAÑA. i.¡ : Gerona 2 &lt;T de Marzo. S. M. tuvo noticias de la Ílé^adít á* Figúeras del Sermo. Sr. Infante Don Gárlos,y supo también qué este príncipe debía llegar á Gerona en este día. S. M. determinó salir á su encuentro. A las 12 salió S. M. i caballo acom-</t>
  </si>
  <si>
    <t>panado de los Excmos. Sres. duque d§ San Carlos 9'del general en gefe del primer exército, y del estado mayor y plana mayor del mismo. El Serení simo Sr. Infante D. Antonio iba en coche, acompañándole á caballo el se gundo comandante general del primer exército el mariscal de campo barón de Eróles, y su estado ■mayor, personal. El esquadron del .general proveía la escolta de S. M. y de S. A. El Rey se dignó dar una prueba eviden…</t>
  </si>
  <si>
    <t>…M. y el Senno. Sr Infante D. Carlos salieron á pie por la carrera, adornada de antemano con toda magnificencia y gusto, y por la noche tuvieron la bondad de asistir con el Sermo. Sr. Infante D. An tonio á un magnífico bayle, que en obsequio de S. M. tuvo el distinguid® cuerpo de la Maestranza: yen el 19 salieron S. M. y el Sermo. Sr. Infante D. Carlos á caballo hasta el Grao, y á su vuelta pasaron revista en la ala meda á los cuerpos de-aquella guarnic…</t>
  </si>
  <si>
    <t>…de su insti tuto, prometiendo cooperar en su enseñanza á los altos fines que V. M. se ha propuesto conseguir para bien de toda la monarquía.” La arenga dirigida á S. A. Serma. el Sr. Infante D. Cárlos María de Borbon, fué la siguiente: ,,Serenísimo Señor: la universidad de Salamanca, penetrada de los mas sinceros sentimientos de jubilo por la vuelta feliz y deseada del Rey nuestro Señor, augusto "Hermano de V. A., al trono de sus mayores, después de seis años del cautiver…</t>
  </si>
  <si>
    <t>…n exemplar de su tratado ele mental de matemáticas , que S. M. y SS. AA. se dignaron admitir con las mas expresivas muestras de agrado: habiéndolas manifestado igualmente elSermo. Sr. Infante D. Carlos en ver el plano, en el qual se miraba trazada la cur va que describian las granadas que durante los últimos meses del sitio de Cádiz arrojaban los franceses á aquella plaza» que el mismo Vallejo le pre sentó. ; i 7 _ • Asimismo en este dia se presentaron á S.…</t>
  </si>
  <si>
    <t>…smo honor los Sres. Infantes. Lá Academia, á propuesta del protector, y previo el beneplácito de S. M. y nombró académicos de honor y de mérito á SS. AA., eligiendo el Serenísi«10 Señor Infante D. Carlos el arte de la pintura, y el Sermo. Sr. Infante D. Antonio el de la arquitectura. En uso de las facultades que concede al protector el artículo 31 de los estatutos, propuso S.. E. al Rey nuestro Señor para consiliarios á los referidos Sres. Infantes; y habiend…</t>
  </si>
  <si>
    <t>…Sto. Domingo. Verd&lt;dera filosofía del alma, ó diario de meditaciones para todos los días de! mes, compuesto por el Dr. D. Blas Ostolaza, capellán y confesor de S. M. y de S. A. el Sr. Infante D. Carlos, á quien lo dedica. Véndese en la librería de Ma tute, calle de las Carretas, á 5 tí. en rústica. Su producto está destinado á beneficio de los pobres enfermos del hospital Gcne-rai de esta corte. Estampa de nuestra Señora de las Angustias en pliego de marca…</t>
  </si>
  <si>
    <t>…14 de Julio de 1814. = Señalado de la Real mano de S. M. = A D. Francisco de Eguía.” En conformidad del precedente Real decreto se ha servido S. M. nom brar Secretario del Sermo. Sr. Infante D. Cárlos para dirigir la correspon dencia militar de oficio que ocurra á S. A. R., y comunicar sus ordenes co mo Coronel de la expresada Real Brigada, al Coronel D. Manuel Moxó, Capitán de la misma. Y de orden de S. M. lo participo todo á V. para su inteligencia y cum…</t>
  </si>
  <si>
    <t>…presentó ya ayer en público con esta nueva insignia de la le gión de Honor. ESPAÑA. Teruel jo de Julio. El limo, prelado y cabildo de esta diócesi, que merecieron de S. M, y A. el Sr. Infante D. Carlos las mayores distinciones, tanto aqui como en el pueblo de Sarrion, de la misma diócesi, hasta donde siguieron á S. M. y A., acompañados de las diputaciones del capítulo general de esta ciudad y de las que nombraron las dos colegiatas de Mora y de Rubielos, re…</t>
  </si>
  <si>
    <t>…presas en los años anteriores tbrieron ocasión de comparar las impresiones de aquel tiempo con las que'se hacen en el'dia ; en lo qual, asi como en la enquader-* nación , S. A. el Sr. Infante D. Antonio manifestó un gusto é inteligencia poco comunes. Desde luego consideró S. M. qU*e las pocas horas que podía substraerse al despacho de los negocios del reyno no eran suficientes para examinar con la atención que requeria un establecimiento tan vasto como el de…</t>
  </si>
  <si>
    <t>…de la amistad y estrecha unión que felizmente reyna entre la Francia y la España, S. M. Cristianísima ha enviado la banda de la Orden de Sancti Spíritus al Rey nuestro Señor y al Sr. Infante D. Carlos, que eran los únicos de la augusta familia de Borbon que carecían de esta honorífica distinción. Continuación de la Real Cédula de S. M, y Señores del Consejo* INSTRUCCION que el Rey ha mandado expedir para la persecución de malhechores y contrabandistas en t…</t>
  </si>
  <si>
    <t>…oberana intención de visitarlo personalmen te, lo verificó el 28 del pasado á las nueve y media de la man na, en donde ya se hallaba con anticipación su vice-pre.‘idente el Senno. Sr. Infante Don Carlos, acompañado de todos los ministros y dependientes, para recibir á su augusto Hermano, que se dirigió á la Sala de Gobierno; y ocupad el trono que hay en ella por S. M., como presidente de este supremo tribunal, sen-</t>
  </si>
  <si>
    <t>…ñuelos teñidos presentaban la misma resistencia que los que estaban en blanco. ESPAÑA. Madrid 4 de Noviembre. ; . Hoy en celebridad de los dias de S. M. el Rey. Padre y del Sermo. Señor Infante D. Carlos se ha vestido la corte de gala, y ha habido besamanos ge neral, al que han asistido los embaxadores y ministro;» extrangeros, los gran des de España, los títulos, los ministros de los consejos, los gefes militares y otras muchas personas de la primera distinc…</t>
  </si>
  <si>
    <t>…s Sres. Infantes el Dr. D. Pedro Satué y Aiiué, abad y canooigo electo de la insigne colegial iglesia de Zafra; el Excmo. Sr* teniente general marques de Monsalú, gentilhombre del Sr. Infante D. Carlos; D. Cayetano Rubio y D. Juan Larriba, como diputados del ayuntamiento y corporacio nes de la villa de Zafra ; el primero de los quales arengó ¿ S. M. en los tér minos siguientes: ,,Señor: la villa de Zafra, en Extremadura, por medio de sus denta dos no puede…</t>
  </si>
  <si>
    <t>…ínsula y á la Europa. ESPAÑA. Ronda 4 de Noviembre, : ~ ‘' El Real cuerpo ele maestranza caballería de Ronda » en cumplimiento de su instituto, celebró el plausible dia del Sermo. Sr. Infante D. Carlos M.ría, su hermano mayor. Colocado el retrato dé S. A. en e! balcón des tinado al intento en su plaza propia, el qual se hallaba ricamente adornado, dos individuos haciendo la guardia con espada en mano, y debaxo de él la compañía de granaderos del regimiento pro…</t>
  </si>
  <si>
    <t>22ÓÓ y destino al quarto del Sermo. Sr. Infante D. Antonio, y el coronel retirado de caballería D. José Lanzarote; el primero de los quales dixo: ,,Señor: etf ayuntamiento de vuestra leal ciudad de Orihue'a nos ha en cargado á mis compañeros y á mí la gustosísima comisión de suplicar á V. M. nos corceda el alto honor…</t>
  </si>
  <si>
    <t>Ingaanzo, Pedro de</t>
  </si>
  <si>
    <t>Pedro de Ingaanzo</t>
  </si>
  <si>
    <t>d;t consejo y cámara de Indias; D. Pedro de Ingaanzo ^canónigo doctoral de la santa iglesia de Oviedo, D. Domingo Moron, racionero de la iglesia colegial de Villafranca; y D. Juan María Maestri, caballero maestfante, y coronel del tercer batallón de línea de la expresada ciudad; el primero de los quales hizo á…</t>
  </si>
  <si>
    <t>Inglaterra, Castlereagh de</t>
  </si>
  <si>
    <t>Castlereagh de Inglaterra</t>
  </si>
  <si>
    <t>…estina do á mandar estas fuerzas. AUSTRIA. Viena i.° de Agosto, Los ministros de las qtiatro grandes potencias el príncipe Metternlch del Austria, el conde de Nesselrode de Rusia, lord Castlereagh de Inglaterra, .y el príncipe de Hardenberg: de Prusia , deben , según se asegura, reunirse en esta capital el dia io de Setiembre próximo para establecer las bases de la paz, que según se .asegura ?también s,er(án¡ ratificadas por los emperadores de Austria y Rusia,y pon…</t>
  </si>
  <si>
    <t>Inguanzo, Juan Antonio</t>
  </si>
  <si>
    <t>Juan Antonio Inguanzo</t>
  </si>
  <si>
    <t>…varez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Corte á D. Ignacio Martínez de Villela, y minis…</t>
  </si>
  <si>
    <t>Inguanzo, Juan Antonio de</t>
  </si>
  <si>
    <t>Juan Antonio de Inguanzo</t>
  </si>
  <si>
    <t>…nso Villagomez... Canaria y Ceuta. Sr. D. Juan Antonio Carrillo............. Cuenca) Badajoz y Plasencia. Sr. D. Tomas Moyano......... Córdoba) Valencia, Segorbe y Ori; huela. Sr¿ D. Juan Antonio de Inguanzo.... Burgos y Santander. Sr. D. Benito Arias de Prada.. .......... Cartagena, Segovia y Osma. Sr. D. Gerónimo Diez........................ Coria) Astorga y Cádiz. Sr. D. Nicolás María de Sierra........... Ciudad'Rodrigo, Jaca y Málaga. Sr. D. José Antonio Larr…</t>
  </si>
  <si>
    <t>Inguanzo, Pedro</t>
  </si>
  <si>
    <t>Pedro Inguanzo</t>
  </si>
  <si>
    <t>…e y Soberano natura!. Dig nes e W M. de recibir benignamente este testimonio de su acendrada fideli dad , que le tributa con la mas respetuosa obediencia." j ’ En seguida el mismo D. Pedro Inguanzo, practicando otro igual encara «gode la real iglesia de Covadonga , habló á S. M. en estos términos: ,, Señor: la real iglesia colegial de Covadonga me ha dirigido la carta ¡para-V. M. que tengo el honor de poner en su real mano, con encargó es»» peciál de qu…</t>
  </si>
  <si>
    <t>…ario general de la congregación española de Clérigos Reglares Ministros de los enfermos; para el de Zamora, vacan te por fallecimiento del limo. Sr. D. Joaquín Carrillo Mayoral, á D. Pedro Inguanzo, canónigo doctoral de la iglesia catedral de Oviedo; para el de Osma, vacante por fallecimiento del limo. Sr. D. José Antonio Garnica, á D. Juan de Cavia, canónigo Iectoral de la santa iglesia metropolitana de Toledo; y para el de Segorve, vacante por falleci…</t>
  </si>
  <si>
    <t>Ingunza, Francisco</t>
  </si>
  <si>
    <t>Francisco Ingunza</t>
  </si>
  <si>
    <t>…allos y D. José Fernandez Peredo. En el de Chachapoyas subtenencia de bandera al sargento primero Don Diego Roldan. En el de León de Huanuco compañía de granaderos al de fusileros Don Francisco Ingunza: compañías de fusileros á los tenientes D. Manuel Anto nio de la Mata y D. José Jorge Duran: tenencia de granaderos al de fusi leros D. Vicente Caballero: tenencia de fusileros al subteniente D. José de Meza ; y subtenencias á D. José Viiaurrizaga y D. Santia…</t>
  </si>
  <si>
    <t>Iñigo, José</t>
  </si>
  <si>
    <t>José Iñigo</t>
  </si>
  <si>
    <t>…diz, á D. Juan Miguel Perez Tafalla, con dimisión de la dignidad de maestrescuela que obtiene en-la misma iglesia: para la canongía, vacante en la catedral de Teruel por muerte de D. José Iñigo , á Dc Joaquín Pedro Fama y Gómez: para la ración que ha vacado en la referida iglesia de Cá diz por fallecimiento; de D., José del Villar de Vago á D. Antonio José de la Parra t para el beneficio simple servidero de la iglesia parroquial de Sm</t>
  </si>
  <si>
    <t>Iñiguez, Mariano</t>
  </si>
  <si>
    <t>Mariano Iñiguez</t>
  </si>
  <si>
    <t>…a á quantos tuvieron la honra de besar su’ Real mano., * t4 ■ - * • El día 18 dé Agosto* ultimo el cabildo dé la-insigne colegiata dé Toro , re presentado por £us diputados el Di. D. Mariano Iñiguez canónigo de ella , yAndrés Sánchez dé Ancilla v beneficiado de la- mbmav -tuvo el honor de hfesar la 'mano á* S. M. y felicitarle por su* restablecí mienta, al trono. En cu yo* afcto'él- primero de estos arengó á 5. M. en los términos siguientes :• i ,, Señor…</t>
  </si>
  <si>
    <t>Ino</t>
  </si>
  <si>
    <t>…nte de la provia-* cia de Segó vía. S. M. por. decreto de 2 del mismo mes, en atención á los dilatados y bue^ pos servicias del contador principal del exército y rey no de Galicia D. Ino cencio de Nograro, ha tenido á! bien concederle los honores de intendente de exército; y por decreto de 24 despropio mes se ha servído S. M. con-</t>
  </si>
  <si>
    <t>Insausti, Martin Ignacio</t>
  </si>
  <si>
    <t>Martin Ignacio Insausti</t>
  </si>
  <si>
    <t>…lación de sus méritos, al escribano de la rnisma villa D. francisco Navarro y Yillareal por térmico de dia?, contados desde 1? fecha de este anuncio. S; desea saber el paradero de D. Martin Ignacio Insausti, hijo de D. Antonio Insnu-V v Djfia Josefa Joaquina Insausti y Laustinales, de Astigarrete/provincia de Guipúzcoa, que tomó los cordones-en eí regimiento de Murcia en el aflo de 1808. A la persona que lo supiere se ■ Je suplica se sirva ^visarlo á D. Pedro Ge…</t>
  </si>
  <si>
    <t>Insausti, Martin Ignacio de</t>
  </si>
  <si>
    <t>Martin Ignacio de Insausti</t>
  </si>
  <si>
    <t>…tendrá la bondad de avisarlo á D. Hilario Zapata, subteniente del regimiento infantería de línea de la Corona, que se halla en.Madrid de guarnición. Se desea seber el paradero de D. Martin Ignacio de Insausti, cadete del regi miento de Murcia, en el qual tomó los cordones el año de 1808: el que lo supiere se servirá avisarlo en Madrid á D. Miguel de Burgos, impresor, y en Calahorra á D. Pedro Nolasco Cabezón, prebendado. Reales exequias de S. M. la reyna de las Do…</t>
  </si>
  <si>
    <t>Insausti, Miguel</t>
  </si>
  <si>
    <t>Miguel Insausti</t>
  </si>
  <si>
    <t>…as allí por sus familias. El dia 2 del mes próximo pasado tuvo lo honra de cumplimentar á S. M. una diputación de la ciudad de Estella, en el reyno de Navarra, compues ta del Lie. D. Miguel Insausti, abogado de los reales consejos, alcalde de ella, y D. Serafín Sagasti, procurador síndico de la misma; el primero de los quales dixo;</t>
  </si>
  <si>
    <t>Insnu-V, Antonio</t>
  </si>
  <si>
    <t>Antonio Insnu-V</t>
  </si>
  <si>
    <t>…de la rnisma villa D. francisco Navarro y Yillareal por térmico de dia?, contados desde 1? fecha de este anuncio. S; desea saber el paradero de D. Martin Ignacio Insausti, hijo de D. Antonio Insnu-V v Djfia Josefa Joaquina Insausti y Laustinales, de Astigarrete/provincia de Guipúzcoa, que tomó los cordones-en eí regimiento de Murcia en el aflo de 1808. A la persona que lo supiere se ■ Je suplica se sirva ^visarlo á D. Pedro Ge» beron, racionero de la igl…</t>
  </si>
  <si>
    <t>Int'riago, Matías</t>
  </si>
  <si>
    <t>Matías Int'riago</t>
  </si>
  <si>
    <t>…Arenas, natural de Lora del Rio, provincia de Sevilla. El que supiere su paradero se servirá avisarlo en Madrid en la imprenta Real á D. Pedro Gutiérrez, y en Cádiz en el correo á D. Matías Int'riago. Ensayos sobre la historia de la filosofía desde Adan hasta nuestros dias: obra en que se da noticia de los principales filosofes y de sus principios, impugnando los errores de unos con la doctrina de otros; y en que se prueba que no puede ha ber otra religió…</t>
  </si>
  <si>
    <t>Inunciaga, Miguel Antonio de</t>
  </si>
  <si>
    <t>Miguel Antonio de Inunciaga</t>
  </si>
  <si>
    <t>…ídád. Los pretendientes, que deberán ser aprobados por el supremo Conse jo de Castilla ó por la hermandad de S. Casiano, dirigirán sus memoriales hasta i.° de Noviembre venidero á D. Miguel Antonio de Inunciaga, escribano, residente en la villa de Dnrango. D. Pascual Norella del Azabal, natural de Madrid, capitán de granaderos gra duado de teniente coronel del regimiento de Extremadura infantería de línea, es tuvo con su regimiento en los dos sitios de Zaragoza hast…</t>
  </si>
  <si>
    <t>Iparraguirre, Antonio Bernardo de</t>
  </si>
  <si>
    <t>Antonio Bernardo de Iparraguirre</t>
  </si>
  <si>
    <t>…n. de los caídos de una pensión que le está con cedida sobre los fondos del consulado de Valencia. ; A nombre de la abadía de curas del Cañábate se ofrecieron á S. M. por manos de D. Antonio Bernardo de Iparraguirre, cura párroco del Quintanar del Rey , y conducto del señor mayordomo mayor, 20© rs. vn. para ocurrir á las presentes urgencias del estado. Doña Joaquina, Doña María del Carmen", Doña Teresa y Doña Ber narda López Val verde han hecho cesión á S. M. de 137 25 r…</t>
  </si>
  <si>
    <t>Ipsilandi</t>
  </si>
  <si>
    <t>…STRIA. Vietta 21 de Setiembre, El día 20 del corriente llegaron á esta capital los Sres. Balgakof, conse jero de Estado de Rusia; Laharpe, teniente general en el mismo imperio; el príncipe Ipsilandi, coronel igualmente de Rusia; Stejger, ministro de Suiza; el duque de Seracapñola, embaxador de Sicilia en Rusia; Jordán, consejero de la legación prusiana, y Stagman, consejero de Estado de Prusia. Según las últimas noticias que se han recibido de Polonia ,…</t>
  </si>
  <si>
    <t>Iranzo, Miguel</t>
  </si>
  <si>
    <t>Miguel Iranzo</t>
  </si>
  <si>
    <t>…Setiembre ultimo fue admitido á cumplimentar á S. M. por su restitución al trono en nombre de la villa de Utiel, provincia de Cuenca, el mariscal de campo de los Reales exércitos D. Miguel Iranzo, caballero de la orden militar de Montesa, el qual dixo: ,, Señor: tengo la honra de poner en manos de V. M. esta humilde re presentación que la villa de Utiel, provincia de Cuenca, pueblo de mi natu raleza , me encarga en cumplimiento de su obligación , y te…</t>
  </si>
  <si>
    <t>Irazabal, Manuel</t>
  </si>
  <si>
    <t>Manuel Irazabal</t>
  </si>
  <si>
    <t>…Iturmendi. = Teniente de Canciller mayor, Fernando de Iturmendi. El Rey ha tenido á bien promover á subtenientes 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t>
  </si>
  <si>
    <t>Iriberri, Pedro Fermín de</t>
  </si>
  <si>
    <t>Pedro Fermín de Iriberri</t>
  </si>
  <si>
    <t>…te general marques de Villanueva de Duero conde de Villariezo, al de igual clase D. José Arteaga. Asimismo ha conferido el Rey el Gobierno políuco y militar de Orihuela al Coronel D. Pedro Fermín de Iriberri, Capitán de la brigada de Cara bineros Reales; y el de Melilla al Teniente Coronel D. Jacinto Díaz Capi lla, Sargento mayor de la misma plaza; habiéndose dignado S. M. conferir Ja Sargentía mayor de la de Madrid al Teniente Coronel D. Estanislao Guizaburuaga,…</t>
  </si>
  <si>
    <t>Iruteta, Vicente</t>
  </si>
  <si>
    <t>Vicente Iruteta</t>
  </si>
  <si>
    <t>…*. lo malo del camino y la obscuridad de la noche no me permitió llegar á hora competente para no ser visto» p©r lo que determiné que avan zase el teniente de dragones de S. Luis D. Vicente Iruteta con la caballería de su mando, y la guerrilla de la misma arma, al cargo de su comandante D. Cristóbal Huver, y se echasen sobre el reducto. ,, Los rebeldes se fugaron; pero murieron 4 en el alcance, y algunos fueron heridos: se les quitaron 7 escopetas casi…</t>
  </si>
  <si>
    <t>Iscar, Fernando</t>
  </si>
  <si>
    <t>Fernando Iscar</t>
  </si>
  <si>
    <t>…cante por fallecimiento de D. José de Aldama , á D. José Urrutia, teniente vicario general del quano exército: para otra de la iglesia catedral de Sigiienza, vacante por muerte de D. Fernando Iscar, á D. Lope More no, cura párroco del lugar de B. lbacil, en la misma diócesis: para otra de la catedral de Mondoñedo, vacante por promoción de D. José Morales al arcedianato de Niebla, dignidad de la iglesia metropolitana de Sevilla, á D. Diego Vázquez Buceta…</t>
  </si>
  <si>
    <t>Isi, José</t>
  </si>
  <si>
    <t>José Isi</t>
  </si>
  <si>
    <t>…é Francisco de Leca. En ei de Luya y Chillaos el empleo de coronel al sargento mayor del propio cuerpo D. Mariano Rodríguez. En el de León* de Huanuco empleos de portaestandarte á D. José Isi dro Baldizan y I&gt;. José Cós. En las compañías sueltas de Santa empleos de capitanes al ayudante Don Ignacio Carrillo y al teniente D. José Félix Muñoz. En el regimiento de milicias disciplinadas de dragones de Lima el em pleo de teniente coronel ai comandante…</t>
  </si>
  <si>
    <t>Isi, Manuel</t>
  </si>
  <si>
    <t>Manuel Isi</t>
  </si>
  <si>
    <t>…esponsabilidad de su empleoj ha tenido á bien S. M. mandar que se publique en la gaceta, y se le den las gracias en su nombre. Igualmente ha mandado S. M. que se den las gracias á D. Manuel Isi dro de Gran}a, y se publique en la gaceta el donativo que ha hecho de los caídos de las alcabalas de la villa de Velilla de San Antonio que posee por título honroso, y que le corresponden hasta el dia de la fecha de la Real cédula de S. M. relativa al reinteg…</t>
  </si>
  <si>
    <t>Isny, Quadt</t>
  </si>
  <si>
    <t>Quadt Isny</t>
  </si>
  <si>
    <t>…de Praga S. A. I. la gran duquesa princesa heredera de Saxe Weymar, que habita también en el palacio. Antes de ayer llegaron también á esta capital los lores Valetort y Apsley, el conde Quadt Isny, el conde de Schladen, chambelán prusiano, el príncipe Carlos, príncipe heredero de Lourenstein-Werthem-Freudemberg7 y el barón de Ende. BELGICA. Br us élas s_9 de Setiembre. S. A. R. el príncipe soberano, después de haber visitado á Mastrlcht, Hasselt y una…</t>
  </si>
  <si>
    <t>Iturbide</t>
  </si>
  <si>
    <t>…Tengo dado parte á V. E. desde el 21 en Acámbaro de mi determina ción de sentar el 24 mi quartel general en esta ciudad; pero habiendo ade lantado mi marcha el 23 en compañía del coronel Iturbide, me hallé que los enemigos habían tomado la única entrada para mí de la loma del Zapote. A este tiempo atacaba Morelos los demas puntos de la entrada de la ciu dad, y siendo preciso entrar á viva fuerza, determiné mi ataque, y entré en la plaza habiendo derro…</t>
  </si>
  <si>
    <t>Iturbide, Agustín de</t>
  </si>
  <si>
    <t>Agustín de Iturbide</t>
  </si>
  <si>
    <t>plaza, hice salir un cuerpo de tropas, al mando de mi;segundo, el bizarro coronel D. Agustín de Iturbide, para reconocer sus movimientos, y habién dose empeñado una acción de las mas vivas, anochecieron nuestras tropas y las del enemigo, haciéndose un fuego fuerte que aterró á los rebeldes, se gún he visto por los resultados de hoy. Esta madrugada, permaneciendo…</t>
  </si>
  <si>
    <t>…s los cuerpos que compone el exército del señor brigadier D. Ciríaco de Llano, con (a que avancé hasta cerca de Atécuaro, á retaguardia de la caballería que iba al mando del señor coronel D. Agustín de Iturbide, y me retiré de este punto quando se me díó orden para ello * sin haber ocurrido novedad. Dios guarde á V. E. muchos años. Valladolid y Enero 15 de 1814 = Excmó. Sr. =r Dominga jL anda zury.^. Exorno. Sr. virey D. Félix: Calleja. Intimación hecha, al teniente…</t>
  </si>
  <si>
    <t>…ento del enemi g® y sus fuerzas, que pasaban ya de 11© hombres, e! mayor numero de infan tería, y á distancia de media legua de esta ciudad, me pareció oportuno dar aviso al señor coronel D. Agustín de Iturbide, que se hallaba en mar cha para esta desde Indaparapeo, con un sargento y quatro patriotas de "ValladoHd, por si no hubiese oído los dos cañonazos de alarma (señal que le tenia dicho con anticipación era de que los enemigos atacaban), los que re petí en el mo…</t>
  </si>
  <si>
    <t>Iturraeta, Agustín</t>
  </si>
  <si>
    <t>Agustín Iturraeta</t>
  </si>
  <si>
    <t>9)0 preso, tanto para su satisfacción como para la del exército fíe!. También con la de V. S. ha entregado el capitán de la goleta española Diligencia D. Agustín Iturraeta, según me da parte el comandante de Para¿uaña el coronel D. José Miralles, 17 caxones mexicanos, que contienen 2&gt; quinta les y medio de pólvora, y 8o® balas de fusil en 80 caxones, que V?S. me remite; por lo qual, y por el momento en que recibo esté auxilio,'…</t>
  </si>
  <si>
    <t>Iturralde, Tomas González de</t>
  </si>
  <si>
    <t>Tomas González de Iturralde</t>
  </si>
  <si>
    <t>…o miento de D. Francisco Lr&lt;ba, á D. Francisco Monsaíve: para una media ra ción de la iglesia catedral de Sto. Domingo de la Calzada, diócesis de Cala horra, vacante por muerte de D. Tomas González de Iturralde, á D. To mas de Simón Saez; y para una ración de la iglesia colegial de Briviesca, diócesis de Burgos, vacante por fallecimiento de D. Manuel de Miguel, á D. Apolinar Angulo. En atención á los distinguidos méritos y circunstancias de D. Tomas Arias Leiza de E…</t>
  </si>
  <si>
    <t>Iturria, José</t>
  </si>
  <si>
    <t>José Iturria</t>
  </si>
  <si>
    <t>…tal la de 3 muertos y 22 heridos del í.°; 5 muertos, 30 heridos, 10 contusos y 44 pri sioneros oel 2.0, y 10 heridos del 3.- El capitán de laí tercera,compañía .del 2.0 regimiento D. José Iturria fué igualmente herido. Harispe pudo conse guir estas pequeñas ventajas,"qn’e-nuftWl© seráñsi se atiende al número de fuerzas qtje empleó.para atacarnos ,.quapdpJas nuestfas, como V. S. no lo ignora, apenas ascendían á 2400 hombresfdespués de haberse dexádo mu…</t>
  </si>
  <si>
    <t>Iturrigaray, Manuel</t>
  </si>
  <si>
    <t>Manuel Iturrigaray</t>
  </si>
  <si>
    <t>…crimen de la misma chancillería j y para las resultas por promoción de estos á D. Juan Nepomuceno Vela y D, Esteban Moyano. El Rey se ha servido conceder el gobierno de Llerena al brigadier D. Manuel Iturrigaray, el de Villanueva de los Infantes ai coronel D. Mar cos Nuñez y Abreu, el de Ocaña al de igual clase D. Joaquín Manglanot y e! de Almagro al de la propia clase D. Fernando de Sierra, todos en las ordenes militares. O En atención al distinguido mérito y acendr…</t>
  </si>
  <si>
    <t>Iturvide</t>
  </si>
  <si>
    <t>…parte á V. E. desde el 21 en Acanobaró de mi determina ción de sériian-el 24 mi¿ quartel general; en esta ciudad; pero habiendo ade lantado mi marcha el 23 en compañía?; del señor coronel Iturvide , me hallé que ios enemigos;¡hablatí tomado la única entradaJpara mí de la loma del Zapote.- - :/ . !■ :■ •• r . " est®.tiempo atacaba MoTelos ibs.denñas pus tosida la entrada de la¿ciudad ; y siendo preciso entrar á viva fuerza, determiné mi ataque, habiendo…</t>
  </si>
  <si>
    <t>…toda la reunión que había hecho por tanto tiempo. Matamoros huyó tomando el camino de los Laureles, y á ambos se les persigue en diferentes columnas: la que fué á las órdenes del Sr. Iturvide cogió cerca del pueblo de Atequaro muchas mu niciones. En la primera ocasión remitiré á V. E. los detalles de las acciones, cort los estados de lo tomado á los enemigos. Nuestra pérdida ha sido de muy poca consideración, pues creo no excede de 20 muertos y 50…</t>
  </si>
  <si>
    <t>Iturvide, Agustín de</t>
  </si>
  <si>
    <t>Agustín de Iturvide</t>
  </si>
  <si>
    <t>…ría, á 1300 toesas al sur de e^ta ciu dad. Por la tarde, pareciendo que los enemigos se disponían á atacar la pla za, hice salir un cuerpo de tropas al mando de mi segundo bizarro coronel D. Agustín de Iturvide para reconocer sus movimientos; y habiéndose em peñado una acción de las mas vivas, anochecieron nuestras tropas nacionales y las del enemigo haciéndose un fuego fuerte, que aterró á los rebeldes, se gún he visto por los resultados de hoy. Esta madrugada, per…</t>
  </si>
  <si>
    <t>…a decidida la acción, hice que saliese toda la caba llería á la persecución, y empezó á baxar toda la artillería y parque para la hacienda. El resto de la caballería, al mando del coronel D. Agustín de Iturvide, persiguió á los enemigos dos leguas. ■ Los rebeldes han perdido mas de 600 muertos, con muchos gefés; 700 prisioneros, 23 piezas, y 150 cargas de todas clases de municiones»</t>
  </si>
  <si>
    <t>Iz, Elias</t>
  </si>
  <si>
    <t>Elias Iz</t>
  </si>
  <si>
    <t>…girado baxo el título de Ramón y Ma nuel LaíFore, para que en el preciso término de 18 meses se presenten 5 formali zarlo con los documentos que les comprueben en la escribanía de D. Elias Iz quierdo y Payan i baxo apercibimiento de que transcursados se executarán les pa gos sin gravamen de fianza, cancelándose las que están dadas , y parándoles eáto, con quanto se actúe y resuelva , el mismo perjuicio que si fuese con su interven ción y audiencia…</t>
  </si>
  <si>
    <t>Izóla, Joaquín Tutor Iba</t>
  </si>
  <si>
    <t>Joaquín Tutor Iba Izóla</t>
  </si>
  <si>
    <t>…ía.. D. Joan Campo y Oliva. En Sevilla...... D. Nicolás Jo‘é Areipacochaga. En Segovia...... Viuda de Ramiro y Mesa. En Santiago.... D. Manuel de la Riba Moreno. En Soria......... D. Joaquín Tutor Iba Izóla. En S lamanea D. F rancisco de Zúñiga y Barbosa. En Santander. Vial é hijo. En Toledo....... D. Francisco Perez. En Valencia.... D. Manuel López Maestre. En Valtidolid. D. Luis Francisco de Lu¡s¿ En Zaragoza., El Barón de la Torre.' ; En Zamora...... D. Manue…</t>
  </si>
  <si>
    <t>Izquierdo, Agustín Sánchez</t>
  </si>
  <si>
    <t>Agustín Sánchez Izquierdo</t>
  </si>
  <si>
    <t>…n señal ninguna de vi da, y adyirtiéndose en él algún principio de putrefacción. La madre se halla en el dia enteramente restablecida. Madrid 2.9 de Junio, El dia 10 dél corriente D. Agustín Sánchez Izquierdo, como apoderado \</t>
  </si>
  <si>
    <t>Izquierdo, Cayetano</t>
  </si>
  <si>
    <t>Cayetano Izquierdo</t>
  </si>
  <si>
    <t>go, cora párroco de ella, D. Gregorio Bayllo, alférez de fragata retirado de la real armada, alcalde primero, y D. Cayetano Izquierdo, juez de le tras ; el primero de los quales dixo : „ Señor: la villa dei Campo de Criptana, sus autoridades y clero, que en el Quintanar de la Orden tuvieron la honra de felicitar á V. M. por verle libre de la opresión del tirano de la Europa, vuelven hoy á d…</t>
  </si>
  <si>
    <t>Izquierdo, Cristóbal</t>
  </si>
  <si>
    <t>Cristóbal Izquierdo</t>
  </si>
  <si>
    <t>…Ruiz Morquecho: para la de Bui¡trago á D. Estanislao Guilarte; para la.de Potes á B. León González del Camino: para la de Algeciras á D. Juan Batte y Ortega: para la de'Máfchena á D. Cristóbal Izquierdo de los Santqsi para lá de'Priego á D., Vi** cente Pereda: para la de Alcalá de Henares á D. Joaquín Zeñgotita y Benoa: para el corregimiento de Lerma á D. Pedro Tagle Velarde: para el de -orea á D. José Guillen de Toledo: para el de Alcaudete á D. Zacaríasf R…</t>
  </si>
  <si>
    <t>Izquierdo, Gervasio Fernandez</t>
  </si>
  <si>
    <t>Gervasio Fernandez Izquierdo</t>
  </si>
  <si>
    <t>…vean en los estrados dél tribunal, parándole el perjuicio que haya lugar; de que certifico como escribano de cámara del expresado tribunal de Cortes. Madrid 15 de Marzo de 1814. = D. Gervasio Fernandez Izquierdo. • " ’ , » ’/v ■ ' .................. -------------------------------------------n , -1 — MADRID EN LA IMPRENTA NACIONAL.</t>
  </si>
  <si>
    <t>J, Manuel López de</t>
  </si>
  <si>
    <t>Manuel López de J</t>
  </si>
  <si>
    <t>…e D. Francisco Pascual Formé, que tomó-piara de oficial en Jas tropas españolas en Diciembre de 1808, para comunicarle /noticias interesantes. El que lo sepa se servirá avisarlo á D. Manuel López de J&amp;ÍBÍS ^escri bano del Rey nuestro Señor , y de provincia y comisiones de su Real-¿i*4&gt;y' corte. Los famosos traidores refugiados en Francia convencidos de sus crímenes, y jus tificación del Real decreto de qo de Mayo: por F. M. M. M. C. Véndese á 2 rs» en el d…</t>
  </si>
  <si>
    <t>Ja</t>
  </si>
  <si>
    <t>…e se admitirán las pujas y mejoras que se hicieren. Por la audiencia del Sr. D. Francisco Assin , teniente de corregidor de esta villa de Madrid, y por la escribanía del número de D. Ja cobo Manuel Manrique, se están siguiendo autos de abintestato á los bienes dé D. Mariano Fernandez, catedrático segundo que fué de la real academia de S. Fernando; lo qne se noticia al público para que los que conceptúen teper derecho, le deduzcan ante dicho…</t>
  </si>
  <si>
    <t>Jackson</t>
  </si>
  <si>
    <t>…rolongue la guerra, mas segura se rá su derrota.__ En la frontera del Sur la victoria ha sido fiel compañera de la bandera americana. Las operaciones hábiles y atrevidas del mayor general Jackson, al frente de la milicia de los estados vecinos, y en particular del Tenesseo, han sometido las principales tribus de salvages que nos hablan de clarado la guerra, obligándolos á hacer la paz, después de-haber sido casti gados exemplarmente; y asi nada hay ya…</t>
  </si>
  <si>
    <t>Jacobson</t>
  </si>
  <si>
    <t>…on sus tro pas, pertenecientes a] cuerpo del conde Woronzow, rechazó al enemigo, le mató 100 hombres, entre ellos dos oficiales, tomó dos cañones; é hizo mas de 40 prisioneros. El teniente Jacobson , del cuerpo del general Woronzow, atacó con 100 cosacos dos esquadrones de cazadores de á caballo, pertenecientes á la guar nición de Horneburgo; y después de haber muerto 20, y hecho 30 prisio neros, se apoderó del pueblo. Stettin ha capitulado baxo esta co…</t>
  </si>
  <si>
    <t>Jácome, Adrián</t>
  </si>
  <si>
    <t>Adrián Jácome</t>
  </si>
  <si>
    <t>…os pueblos, no solo no les intimidaban, sino que encendían mas y mas el fuego de su amor y lealtal; y dando inmediatamente cuenta de todo al general en gefe del campo de Gibraltar D. Adrián Jácome, tu vo esta villa la satisfacción de que le contestase, dándole las gracias con las expresiones tnas lisonjeras, y ofreciendo elevarlo á noticia del gobierno. Te memos, Señor, molestar á VVM.; pero no podemos omitir que estos solo eran los preludios de lo que…</t>
  </si>
  <si>
    <t>Jago</t>
  </si>
  <si>
    <t>…e rio. En mi anterior oficio se me pasó participar á V. E. que el fuerte de Salinas.se había entregado á los aliados. El cuerpo del general St. Priest llegó á VItry del Mame; y el general Jago estaba en Joinville con orden de reunirse al general St. Priest. Acaba de llegar parte del general Frimont, participando el buen éxito de un ataque que ha dado hoy con la caballería de su mandó á la retaguar dia enemiga cerca de Vandoeuvre. El general Frimont…</t>
  </si>
  <si>
    <t>Janin</t>
  </si>
  <si>
    <t>…os; y después de haber dado las órdenes necesarias para que á la tropa se le asis tiese con todo lo necesario, hizo subir á su cámara al comandante del cuer po el teniente coronel barón Janin y á los oficiales, coa quienes conversó largo rato. Acaba de llegar á esta capital una diputación de la ciudad de Dijon, que viene á cumplimentar á S&gt; A. R., siendo esta la segunda de las ciuda des de Francia que han tenido esta dulce satisfacción. La primera…</t>
  </si>
  <si>
    <t>Jaucourt, Dalberg.zz Francisco de</t>
  </si>
  <si>
    <t>Dalberg.zz Francisco de Jaucourt</t>
  </si>
  <si>
    <t>…smo; pero que la ambición no lo haga funesto á la Francia, y funesto á vosotros mismos, y que no sea un motivo de inquietud para ia Europa entera, El príncipe de Benevento.-zz. El duque Dalberg.zz Francisco de Jaucourt. = Btumonville. = Montesquiou. = Por mandado dei gobierno provisional = Dupont (de Nemours), secretario general.’* Ei gobierno provisional decreta: „ El pabellón blanco y la escarapela blanca serán enarboladas en los bu ques de guerra y en los de comercio.’*…</t>
  </si>
  <si>
    <t>Jáuregui, Ignacio</t>
  </si>
  <si>
    <t>Ignacio Jáuregui</t>
  </si>
  <si>
    <t>…a tenido á bien concederle los honores de contador dé exército. - »¿ • » El Rey se ha servido nombrar primer médico de cámara , con todas las atribuciones anexas á este destino, á D. Ignacio Jáuregui. Se halla vacante la plaza de cirujano del pueblo de Barrio Busto, arrabal de la villa de Labraza, en la Rioja alavesa , distante tegua y míd«a de Logroño. Su dota ción son 70 fanegas de trigo y casa, cuya dotación se aumentará si las calidades del profesor e…</t>
  </si>
  <si>
    <t>Jaureguizar, Joaquín Eiio y</t>
  </si>
  <si>
    <t>Joaquín Eiio y Jaureguizar</t>
  </si>
  <si>
    <t>…a; y para otra no nacional á D. Map riano Rufino González; y para la fiscalía ae dicho consejo,á D. Juan Rar mon de Matute; y para una de ministro togado en la Cámara de Comptos á D. Joaquín Eiio y Jaureguizar: para una de oidor de la chancillería de Valladolid á D. Juan Nicolás Ondaveytia, ministro de la audiencia de Oviedo: para otra de la misma chancillería á D. Pedro Tiborcio Gutiérrez: para una de alcalde del crimen á D. .José Reguerra: para una de oidor de</t>
  </si>
  <si>
    <t>Jaureguizar, Joaquín Elío y</t>
  </si>
  <si>
    <t>Joaquín Elío y Jaureguizar</t>
  </si>
  <si>
    <t>…de la pública tranquilidad. Dios guarde á V. E. muchos años. Havana ó de Junio de 1814. =Excmo. Sr. = Juan Ruiz de Apodaca." Por decreto de este dia se ha servido S: M. conferir á D. Joaquín Elío y Jaureguizar la plaza de Ministro togado de la Cámara de Comptos, va caste por fallecimiento de D. Andrés Chavier. Real lotería moderna. En el sorteo noveno que se celebro el dia 14 de Setiembre salieron los premios mayores á los números siguientes: Números. Premios. Cole…</t>
  </si>
  <si>
    <t>JD</t>
  </si>
  <si>
    <t>…cha por otra del sitio de esta ciudad, que salió á su encuentro. Ei muy conocido Gregor Mai Gregor, aventurero escoces, ¿‘pareció úl timamente por la provincia de Barinas, Aili su comandante JD. Antonio Puig ie ha batido, muerto, destruido casi todo su exército, y cogídole la mayor parte de ios fusiles y un canon que tenia. Es indudable por los partes de Boves que Piar está encerrado en Maturia. Parece increibie el número de las tropas de Boves. Tod…</t>
  </si>
  <si>
    <t>Jdosqjuera, Eduardo</t>
  </si>
  <si>
    <t>Eduardo Jdosqjuera</t>
  </si>
  <si>
    <t>…nito Llórente, capitán del de Guadalaxara. D. Camilo Marquina, id. de id. D. Juan de Novoa, id. de id. D Francisco Vega, ayudante primero de id. D. José Guerra, subteniente de id. D. Eduardo Jdosqjuera, capitán de, fragata. Dora</t>
  </si>
  <si>
    <t>JDuazo, José</t>
  </si>
  <si>
    <t>José JDuazo</t>
  </si>
  <si>
    <t>…larán en la librería de Escribano, calle de las Carretas. 'tinta. En la gaceta núm. 150 del jueves 10 del corriente, pág 2147, en la provisión de la chantría de Málaga, donde dice D. José JDuazo, léase Duaso. EN LA IMPRENTA REAL.</t>
  </si>
  <si>
    <t>JEiio, Xavier</t>
  </si>
  <si>
    <t>Xavier JEiio</t>
  </si>
  <si>
    <t>…ecer por ei Sr. D. Francisco de Eguía, secretario de Estado y del despacho de la Guerra, en las quales se mandaba arrestar y quitar la vida ai capitán general de aquella provincia D. Xavier JEiio; de cuyo horrible atentado se dio aviso en ia gaceta de esta corte del dia 12 de Julio, ofreciendo el premio de 10$ pesos al que descubriese el autor ó cómpiice da tan infame hecho, para que siendo habido, no quedase sin castigo su atroz delito. Comprometido…</t>
  </si>
  <si>
    <t>JEspinosa, Carlos de</t>
  </si>
  <si>
    <t>Carlos de JEspinosa</t>
  </si>
  <si>
    <t>…y D. Alfonso de Ibarra, de MiUoiies. Ministros del Tribunal de Contaduría mayor. D. Pedro Regalado-de Garro; Marques de las Hormazas; D. Nicolás de Otamendi; D. Sebastian Jócano; D. Carlos de JEspinosa; D. Pablo Ruiz de la Bastida. = Palacio n de Agosto de 1814. = Señalado de la Real mano de S. M. 2.0 Restablecido mi Consejo de Hacienda por decreto de hoy para en tender en Jos negocios contenciosos y gubernativos que tenia, y he puesto á su cargo; á fin de…</t>
  </si>
  <si>
    <t>Jesucristo</t>
  </si>
  <si>
    <t>…ibano D. Antonio Domincriif*.7 - V ciimnlim^ntsi-ln r,r\r C. O C--------i * , . , i, pe na en autos, a instancia de Ja oírte do la real casa hospital de la sama Caridad de nuestro Señor Jesucristo, sobre pose! sion de ios bienes, fincas y rentas del mayorazgo que fundó D. Sebastian Cabatlero Henuquez de Guarnan, comendador que fué de Aguilarcjos, en Ja órdeu de Santi.igo; el qual vaco por muerte s.n sucesión del señor marques del Pedroio v por lo mismo…</t>
  </si>
  <si>
    <t>Jiménez, Ramón García</t>
  </si>
  <si>
    <t>Ramón García Jiménez</t>
  </si>
  <si>
    <t>…J&lt;ruu JL— En viciad de■ providencia del $r. D- Manuel Fernandez Qaniboa, primes? te niente corregidor de esta heroyea villa de Madrid, y por la esciibanía d.el número ¿el cargo de D. Ramón García Jiménez, y pgrs hacer pago á ¡un acreedor, se ha mandado sacar á publica subasta una casa . sita en la calle de Santa María del Arco, feñalada con el número 22 deja manzana .3 13 , que comprende, jgúg pies y me dio quadrados superficiales, valuada en 28227 rs, de vn.…</t>
  </si>
  <si>
    <t>JLlano</t>
  </si>
  <si>
    <t>…y otros artículos. Hace.-seis, día5 qtíe vino.dé Tampicó el bergantín Saeta^conjúrviuiHon dé pe sos , y por instantes se espera á la pdlacra Regla con 300©. Xa rápida mar cha del Sr. JLlano frustró los proyectos del hebelde Morelos?, que quedó sor prendido de encontrar á aquel gefe,en Valiadolid; y aunque sus intentos eran reunir todcs ios, principales cabecillas,,no pudo; verificarlo, acdríieticrídole el Sr« Llano, matándole jnuohísiiiia,gente,…</t>
  </si>
  <si>
    <t>Jo</t>
  </si>
  <si>
    <t>…imprima, publique y circule. 5= L. de. Borbon» ¡cardenal de ScaJa» arzobispo de Toledo, presidente ss. Pedro de A gar.zs Gabriel Ciscar. ss Ha palacio á 3 de Febrero de 1814. = A D. Jo^ef Luyando* Colección de los decretos y ordenes que han expedido las Cortes generales y extraordinarias desde 24 .de Febrero de 18 ig hasta 14 de Setiembre del mismo año, en que terminaron sus sesione*. Compr*htndc ademas el decreto expedid» por la» C&amp;rtes ex…</t>
  </si>
  <si>
    <t>…ía ma yor ei regocijo y piacer que causa á todos la presencia de S. M. y AA. La Regencia del Reyno se ha servido nombrar para la canongía docto ral de la capilla real de Granada á D. Jo:é Rafael de Sebastian. Asimismo lia nombrado para magistrados de la audiencia de Navarra á D. Francisco Ib añez, D. Santiago Suso y Anda, D. Vicente Calvo, D. Manuel José Arbizu, D. Lucas Gómez Negro, D. Martin de Gastañaga, D. Jo&gt;é Ro dríguez Biezma, D. Migu…</t>
  </si>
  <si>
    <t>…s Monteros el Dr. D. Valentín Zorrilla de Velasco, inquisidor que f ié de Santiago, y los monteros de la real guar dia y cámara de S. M. D Pedro Manuel Sainz de la Maza, y el Lie. D. Jo sé Antonio Gutiérrez Solana, agraciado con la cruz de la real y distinguida&lt;5rden española de Carlos m; y tomando el primero la palabra dixo: - Señor*- vuestra villa de Espinosa de los Monteros , no menos célebre por su- acendrada leilrad y amor á sus Reyes ,…</t>
  </si>
  <si>
    <t>…afias i o Puyal, obispo de Caristo, auxi liar de este arzobispado de Toledo por lo «correspondiente á Madrid y su partido ; para el de Segovia, vacante por fallecimiento del limo. Sr. D. Jo sé Saenz de Santa María, al R. P. D. Isidoro de Celis, lector Jubilado en sagrada teología, árbitro y secretario general de la congregación española de Clérigos Reglares Ministros de los enfermos; para el de Zamora, vacan te por fallecimiento del limo. Sr. D.…</t>
  </si>
  <si>
    <t>…or á D. Miguel de la Vega; á teniente de granaderos á D. Miguel Piñeyro ; á subtenientes dé ídem a D. Domingo Parño y D. José Ignacio Castro, y á subtenientes de bandera al cadete D. Jo&lt;é González Oso río y al sargento primero D, Francisco Azquen. Con la de 17 de Febrero de 812, á teniente de fusileros á D. Domingo Patino; á subteniente de granaderos á D/Jo^é Viüafranca, y á subteniente de bandera al cadete D. Francisco Elouza. Con la de 24…</t>
  </si>
  <si>
    <t>…de intendente de provincia. El Rey por decreto de 18 de Octubre, en atención á los dilatados y bue nos servicios del administrador general de reritas de la provincia de Sala manca D. Jo&gt;é-Antonio Blanco, y á la exactitud y zeJó con que está des empeñando en comisión la intendencia de Falencia desde el año de 1812, ha venido en conferirle en propiedad este empleo. En consideración á los servicios del tesorero del exército de Cataluña D. N¡j*-…</t>
  </si>
  <si>
    <t>…antes por fallecimiento de D. Ra fael Ancón Encina, á D. Bernardo Osorio y Moscoso: para la canongía va cante en la catedral de Calahorra por muerte de D. Diego Tricio y Náxera, á D. Jo^é Mariano Andux, racionero de la iglesia colegial de Daroca, penitenciario del Real hospital general de esta corte, y cura castrense: para una racioa de la Iglesia catedral de Córdoba, vacante por muerte de Don</t>
  </si>
  <si>
    <t>…que ha vacado por fallecimiento de D. José Martínez, ¿ D. Jasé Ferraz: para el beneficio simple de Sta. Colonia de Vez de Marban , en el obispado de Zamora, vacante por muerte de D. Jo é Pando, á D. Lucas Tadeo Delgado: para el beneficio préstamo de Castillejo de Azava , vacanfe en ej!obispado de Ciudad-Rodrigo por fallecimiento de D. Joa quín, Uria, y la media prestamera de S. Nicolás de ía ciudad de Sevilla, que vacó por .muerte de fi* Jo…</t>
  </si>
  <si>
    <t>Jo, Burghersh y</t>
  </si>
  <si>
    <t>Burghersh y Jo</t>
  </si>
  <si>
    <t>…embarcaciones. La primera división de transportes que lleva tropas á bordo para la Ame rica dio la vela de Burdeos el 15 de Mayo. Idem 4, El i.° de este mes llegaron á Douvres el lord Burghersh y Jo&lt;é Planta. El último es portador del tratado definitivo de paz entre la Gran B etaña y la Francia. Este tratado fue puesto en manos de S. A. R. el Príncipe Re gente el día 2 para que recayga sobre él la ratificación. _ El código Na poleón ha sido abolido en io…</t>
  </si>
  <si>
    <t>Jo, Manuel</t>
  </si>
  <si>
    <t>Manuel Jo</t>
  </si>
  <si>
    <t>…tancias el mayor respeto, amor y fidelidad á V. M.” El referido dia 27 besaron también !a mano y cumplimentaron á S. M. y Sres. Infantes, á nombre de la villa de los Arcos, el Dr. D. Manuel Jo sé Lombardo, D. José Gerónimo EIso, el Líe. D. Francisco Miguel Lom bardo y el Dr. D. Fausto Galdiano; el primero de los quales arengó á S. M. en los términos siguientes: ,,Señor: la villa de los Arcos en vuestro reyno de Navarra, y su heroyco vecindario, rep…</t>
  </si>
  <si>
    <t>Jo, Nicolás</t>
  </si>
  <si>
    <t>Nicolás Jo</t>
  </si>
  <si>
    <t>…Gayoso.. En Patencia.... D. Marcelino de la Torre. Jim Palma...... D. Lorenzo Gibert. En Pamplona.. D. Miguel*D Echarri. ^ En Pías encía.. D. Joan Campo y Oliva. En Sevilla...... D. Nicolás Jo‘é Areipacochaga. En Segovia...... Viuda de Ramiro y Mesa. En Santiago.... D. Manuel de la Riba Moreno. En Soria......... D. Joaquín Tutor Iba Izóla. En S lamanea D. F rancisco de Zúñiga y Barbosa. En Santander. Vial é hijo. En Toledo....... D. Francisco Perez…</t>
  </si>
  <si>
    <t>Joa</t>
  </si>
  <si>
    <t>…núm. 12976: uno de 300, núm. 47335; y uno de 150 pesos, núm. 170161. Los tres endosados á favor de Doña Sinforiana de Alvarez. Y uno de 300 pesos, núm. 24793 , endosado á favor de Doña Joa quina de Larrea. Y habiéndose extraviado dichos 11 vales, se suplica á la persona' ó personas en cuyo poder se hallen, ó tengan noticia de ellos, se sirvan entregar los ó comunicar su paradero en esta corte ai citado Mendoza, que vive calle de Jacometrezo, nú…</t>
  </si>
  <si>
    <t>…escuela de Taquigrafía. Recibid á S. AL y AA. una comisión de la Reai sociedad,patriótica de Aíadrid, compuesta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t>
  </si>
  <si>
    <t>…l Reai. - ■ . - ; ' r • ' ' ^ Instituciones' ‘dé Castilla, que escribieron D. Ignacio Jordán de Aso y D. Mi guel de Manuel., corregidas, ilustradas y muy'adicionadas con notas por D. Joa quín Alaría de i Palacios, catedrático de Prima de leyes patrias que fue de la universidid de Huesca: mandadas explicar en todas las universidades del reyno por Real cédula de § de Octuibre ^de 180a , y comprendidas en el último plan de estudios: dos tomos en…</t>
  </si>
  <si>
    <t>…a, vacante por muerte de D. Jo é Pando, á D. Lucas Tadeo Delgado: para el beneficio préstamo de Castillejo de Azava , vacanfe en ej!obispado de Ciudad-Rodrigo por fallecimiento de D. Joa quín, Uria, y la media prestamera de S. Nicolás de ía ciudad de Sevilla, que vacó por .muerte de fi* José. Marín y Llabuca, á D. Rafael Ferraz: para el medio beneficio rural de Butarque y Obera, en el arzobispado de Toledo, vacante por fallecimiento de D. Fra…</t>
  </si>
  <si>
    <t>Joa, Félix</t>
  </si>
  <si>
    <t>Félix Joa</t>
  </si>
  <si>
    <t>…cho de Ja imprenta nacional á recoger el núm. i.°, y en lo sucesivo los siguientes, según se previno en el prospecto. Por, el correo de 16 de.Agosto del año próximo pasado remitió D. Félix Joa quín de la Sota,,vecino ele Portugalete en Vizcaya, á í)..Francisco Ruiz de Men doza, que lo es de esta villa, para presentarlas á su renovación, i1 vales reales de la creación de i.° de Setiembre, cuyos números y endosos son: uno de ó o o pesos, núm. 2198: t…</t>
  </si>
  <si>
    <t>Joaq'Difi'Argiiel</t>
  </si>
  <si>
    <t>…rlos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-igual nombre D. Toaquin González -de Mench&amp;ca; el de‘ Cariñena al brigadier D. Josef Antonio Sanz, coron…</t>
  </si>
  <si>
    <t>Joaquín</t>
  </si>
  <si>
    <t>ner.ii D. Joaquín de la Pezuela: la 2ccicn fué reñidísima por ambas partes, teniendo varias ventajas al principio los insurgentes; pero al fin se pusieron en precipitada dispersión , obteniéndose una completa victoria. Los enemi gos perdieron 600 hombres entre muertos y prisio…</t>
  </si>
  <si>
    <t>…vier Martínez Ximenez, que quedó prisionero en el Nor te a la salida del marques de la Romana para España. La persona que supiese sú paradero se servirá cómun icario áf su hermano D. Joaquín, abogado y fiscal de Ja reaf justicia en la ciudad de Almería. - Las figuras de la biblia, ó historia de! viejo y nuevo testamento, descrita en 367 pasages áe la sagrada1 biblia, con reflexiones morales sacadas de los santosPa dresacomodadas á todo género de…</t>
  </si>
  <si>
    <t>…ancisco García Sainz, cur;a párroco del.obispado de digu, nza; • ¿ára la ^baála «de Covarrubias,, dignidad de. la santa .ig^sia rtietropohiana de Eureos^. vacante por promopion de D. Joaquín de.Munua y iiu^te a una . canonsía de la santa iglesia metropolitana de Samiag,-.a b. r-annbeo \ en tura de Palacios; para una canongía de la reíenda santa iglesia me^&gt;poluana de. Burdos,¡ vacáñte por muerte de-D. Pedro V ícente l^ ir-iua D. Sa turnino de cSt…</t>
  </si>
  <si>
    <t>…rección del gobierno juntamente con el con sejo de Estado. El conde de Bernsdorf se halla ya en Viena en calidad de mi nistro plenipotenciario de Dinamarca, y tiene por adjunto al conde Joaquín su hermano para el despacho de los negocios. Se dice que el Rey volverá aqui antes del 28 de Octubre, dia del cumpleaños de la Reyna, prefixado para la coronación, que debe veriiiearse en Fredericsbourg. Entre los asun tos que deberán tratarse por parte de la…</t>
  </si>
  <si>
    <t>…l en gefe que fue D. José Manuel de Goyeneche mientras lo mandó, las qúe-ocasionó después la' nueva organiza ción del mismo exército, las pro puestas por su actual general en gefe Don Joaquín de la Pezuela, á consecuencia de las brillantes batallas de Vilcapugio y Ayohuma, ganadas por aquellas bizarras tropas contra los rebeldes; y los que en el exército pacificador de las provincias de Quito concedió y propuso su general en gefe y presidente de a…</t>
  </si>
  <si>
    <t>…ña* al conde de Castroterreño, existente eu el mismo vireynato, y D. Gaspar Vigodet, capitán general de las provincias del Rio de la Plata ;á mariscales de campo á los brigadieres D. Joaquín de la Pezuela, general en. gefe del exér-»cito del Alto Perú, D. Juan Ramírez y D. Francisco Picoaga, generales dé división del mismo, y D. José Dávila, subinspector general de las tropas de Nueva-España; y á brigadieres á los coroneles empleados en el expres…</t>
  </si>
  <si>
    <t>…brigadieres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 Laserna , D. Felipe de Sesma, Don Antonio Tomas, el barón de Biure…</t>
  </si>
  <si>
    <t>…&lt;5 patriotas que hubieren muerto en defensa de la justa causa de la nación, ha cabido en suerte del primer extracto de la de este dia á Doña María de los Dolores Machín , hija de D. Joaquín , capitaii del regimiento de infantería de Zaragoza, muerto en el campó del honor. Y &lt; 4 " , , , ’ . Se halian vacantes los partidos de médico, cirujano, maestro de primeras letras y maestra de niñas de la villa de Albaíate de Zorita, en la Alcarria, 13 legua…</t>
  </si>
  <si>
    <t>Joaquín, Félix</t>
  </si>
  <si>
    <t>Félix Joaquín</t>
  </si>
  <si>
    <t>…omunicar su paradero en esta corte ai citado Mendoza, que vive calle de Jacometrezo, núm. 3, quinto principal, junto al hospitalito de los franceses, ó en Portugalete ai expresado D. Félix Joaquín de la Sota. Se halla vacante la plaza de medico de la villa de Parla (á tres leguas de la corte), que consta de 80 vecinos, dotada en 20 rs. vn. diarios, pagados por el ayuntamiento constitucional, al qual dirigirán sus solicitudes los pretendientes. El parti…</t>
  </si>
  <si>
    <t>Joaquín, José</t>
  </si>
  <si>
    <t>José Joaquín</t>
  </si>
  <si>
    <t>…ópez, de cazadores; y de fusileros á D. Manuel Menendez Vaídes, D. Pedro Zuíoaga y D. José González de Ribera; á segundo ayudante mayor á D. Antonio Romero; á segundos tenientes á D. José Joaquín de la Mata, de granaderos, al conde de Torrejon de ca zadores, y de fusileros á D. José de Osea, D. Andrés de Andrade, D. Ig nacio de Alava, D. Antonio María San Andrés y D. José Masón; á alfére ces, de granaderos á D. Alfonso de Tuero, y de cazadores á D. Mi…</t>
  </si>
  <si>
    <t>2012 cay del misrfio vireynato alférez comandité á D. Rafael Román , y tenien te coronel agregado á uno de los regimientos de infantería que se hallan en Lima a D. José Joaquín de ia Mat a. Igualmente por resoluciones de 30 de Agosto ult:mo se ha dignado S. M. aprobar todos los empleos, grados y de más premios concedidos por el virey de Lima, y de que se había dado cuenta hasta aquella fecha á resultas de la formación del exército d…</t>
  </si>
  <si>
    <t>Joaquina</t>
  </si>
  <si>
    <t>…s de D. Antonio Bernardo de Iparraguirre, cura párroco del Quintanar del Rey , y conducto del señor mayordomo mayor, 20© rs. vn. para ocurrir á las presentes urgencias del estado. Doña Joaquina, Doña María del Carmen", Doña Teresa y Doña Ber narda López Val verde han hecho cesión á S. M. de 137 25 rs. vn. que im portan sus haberes de la pensión que disfrutan. Don Francisco Antonio Sobron ha ofrecido á S. M. 3© rs. que entregó en calidad de empréstit…</t>
  </si>
  <si>
    <t>Jobani, Mariana Febrer y</t>
  </si>
  <si>
    <t>Mariana Febrer y Jobani</t>
  </si>
  <si>
    <t>…herederos en caso de falle cimiento de ellos, para entregarles cierta cantidad de dinero que depositaren aque llos en su poder el año pasado de 1801. Se desea saber el paradero de Doña Mariana Febrer y Jobani para entregarla quatro acciones del banco nacional de S. Cárlos. La persona que supiere de su paradero ó la misma interesada podrá acudir en esta capital á D. Eusebio Elgueta, que vive calle del Arenal, núm. 3, quarto segundo, casa que fué de los donados de S…</t>
  </si>
  <si>
    <t>Jócano, Sebastian</t>
  </si>
  <si>
    <t>Sebastian Jócano</t>
  </si>
  <si>
    <t>…Ondarza, de Gobierno; y D. Alfonso de Ibarra, de MiUoiies. Ministros del Tribunal de Contaduría mayor. D. Pedro Regalado-de Garro; Marques de las Hormazas; D. Nicolás de Otamendi; D. Sebastian Jócano; D. Carlos de JEspinosa; D. Pablo Ruiz de la Bastida. = Palacio n de Agosto de 1814. = Señalado de la Real mano de S. M. 2.0 Restablecido mi Consejo de Hacienda por decreto de hoy para en tender en Jos negocios contenciosos y gubernativos que tenia, y he pues…</t>
  </si>
  <si>
    <t>Jomini</t>
  </si>
  <si>
    <t>…las tareas dé la junta será el coronel Rúhle, conocido por su diario intitu lado Palas, por su viage con el exército en 1809 &lt;&amp;c., y por otra obra que ha publicado en compañía del general Jomini. Escriben de Constantinopla, con fecha de 25 de Octubre, que se ha aumentado la familia del Gran Señor con. el nacimiento de una princesa,que ‘ha recibido “el nombre de:Sultana Schab. Se publico queA hábia Vi'do robada una'caravana de peregrinos por lbs walia…</t>
  </si>
  <si>
    <t>Jones</t>
  </si>
  <si>
    <t>…el James Macdonald , del mismo regimiento. Estos oficiales encontraron su muerte, con otros muchos, peleando en la puerta de Ambéres, conduciéndose con el mayor valor: el teniente coronel Jones, con el resto del destacamento, tuvo que rendirle. El servicio de conducir las columnas fue bien executado por el teniente coronel de ingenieros Carmichael Smith , quien acompañó al mayor general Cooke, asi como el teniente coronel Wood, comandante de artille…</t>
  </si>
  <si>
    <t>…en el baluarte cerca del amanecer; pe ro fué desalojado otra vez por los mayores Muttlebury y Hog con los dos débiles batallones. Principié luego á retirar mas gente. El teniente coronel Jones, que habla sido hecho prisionero, llegó á la sazón acompañado de un oficial francés que me intimó la rendición , y me díxo que el teniente coronei Muller y las tropas de la puerta del Puerto se habian visto obliga das á rendirse, y que marchaba con escolta á…</t>
  </si>
  <si>
    <t>…ranceses de cla ses correspondientes se pondrán en libertad lo mas pronto posible. Me valgo’ de esta ocasión para manifestar mi satisfacción: por el zelo.in fatigable del teniente coronel Jones en alivio de los prisioneros, abmayor Stanhope. También debo hacer justicia al general Bizanet, que como-todos los hombres de valor, ha,tenido un esmero particular con los prisioneros. Me ha enviado el nombre de un oficial prisionero en Inglaterra, que fué su…</t>
  </si>
  <si>
    <t>Jonge</t>
  </si>
  <si>
    <t>…barcó el enemigo con pérdida de algunos centenares, después de verse atacado por el general Pauchin. HOLANDA. Alkmar 25 de Diciembre. Se continúa reclutando con el mejor éxito. El comandante Jonge toma las providencias mas convenientes para la seguridad y defensa del Helder, de modo que nada tememos por aquel punto. Las guardias nacionales mues tran el mayor zelo: la fortaleza del Helder será en breve embestida de tal modo que se cortará toda comunicac…</t>
  </si>
  <si>
    <t>Jordy</t>
  </si>
  <si>
    <t>…as de artillería: la guarnición constaba de 1500 hombres, y habían salido de Grenoble otros 1500 para reforzarla y ponerla á cubierto de una sorpresa. Por desgracia fué atacado el general Jordy de un accidente de apoplegía la mañana misma que se presentó el enemigo, y el oficial que tomó el mando en su lugar se dexó persuadir por el vecindario á que saliese de la plaza , y con efecto la guarnición la abandonó. El prefecto lo habia hecho de antemano,…</t>
  </si>
  <si>
    <t>Jorge</t>
  </si>
  <si>
    <t>…gocios. Ayer se celebró un oficio de difuntos en la iglesia de S . Pablo por las al mas de los generales Pichegru, Jorge, Aíoreau y por las de Jos 11 sugetos que perecieron con el general Jorge. Se cree que el lunes próximo se Halle aquí el duque de OrleartS de vuel ta de su viage á Londres; viage que aun se ignora el objeto con que lo hi zo. También se espera de un día á otro al príncipe de Metternieh. El cuerpo de guardias de Corps, que se ha rest…</t>
  </si>
  <si>
    <t>Jos</t>
  </si>
  <si>
    <t>…, teniente coronel , ayudare ¡ .secundo,fju/,es-j tado mayor. D. José Cieofuegos, id. de id. D. Ramón Gqqzajez^J^pe i3. D. Santos San Miguel, teniente coronel deí 2.0 de Asturias. D. Jos&amp;M^íía Noroa , sargento mayor de id. D. Diego Quirós, capitán de id. D. Tomas Pastoriza , teniente de id. D. Gumersindo Muros, subteniente de id. D. Benito Llórente, capitán del de Guadalaxara. D. Camilo Marquina, id. de id. D. Juan de Novoa, id. de id. D Fran…</t>
  </si>
  <si>
    <t>José</t>
  </si>
  <si>
    <t>…Juan de Caz, 30: Mariano Riaza, 20: Clemente Majoleto, 20: Francisco García Hernández, 120: Dr. D. Tomas Aranguren, 100: D. Fernando Milano, presbítero, 100: D. Diego Milano, 30: D. José de'Olmo, presbítero regu lar, 10: Félix Riaza*', 3°: Marcos Riaza, 20: Francisco Riaza, 20: Manuel Reguera , 8 : Mimiíiél; Erranz , i i ?: Jorge García, 2ó : Estanislao de la Cáíi— tilla , 10: Julián Fernajidez, i.j .Xomas„. Moreno... jo : José García García,…</t>
  </si>
  <si>
    <t>…lo tenían incontestable para llevar en triunfo á aquel por quien triunfaron; y aun hizo S. M. que lo acompañase en esta loria el héroe que los conduxo á la inmortalidad el Excmo. Sr. D. José alafox. Las heroínas de Zaragoza vestidas sencilla y honestamente ayuda f ban á esta obra, tirando de unas cintas que salían del coche de S. M.: abría la comitiva un esquadron de dragones de Madrid, y seguían diferentes compañías de escopeteros paisanos forma…</t>
  </si>
  <si>
    <t>…^||£ de la quarta división, coronel del a.^de Asturias. D. Joaquia V,eja^cqfl. £f.-j eretario de S. É., teniente de la Princesa. D.,feernando.^e;J.a^enríat.gapitagi de ingenieros. D. José. Ortega, teniente coronel , ayudare ¡ .secundo,fju/,es-j tado mayor. D. José Cieofuegos, id. de id. D. Ramón Gqqzajez^J^pe i3. D. Santos San Miguel, teniente coronel deí 2.0 de Asturias. D. Jos&amp;M^íía Noroa , sargento mayor de id. D. Diego Quirós, capitán de i…</t>
  </si>
  <si>
    <t>…corazón. Estos caciques y gente principal, aunque gentiles, algunos se dan nombres cris tianos, y los propios naturales tienen significación en su idioma: Villacura, que se titula D. José, quiere decir tejo de oroj D. Agustín Lincopichum, perdiz encopetada $ D. Pascual Antinaguel, tigre del sol; I&gt;. Manuel Ren gueantes, refiexos del sois D. Juan Naguelpanc, tigre y león; D. JoséNeculneri, carrera de zorra. Participo á V. S. esta importantísima…</t>
  </si>
  <si>
    <t>…del licen ciado D. Benito Saenz González , residente en dicha corte, c¿He ancha de Majaderitos, núm. 20» quarto baxo interior» se avisa á la persena legítima descendiente de dicho D. José» á quien pertenezca su propiedad, para que acuda á« entregarse de dicho documento» que será entregado ii mediatamen te que precedan la justificación de aquella, y las señas de este; y lo 11 i:mO&gt; te verificará» caso de faltar, descendientes legítimos del D. J…</t>
  </si>
  <si>
    <t>…omoción de dicho Mauriz a Don Laureano González Mendizabal: para el arcedianato de Madrid, dignidad de la santa iglesia primada de Toledo, vacante por fallecimiento del Excmo. Sr, D. José E11 staquio Moreno, á D. Tomas Aparicio Sanrin,dean y canó nigo de la iglesia catedral de Ciudad-Rodrigo, y colector general de espolios y vacantes: para una canongía de la iglesia colegial de Antequera, dió cesis de Málaga, vacante por fallecimiento de D. Fran…</t>
  </si>
  <si>
    <t>…o, D. Pedro de Oiedo, D. Mi guel Ignacio Mari mon, D. Pedro Dávalos Santa María, D. Vicente Osorio, D. Joaquín Ibarra, D. Guillermo Parker Carrol , D. Juan de Pontous y Moxica , t D. José de, Aymerich , D. José María de Ezpeleta., D. José de O-Lawlor, D. Manuel de Artazo, D» Francisco D’IIautregard, D. José</t>
  </si>
  <si>
    <t>…Manuel Mo ^coso, al limo Sr. D. IBlas Joaquín Alvsrcz de Palma, obispo -de Jferuel, para la dignidad de arcediano de Huete en la iglesia catedral de Cuenca, vacante per muerte de D. José de las Casas Maán, á D. Bernardo Martí nez, c nónigo de la de Orense ; para una canongía de la iglesia catedral de Oviedo, vacante por fallecimiento de D. Remigio Navamuel, á D. Joaquín M&lt;: rtin Renayas \ y para una capellanía de la Real carilla de Sres. Reye…</t>
  </si>
  <si>
    <t>…general de elecciones de oficios e1 dia ío de 'éste raes* en Ja xjue sah'erdn electos: el Excfno. Sr. duque de Ilijais directorioD. Francisco Lopefc de1 Olavarrieta, subdirector; D. José,Martínez r de San Martin, censor Antonio Osterez yNario, secretario; D. Antonio Regas, contador; D. Fermín María de Uria Nafarrondo, tesorero; D. Anr tonio Sandalio Arias, archivero; D. Tiburcio Hernández, bibliotecario . ; r • . • , ■» ' ■ j ‘ • ■ &gt; • f * *…</t>
  </si>
  <si>
    <t>…. Antonio Díaz Goveo, natural que fue de está corte, y habitante en ella , y sú calle de S. Pedro , núm. 1.6, quarto entresuelo , de edad de 58 años , de estado solte ro , hijo de D. José y de Doña Antonia Gutiérrez Alvarez, falleció en el hospital General de la misma, sin constar dexase disposición testamentaría, por lo qual se emplaza y cita á qualquiera persona que presuma tener derecho a sus bienes, pata que dentro de 15 dias, en que se in…</t>
  </si>
  <si>
    <t>…del de la laguna de Chapala en la Nueva-Galicia, á cuyo abrigo han logrado algunas ventajas sobre las divisiones de aquella provincia, que me han obligado á prevenir al comandante general D. José de la Cruz que las reúna, abandonando puntos menos intere santes , y haga un nuevo esfuerzo sobre la isla que tienen fortificada, mientras que el brigadier D. Ciríaco de Llano, que manda el exército del Norte, se ocupa en batir las reuniones que existen entre…</t>
  </si>
  <si>
    <t>José, Antonio</t>
  </si>
  <si>
    <t>Antonio José</t>
  </si>
  <si>
    <t>…el por muerte de D. José Iñigo , á Dc Joaquín Pedro Fama y Gómez: para la ración que ha vacado en la referida iglesia de Cá diz por fallecimiento; de D., José del Villar de Vago á D. Antonio José de la Parra t para el beneficio simple servidero de la iglesia parroquial de Sm</t>
  </si>
  <si>
    <t>José, Juan</t>
  </si>
  <si>
    <t>Juan José</t>
  </si>
  <si>
    <t>…asegurado.** * Al dia siguiente tuvo igualmente la honra de cumplimentar í S. M. y besar su real mano una diputación del ayuntamiento de ia ciudad de Cádiz compuesta de los Sres. D. Juan José 1 liarte, alcalde primero, y D. Isidro Angulo, procurador síndico; el primero de los quales dirigió á S. M. el discurso siguiente: , „ Señor: Cádiz, baluarte de! trono excelso de las Espaúas, asilo de sus defensores, y ancora de salud en la mas espantosa borr…</t>
  </si>
  <si>
    <t>…cediano de Revná , y racionero de la misma iglesia.; para-una ración dé la santa iglesia ineAópólitmia de Sevilla, vacante por promoción de-Don Andrés A maya a-canongía de ella, á D. Juan José de f i|leTÍX'páff5quiárde S.. Juap de la Palma oc a-que lia ciudad; para otra raciom</t>
  </si>
  <si>
    <t>Josef</t>
  </si>
  <si>
    <t>…• -n ; . . n El dia 7 del presente,mes los Sres. D:. Juan Nepomuceno de;Magati y Pacheco, guardia de Corps de menor edad, agraciado por $• M, D. Car los iv, D. Martin de Uriarte, D. Josef de'Trespuentes^j^, Josef E^ymun do de Náxera y D. Juan Antonio Pendaríes, dicípulos de la. academia pu blica de matemáticas,; que con iare atiprobácio ti^hageoch p años se, halla .esta blecida en está corte baxo la dirección de su 'catedrático Di Miguel;Dqlz,…</t>
  </si>
  <si>
    <t>…ompondrá delTVéSfáefiteVde once Ministros de Capa y Espa da, y ademas del TesoréroJgenéráKmaS antiguo', qúe será Ministró nato del Consejo, y de siete Ministros Togados, ademas de D. Josef de-Pbarra, Fis cal que fué del Consejo, quien quiero que obtenga plaza efectiva dé Minis-</t>
  </si>
  <si>
    <t>…n los casos y negocios graves que ocurran , ó de cuya resolución pueda proceder regla general. Y atendiendo á los conoci mientos y servidos del Alinistro de mi Cornejo de Hacienda D. Josef de</t>
  </si>
  <si>
    <t>Josef, Gonzalo</t>
  </si>
  <si>
    <t>Gonzalo Josef</t>
  </si>
  <si>
    <t>…. = Habiendo resuelto el Rey restable cer eí Consejo de I3 Cámara por su Real decreto de 5 de este mes, de que acompaño un exemplar impreso, rubricado de mi mano, ha venido en que D. Gonzalo Josef ,de Vilches y D,. Antonio ViManueva y Pacheco conti núen sirviendo en él las plazas para que fueron nombrados por su augusto Padre; y se ha servido de nombrar para otras tres del mismo Tribunal á D. Josef Joaquín Colon, á D. Manuel de Lardizabal y Uribe y á D…</t>
  </si>
  <si>
    <t>Josef, Juan</t>
  </si>
  <si>
    <t>Juan Josef</t>
  </si>
  <si>
    <t>…s autos suspensos, hecho ya é impreso el memorial ajustado, con citación, desde el año pasado de 1807, haya acudido al mencionado consejo en ig de Octubre próximo pasado ci citado D. Juan Josef de la Calle solicitando se mandase hacer saber por retardado el es tado de dichos autos al expresado consulado, io qual"se ha verificado, como igual mente á todos los acreedores; los Sres. del expresado Real y supremo consejo, en atención á ser imposible inti…</t>
  </si>
  <si>
    <t>Josef.B</t>
  </si>
  <si>
    <t>…cio y arreglo de la clase de Comisarios, que tanto la necesita. En consecuencia se sirvió S. M. conferir el mencionado emplea de In'tendete de, vExército,Inspector de Comisarios á;D. Josef.B anco Cjoii-, S^lezj Oficial mayor .prirnerq de la expresada Secretaría de Estado y del Des pacho,, de la Guerra de -mi,cargo.: mandando al mismo, tiempo que el Consejo Supremo de. la Guerra consultase á S. M. ias funciones y verdaderas obligacio nes de este n…</t>
  </si>
  <si>
    <t>Josef.Décreft</t>
  </si>
  <si>
    <t>…iempre iguales resultados; recomendan do en particular al bizarrísimo alférez de húsares de Cataluña D. Josef Ro dríguez , tantas veces recomendado; al comandante del mismo cuerpo Don Josef.Décreft, que-dirigió, la columna derefuerzoyaí teniente del regimiento infantería de Palma D. Josef María Cortés, encargado interinamente del estado mayor de la brigada, por el tino y serenidad con que comunicó sus órdenes, cruzando continuamente ios fuegos enemigos;…</t>
  </si>
  <si>
    <t>JosefLacarirera</t>
  </si>
  <si>
    <t>…l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 Antonio Godinez, D. Francisco Cañete y D…</t>
  </si>
  <si>
    <t>JosefOrtuño</t>
  </si>
  <si>
    <t>…baterías con pulso; de modo que se ha apoderado de una plaza muy fuerte por su localidad con muy poca san gre durante el sitio; nabiendo muerto en el asalto de la ciudad el cadete D. JosefOrtuño, el granadero Manuel Porta y el fusilero Sebastian de Mula , y sido herido el capitán D. Lucas Marín. Ademas fue muerto de bala de fusil durante el sitio del castillo el teniente graduado de capitán D. Ma nuel Prino. »La tripulación y oficiales de marina de l…</t>
  </si>
  <si>
    <t>JoséNeculneri</t>
  </si>
  <si>
    <t>…e decir tejo de oroj D. Agustín Lincopichum, perdiz encopetada $ D. Pascual Antinaguel, tigre del sol; I&gt;. Manuel Ren gueantes, refiexos del sois D. Juan Naguelpanc, tigre y león; D. JoséNeculneri, carrera de zorra. Participo á V. S. esta importantísima ocur rencia para su satisfacción, y que el Exemo. Sr. virey cuente con la inalte rable fidelidad de la numerosa y valiente nación araucana. ,, Dios guarde á V. E. muchos años. Lima 5 de Diciembre dé 181…</t>
  </si>
  <si>
    <t>JoséRuiz</t>
  </si>
  <si>
    <t>…s, manifestando de todos modos la devoción y acendrada piedad de sus religio sos corazones en tan solemne aniversario. Madrid 9 de Setiembre. ; El día 14 de Julio último los Sres. D. JoséRuiz, beneficiado de S; Bar tolomé, y D. Domingo Calzón, tesorero de rentas de la ciudad de Andujar, á nombre del único cuerpo eclesiástico de párrocos y beneficiados de la misma » tuvieron el honor de cumplimentar á S. M. y Sermos. Sres. Infantes* y con este moti…</t>
  </si>
  <si>
    <t>Jovcllanos, Gaspar Melchor de</t>
  </si>
  <si>
    <t>Gaspar Melchor de Jovcllanos</t>
  </si>
  <si>
    <t>…u libertad , y por las amarguras, naufragios y desgracias que padeció después hasta su infausta muerte, determinaron imprimir por subscripción las Memoria* para la vida del Excmo. Sr. D. Gaspar Melchor de Jovcllanos, y noticias analíti cas de sus obras, por D. Juan Agustín Cean Bermudez: un tomo en 8.° marquilla, compuesto de mas de 400 páginas de buen papel, y con la misma forma y carácter que el prospecto, que: se entregará gratis en Madrid en la librería de Quiroga, c…</t>
  </si>
  <si>
    <t>Jovellanos, Gaspar de</t>
  </si>
  <si>
    <t>Gaspar de Jovellanos</t>
  </si>
  <si>
    <t>…emoriales á D. Ramón de Sánfúyjo^isfccretario de! ayuntamiento de dicha villa, y se reciben hasta 20 del corriente';..v Algunos amigos del ilustre, sabio y benemérito de la patria D. Gaspar de Jovellanos, deseosos de contribuir á las honras que merece por sus vastos conocimien tos en ciencias y artes, literatura, buen gusto, y zelo ardiente en comunicarlos i la juventud estudiosa, por el heroismo con que sufrió la mas dura é injusta perse cución y encierro, p…</t>
  </si>
  <si>
    <t>…ran número de códices antiguos: tres tomos en 4.0 de marca. Véndese en la casa Panadería á'150 rs. en pasta y 132 en rústica. = Memoria sobre las diversiones publicas, escrita per D. Gaspar de Jovellanos. La da á luz la academia nacional de la Historia: uh tomo en 8.° Véndese á 6 rs. en la misma casa de la Panadería y en la Librería de Sancha. Lecciones de geografía astronómica, natural y política, escritas de orden del Gobierno para uso principalmente del se…</t>
  </si>
  <si>
    <t>…dotación consiste en 11 rs. diarios pagados por el ayuntamiento, y casa. Los pretendientes dirigirán sus memoriales al alcalde constitucional de dicha villa. Memoria que el Excmo. Sr. D. Gaspar de Jovellanos dirige á sus compatrio tas, en la-que se rebaten las calumnias divulgadas contras los individuos de la su prema junta central gubernativa del reyno; y se da asimismo razón de la conducta y opiniones del autor desde que recobró su libertad en el año de 1808. Q…</t>
  </si>
  <si>
    <t>…á 1 2 rs, en rústica y á 16 en pasta. Cartas sobre los obstáculos que la naturaleza, la opinión y las, leyes oponert á la felicidad pública , escritas por el conde de Cabarrus, al Sr. D. Gaspar de Jovellanos: un tomo en 4.°, á 16 rs. en rústica. Se halla en U librería de Quiroga, calle de las Carretas, debaxo de Ja fonda del Angel. ¡ El Paraíso perdido, poema épico de ÍMilton, traducido del ingles en verso cas tellano por D. Juan de Escoíquiz, arcediano de Alcara…</t>
  </si>
  <si>
    <t>Jover, Pascual</t>
  </si>
  <si>
    <t>Pascual Jover</t>
  </si>
  <si>
    <t>…i alguno pudiese dar razón , escribirá ó dará aviso i Clemente Pa acio en Zaragoza. Sermón predicado el dia de Pentecostés del año de 1813 sobre la libertad fi losófica por el Dr. D. Pascual Jover, arcediano titular de la catedral de Albarracin, y gobernador de su obispado. Se hallará en la librería de Perez, calle de las Carretas, a 3 ts» vn* Triunfo de Fernando vil en su salida de España, y la felicidad que por ella ha resultado á la nación. Se vende…</t>
  </si>
  <si>
    <t>Jq</t>
  </si>
  <si>
    <t>…os y obispados de que? bracios para entender en Liconstrac- respectivamente están encargadas.. * cion ae cementerios. Sr. D. Gonzalo José de Vilches...... Santiago, Orense y Lugo. Sr. D. Jq&gt;é Joaquín Colon............... Gerona, Vich y Calahorra. Sr. D. Manuel de Lardizabal. Zaragoza ^ Muesca y Albarracin* Sr. D. Antonio Viii.anucya. .......Grapada,* Gcadix y Almería. Sr D. Bernardo Riega.. ............. Tarragona,-Barcelona y TeruelSiv conde*;d…</t>
  </si>
  <si>
    <t>Jt</t>
  </si>
  <si>
    <t>…in fantería fixo de Goatemala coronel vivo y efectivo al comandante del mis mo D. Félix Lagraba. En el de Castilla fixo de Campeche sargento mayor al capitán graduado de teniente coronel D. Jt sé Rafael Carabeo; capitán de granaderos á D. Angel de Tozo; teniente de granaderos á D. Eduardo Ló pez ; idem de fusileros D. Laureano Muñoz, D. Luis de Castro y D. José Orruyrinez; subteniente de granaderos i D. Juan Nepomuceno Lavalle, y subtenientes de ba…</t>
  </si>
  <si>
    <t>Ju</t>
  </si>
  <si>
    <t>…os actos referidos un extraordinario regocijo ¿ y la adhesión mas firme á la Cons titución , á las Cortes y ai Gobierno. La junta de censura de esta provincia, atendiendo á que el Sr. D. Ju lián Sojo, que servia el empleo de secretario, no puede continuar desempe ñándole á causa de su nuevo destino de juez letrado de partido, ha tenido á bien nombrar por su secretario á D. Antonio Osteret y Nario, que vive calle'de las Fuentes, núm. 2, quarto se…</t>
  </si>
  <si>
    <t>…ces en él hecho, y ademas indultado de toda pen¿¡ por su complicidad y participaron en é!.— [El mismo ca.co del general Elio ha ocurrido con el conde de JLBisbal en Sevilla, y con Don Ju.¡n María de Villavicencio en Cádiz.] En virtud de rea! facultad se venden 150 fanegas de trer a de regadío, y de la mejor calidad que se conoce en la vega de Mejorada del Campo, distante tres le</t>
  </si>
  <si>
    <t>…cretario , Escribano de Camara mas antiguo, y de Gobierno del mi Consejo, se le dé la misma fe y crédito que á su original. Dada en Palacio á 22 de Agosto de 1814.= YO EL REY = Yo D. Ju an Ignacio de Ayestarán, Secretario del Rey nuestro Señor, lo hice escribir por su mandado. = El Duque de! I;f ata do. = El Conde del Pinar. = D. Josef Antonio de Larrumbide. =. D. Anto nio Alvarez de Confreras. = D. Tomas Moyano.s: Regbtr.- da , Fernando de…</t>
  </si>
  <si>
    <t>Juan</t>
  </si>
  <si>
    <t>…D.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t>
  </si>
  <si>
    <t>…e la misma ciudad, compuesta de los doctores D. Tomas López de Regó, su actual rector, D. Venancio Dusmet, catedrático de concilios nacionales, D. NicoLs Heredero, de elo cuencia, D. Juan de la Dehesa, de instituciones civiles, y D. Francisco An tonio González, bibliotecario de S. M., tuvo el honor de felicitar á S. A. la Regencia de las Españas el domingo 16 del corriente. ARTICULO DE OFICIO. El mariscal de campo D. Luis Wimpffen, gefe del es…</t>
  </si>
  <si>
    <t>…este bizarro oficial, cargado de familia, miró siempre su deber para con la patria como su primer objeto, y sen ya muchas las veces que lo he visto distinguirse: el de la Victoria D. Juan vivas ha sido mortalmente herido, y es muy acreedor también,á la misma recomendación: el subteniente de la dé Jaén D. Cristóbal Muñoz también ha sido,herido mcrtalmente; se ha portado con la mayor bizarría: el capitán de Ja Legión D. Augusto Barón Quistorp, a…</t>
  </si>
  <si>
    <t>…rido en la acción al paso del Bidasoa, dexa á“ su muger en el reyno de Galicia viuda y sin amparo alguno. Estoy muy reconocido á los servicios del gefe de estado mayor del bloqueo D. Juan, Doa, del oficial del mismo cuerpo D.‘ José Bermudez, del capitán agregado ai propio D. José Toyos, del capitán de ingenieros británico D. Juan Wells, del de artillería D. Antonio Aldecoa, que voluntariamente me acompañó en las operaciones de aquella noche si…</t>
  </si>
  <si>
    <t>…puertas de París. Escoltaban á S. M. el lucido cuerpo de coraceros del príncipe Mauricio de Lichrenstein, y le acompañaban su gran chambelán, el conde Bubna, su escudero mayor; el conde Juan dé Traúttmansdorf; los generales barón Duka; Kutschera, primer edecán del conde Manuel Wratisia; el príncipe Luis de Rohan y el príncipe Pablo Ester3zi. Tres destacamentos de las guar dias de los nobles de' Alemania, de Hungría y de Bohemia formaban tam bién…</t>
  </si>
  <si>
    <t>…cido de resulta de es tas asociaciones son muy grandes: y serán aun mucho mayores si no se ata jan en tiempo con oportunas providencias que las extirpen del todo. A este propósito D. Juan el 1 en sb Ordenamiento de leyes hecho en Guadalaxara en él año de 1390» encargó y mandó á los prelados del reyno que, por quanto muchos entraban en tales asociaciones ligándose con pactos y jura mentos, absolviesen de estos á los que los hubiesen hecho, y qu…</t>
  </si>
  <si>
    <t>…ado, en que no ten drían la menor parte los sugetos capaces de hacer este corto sacrificio. Las personas que quisiesen prestarse á este servicio podrán acudir á la casa del Excmo. Sr. D. Juan dé Escoiquiz, consejero de Estado de S. M., caballero gran cruz de la distinguida orden de Cárlos ni, dignidad de ar cediano de Alcaraz, y canónigo de la santa iglesia de Toledo, primada de las Españas, á tratar de éste punto con S. E.; y en Toledo con el ilu…</t>
  </si>
  <si>
    <t>…de 1814. El dia 24 del corriente tuvieron el honor de presentarse á S. M. y besar su Real mano D. Gerónimo de Godoy y Quintana, capellán de Reales guardias de Corps, y su hermano D. Juan, subrigadier del mismo Real cuer po, los quales en nombre de D. Diego Hidalgo'Sarguero yde su muger é * rijos, vecinos de til Villa de Quintana, en el partido de la Serena, en Extre madura, déspHes de haber cumplimentado á S. M., hicieron el donativo de 8S&gt; r…</t>
  </si>
  <si>
    <t>…bremonte, se ha servido concederle plaza supernumeraria en el Real y supremo Consejo de las Indias. Don Diego Kidalgo Barquero, Doña María Godcy Quintana, su espo sa , y sus hijos D. Juan y Doña Ines han hecho á S. M. la oferta de 4© rs. vn. Al mhmo tiempo ha ofrecido igual cantidad D. José Hidalgo Barquero, otro de los hijos de D. Diego, para arender á las urgencias del estado. S. M. se ha dignado admitir estos donativos, mandando que se den gracias á lo…</t>
  </si>
  <si>
    <t>…peño de sus deberes, y adhesión á su Real Persona, 4$) rs. de pensión vitalicia sobre la encomienda de Aceuche,;de la orden de Alcántara, que deberán entenderse á favor de su hija D. Juan, de menor edad, por haberlo asi solicitado de la piedad de S. M. Lo que de su Real orden se inserta en esta gaceta para noticia del publica y satisfacción del interesado. Gracias que se ha dignado el Rey nuestro Señor dispensar coa motivo de su feliz cumpleañ…</t>
  </si>
  <si>
    <t>…via» al intendente de exército D. José de Ausa. Asimismo por decreto de 6 del mismo mes se ha servido S.M. conferir 1a intendencia de la provincia de Córdoba al intendente de León D. Juan de •Modenes, y la de la provincia de León al de Córdoba D. Joaquín Peralta. Y por decreto de ti del propio mes, atendiendo á las circunstancias y servi cios de D. Manuel de Inca Yupanguy, ha venido en conferirle la intendea— cia de la provincia de Granada. Po…</t>
  </si>
  <si>
    <t>…los ©cho sordo- mudos que-no han podido obtener plaza : IX Manuel Martin, Ca milo Tomico , José Alvarez, Eugenio Becerro, D, José García, Cayetano Fragb, Florez y Roiel, hijos de D. Juan y de Ambrosio, cuyos nombres ‘se ignoran» 1 ' ~ _______ ARTICULO,, D*' ' OFICIO. J r ■ 1 El sábado último 2^ del corriente á las cinco de la tarde S. M. y AÁ, se restituyeron á esta corte desde el Real sitio de SV Lorenzo. Todas las tropa» de la guarnición, q…</t>
  </si>
  <si>
    <t>…los militares ó patriotas que hubieren muerto en defensa de la justa causa de la nación, ha cabido en suerte del primer extracto de la de este dia á Doña Teodora Laredo , hija de D. Juan , sargento i.° de Reales •Guardias Españolas, muejrto en el campo del honor. La junta de dirección y gobierno del Real colegio de sordo- mudos, por renuncia que ha hecho de la plaza de secretario de ella D. Francisco de Pau la Martí, ha nombrado para sucederl…</t>
  </si>
  <si>
    <t>Juan, Fermín Francisco S.</t>
  </si>
  <si>
    <t>Fermín Francisco S. Juan</t>
  </si>
  <si>
    <t>…. Diego Rafael'Caballero,'á D. Jorge Fernandez: para el arce dianato de Berberiego, dignidad de la iglesia catedral de Calahorra, vacante por muerte de D Blas Aguiriano y Gómez, á D. Fermín Francisco S. Juan, canónigo de la misma: para el arciprestazgo de Santa Olalla , en el arzobis pado de Toledo , vagante por fallecimiento de D. José López de Perea, á D. Manuel Carnicero: para el beneficio simple servidero de la iglesia parro quial de la villa de Moron , en el…</t>
  </si>
  <si>
    <t>Juan, Fermín Francisco San</t>
  </si>
  <si>
    <t>Fermín Francisco San Juan</t>
  </si>
  <si>
    <t>…opia iglesia, vacante por muerte de D. Pedro Nieto Herrero, á D. Diego Martin Rorro: para i«na canongía de la iglesia catedral de Calahorra, que resultará vacante por promoción de D. Fermín Francisco San Juan al arcedianato de Berberiego, dignidad de la&lt;mÍ9ma catedral, á D. Matías Antonio Gómez: para el bene-</t>
  </si>
  <si>
    <t>…fallecimiento de D. José Agustín Castaño, á D. Ramón de Arrióla. Animismo se ha servido S. M. nombrar para la canongía que debe va car en la iglesia de Calahorra por promoción de D. Fermín Francisco San Juan á la dignidad de arcediano de Bsrberiego, en la misma catedral, á D. Matías Antonio Gómez, examinador sinodal, y prebendado de la cate dral de Popayan, y actual confesor de número de la Real familia de S. M.s á D. Ignacio Xipell para una canongía de la iglesi…</t>
  </si>
  <si>
    <t>Juan, Juah Nepomuceno S.</t>
  </si>
  <si>
    <t>Juah Nepomuceno S. Juan</t>
  </si>
  <si>
    <t>…on asimismo la honra de besar la mano á S. M. y cumpli mentarle á nombre del Rev. obispo y cabildo de la iglesia catedral de Paten cia, D. Gregorio Ceruelo, dignidad de Chantre, y D. Juah Nepomuceno S. Juan, canónigo de aquella santa iglesia, pronunciando el primero el dis curso siguiente: ,,Señor: el obispo y cabildo catedral de Patencia, siempre fieles y cons tantes en el amor á su legítimo Soberano, no han cesado de rogar á Dios ea todo el tiempo de la ausenc…</t>
  </si>
  <si>
    <t>JuanEalarer</t>
  </si>
  <si>
    <t>…á 8 rs. iluminado r a 4 én negro.. Se hallará en la librería de Qutroga, calle cíe las Carretas..».En la misma se hallan los de^D. ¿JuanMartin, el Empecinado, D. J ui ia$ Sánchez, D. JuanEalarer* el Mcdicopy. D. Erancisco¡ Abad y Moreno, Chaleco. í; .5 .a- ■.• ’ • • .. •: b k\. ri :v i 'f y .• T &gt;c i i madriq: en la imprenta nacional.</t>
  </si>
  <si>
    <t>Juano, Manuel</t>
  </si>
  <si>
    <t>Manuel Juano</t>
  </si>
  <si>
    <t>…de Urbina, mariscal de campo y segundo teniente de la compañía de Alabarderos; Don Rafael de Roxas, capitán de Reales Guardias Españolas; D. Alonso de Ro xas, capitán de fragata; D. Manuel Juano, teniente coronel del regimiente* de húsares de Aragón; D. Francisco de los Cobos, capitán del regimiento de la Princesa, y D. Pedro de Rosales, ayudante mayor del regimiento pri mero de Saboya, todos naturales de la ciudad de Antequera, y la mayor parte de e…</t>
  </si>
  <si>
    <t>Julián</t>
  </si>
  <si>
    <t>…enemigos, en numero de 5® hombres de toda arma, intentaron sor prender en el dia 16 del corriente la división mallorquína que ocupaba la villa de* Esparraguera, á las órdenes del coronel D. Julián,Romero. Adver tido este gefe de la intención y movimiento dél enemigo, que lo verificaba en diferentes colunas por Martorell y Ulstrelf, se retiró en el mejor xSrden hasta el Bruch. A las 11 de la mañana entraron aquellos en Esparraguera, y</t>
  </si>
  <si>
    <t>…que salió disfrazado de esta corte á principios de Febrero de 1809 para incorporarse en uno de los exércitos españoles que á la sizon hacian la guerra á los enemigos. El referido Don Julián fue alférez del regimiento de infantería de Nobles de Asturias en la anterior guerra con Francia. Ha dexado en esta corte una niña de edad de nueve años, que por el fallecimiento de su madre esrá recogida en casa de una parienta, y no ha sabido de su padre de…</t>
  </si>
  <si>
    <t>Junco, Manuel María</t>
  </si>
  <si>
    <t>Manuel María Junco</t>
  </si>
  <si>
    <t>…y D. Luis Melendez Bruna. El Rey nuestro Señor se ha servido nombrar gobernador de la sala de alcaldes de Casa y Corte á 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t>
  </si>
  <si>
    <t>…miento en la parte que le toca. Dios guarde á V* muchos años. Palacio &amp; de Julio de 1 &amp;i 4* El Rey nuestro Señor en consideración á ía notoria integridad y dila tados servicios de D. Manuel María Junco, decano de la sala de Alcaldes' de Casa y Corte, se ha servido conferirle la plaza del Consejo de Indias que resulta vacante por dimisión de ella de D. Ramón de Posada* Hallándose el santo Padre en Roma, y en camino para aqoelTa corte e! ministro plenipotenci…</t>
  </si>
  <si>
    <t>Junco, Manuel María de</t>
  </si>
  <si>
    <t>Manuel María de Junco</t>
  </si>
  <si>
    <t>…sejo de S. M.; del limo. Sr. Don Bernardo de Riega , ex-catedrático y del suprimido consejo y cámara de Castilla; del Sr. D. Tomas Moyano, ex-catedrático y del propio consejo; del Sr. D. Manuel María de Junco, ex-catedrático. y alcalde que fué de ca sa y corte; del Sr. D. Vicente Cabero, ex-catedrático y oidor de esta real audiencia; del Sr. D. Gabriel Ugarte, ex-rector, catedrático de cánones y penitenciario de aquella santa iglesia; del Sr. D. Ramón de Roda, ex-…</t>
  </si>
  <si>
    <t>Junguito, José Mena y</t>
  </si>
  <si>
    <t>José Mena y Junguito</t>
  </si>
  <si>
    <t>594</t>
  </si>
  <si>
    <t>…dan los príncipes» y los poderosos administran la justicia.” V El mismo dia besaron la mano y cumplimentaron á S. M., ú nombre del cabildo de la santa iglesia catedral de Zamora , D. José Mena y Junguito, dignidad de tesorero y canónigo; D. Jacinto Rodríguez Rico, igualmente canónigo, arengando á S. M. ei primero en los términos siguientes: „ Señor : el cabildo de vuestra iglesia catedral de Zamora tiene el honor de cumplimentar á V.M. en el milagroso y feliz…</t>
  </si>
  <si>
    <t>Junot</t>
  </si>
  <si>
    <t>…ención de todos los valientes y leales españoles, fue la defensa que esta sos tuvo en aquel punto poco militar por espacio de 32 dias contra el numero so y formidable exército del mariscal Junot, que la sitiaba, causándole la pérdida de mas de 5® hombres de sus mejores tropas, sin que admitiese caÍmulación hasta ver consumidas todas las municiones,después de abierta ya a brecha y asaltada la plaza. Por cuyos servicios y otros bien notorios la generos…</t>
  </si>
  <si>
    <t>Junquera, Pedro José Martines de</t>
  </si>
  <si>
    <t>Pedro José Martines de Junquera</t>
  </si>
  <si>
    <t>…s. Madrid 17 de Noviembre de 1814. En el Réa! tribunal del consulado de la ciudad de Cádiz y escribanía de D. Elias IíQuierdb y^aran penden los autos de concurso 'de acreedores de D. Pedro José Martines de Junquera, en los qúe por disposición de dicho tribunal se han man dado citar y emplazar á todos los que secresii con derecho á la indicada dependen cia,: para que. en el.término preciso y perentorio de un año ocurran con lo's docu mentos competentes *i.formalizar sus…</t>
  </si>
  <si>
    <t>Justicia, Secretario del Despacho de Gracia y</t>
  </si>
  <si>
    <t>Secretario del Despacho de Gracia y Justicia</t>
  </si>
  <si>
    <t>…úe á las tropas de ob servación del Pirineo. Lo digo á V. de Real orden para su inteligencia y cumplimiento. Dios guarde á V. muchos años. Palacio 14 de Setiembre de 1814. 2. a Eí Señor Secretario del Despacho de Gracia y Justicia con fecha de 11 del corriente irie dice lo que sigue: . El Rey se ha servido declarar por varias resoluciones particulares en los recursos que se le han dirigido, que los reos contra quien ha sido nece sario proceder criminalmente por su infidencia ó ideas su…</t>
  </si>
  <si>
    <t>Kapp</t>
  </si>
  <si>
    <t>…unde se retirará, y será colocado en la boca del Vístula, entre Neufahrwaser y el Mowenkrugschanze. 4.0 La guarnición de Dantzick será conducida á Francia prisionera de guerra. El conde Kapp promete formalmente que ninguno de los oficiales ó soldados volverán á servir hasta que sean cangeados con un número igual de tropas de las potencias que están en guerra con la Francia &amp;c. 5.0 Las tropas polacas tienen libertad para seguir al exército francés…</t>
  </si>
  <si>
    <t>Kapsiewitz</t>
  </si>
  <si>
    <t>…está en Montmirail, teniendo sus puestos avanzados dos leguas mas allá. El general York es de suponer que estará ya en Chateau-Tierry : el general Kieist se halla en Chalons; y el general Kapsiewitz, con las divisiones del cuerpo del conde de Langeron, viene marchando á teda priesa. Hemos oido que el mariscal Macdonald va retirándose con unas 100 piezas de artillería, tiradas en la mayor parte por caballos de labranza, y hay esperanzas de alcanzarle. El…</t>
  </si>
  <si>
    <t>…de Meaux: lleva consigo, ademas de su propio cuerpo , que es el undécimo, los de los generales SeSe ha recibido noticia de la llegada del general Kleist a St. Dizier, y de que el general Kapsiewitz , perteneciente al cuerpo del general conde Lanaerdn , se espera también allí en breve con la división principal de aquel cuerpo, de suerte que el feld-mariscal Blucher esta ahora en comunicación directa con todos los Guerpos de su exército. r . , . „ Parte d…</t>
  </si>
  <si>
    <t>…a habido tiempo para tener noticia de ellos. i,El general York está en Chateau-Tierry; el general barón Saken en Ferté-Sous-Jouarre: el general Kieist , que se dirigió ayer con el general Kapsiewitz á Ferté-Champenoise, ha tomado posición en este pueblo. El feld-mariscal Blucher está con ellos esperando mas noticias acerca del mo vimiento del enemigo para determinar el suyo. Las últimas noticias son que ha adelantado dos esquadrones de caballería de esta…</t>
  </si>
  <si>
    <t>Karadscha</t>
  </si>
  <si>
    <t>858</t>
  </si>
  <si>
    <t>…y desterrado á Kutahya , capital de la Natolia; le ha sucedido en la dignidad el eifendi Beylikdschi Seida. El 5 del corriente se despachó desde Bucharest un correo para llevar al príncipe Karadscha un diploma muy honorífico del Gran Señor, con un ani llo de diamantes, en testimonio auténtico de lo agradables que han sido sus servicios. Eri los pueblos del Bosforo siguen todavía con la mayor actividad los estragos de la peste. Las noticias de Esmirna, qu…</t>
  </si>
  <si>
    <t>Kavia, Francisco de Copóns y</t>
  </si>
  <si>
    <t>Francisco de Copóns y Kavia</t>
  </si>
  <si>
    <t>…o del Ctot, contri las'qua&lt;le$ los enemigos hicieron algún fuego desde la ciúdadelá. Dioi j^üafdé áf V. E. tnúchoS-años. Sarríá 16 de Abril de 1814. == Exorno. Sr. r^Ptd'ra Excmo. Sr. D. Francisco de Copóns y Kavia, = Es copia. = Cofons ” ^ 1 ; * Por la audiencia dé"©. Manuel Fernandez Gamboav juez letrado de primera instancia de esta villa, y cscribtmía/del número, de D. Tornas de Sandia y Prado,</t>
  </si>
  <si>
    <t>Kcan, P.</t>
  </si>
  <si>
    <t>P. Kcan</t>
  </si>
  <si>
    <t>…adas letras que el haber dos de i&lt;5oS&gt; y 150© reales de vellón , libradas por el diputado comisario general ingles el Sr. Boys, á cargo del Sr. D. Diego Duff, de Cádiz, á favor de D. P. Kcan; y mientras pueden inquirir los pormenores de ellas han creidoconveniente anunciarlo al publico, como lo hacen, para evitar qualquiera sorpresa que pudiera causar la negociación ilegítima de estas letras, con motivo de la desgracia sucedida, ó porque de'resul…</t>
  </si>
  <si>
    <t>Keane</t>
  </si>
  <si>
    <t>…la derecha enemiga. Este ataque, conducido por el regimiento 52.°, al mando del teniente coronel Coiborn, y sostenido por su derecha por las brigadas del general Birbraune , y del coronel Keane de la tercera división , y también por los ata ques simultáneos que daba por nuestra izquierda ei general Ausofi con su brigada de la quarta división , y por la derecha el general Picton con la sexta división , al mando del general Clinton , y coa los restos…</t>
  </si>
  <si>
    <t>KeatingRoche, Felipe</t>
  </si>
  <si>
    <t>Felipe KeatingRoche</t>
  </si>
  <si>
    <t>…. Cárlos O’Doneli, D. Bernardo de Acuña , D. José Marta de Carvajal, el marques de Zayas, D. José María de Alós , D. Felipe de Paz, Príncipe de Anglona, D. Juan Senen de Coimeras, D. Felipe KeatingRoche, y D. Francisco Cabrera. A mariscales de campo á los brigadieres D. Miguel de los Ríos , D. Car los de Gunchi, D. Bartolomé Georget, el barón de la Barre , D. José Fal ques, D. Manuel María Prosterla, D. José Bucareli, D. Nazario de Fguía, I). Raymundo Ferrer…</t>
  </si>
  <si>
    <t>Keith</t>
  </si>
  <si>
    <t>…una legión alemana, la qual reci biría sueldo del Austria, y que la mandaría el conde Bentheim. Idem 8. Se ha reunido en St. Helens una esquadra de observación, baxo el man do de lord Keith^con el objeto, de interceptar qualquier buque de la esqua dra enemiga en el Ef calda, que trate de dar la vela, y pueda escapar (lela</t>
  </si>
  <si>
    <t>…Bon aparre en Constantinr pla parece que ha aconsejado ala Puerta que tome posesión de la Dalmacia, en virtud de que por las cir cunstancias tienen que evacuarla los franceses. El almirante Keith ha remitido al ministerio una carta del capitán Phiílimore,de la fragata de S. M. iaEurotas., que da cuenta del apresamiento de la fragata francesa la Clorinda el 26 de Febrero, después de un combate obstinado y sangriento. Una y otra fragata quedaron desarbo…</t>
  </si>
  <si>
    <t>Kellerman</t>
  </si>
  <si>
    <t>…los negocios relativos á la Noruega, las relaciones del Holsteia con el imperio de Alemania, la indemnización por la cesión de la No ruega 8cc. SUIZA. Basile a 3 de Setiembre. B1 mariscal Kellerman llegó el 30 á Huninga, donde se espera también á SS. A A. RR. el duque de Berri y el conde de Artois. Lausana 6 de Setiembre. Lord Castlereagh llegó aqui el dia 3 del corriente, acompañado de se esposa, dos secretarios y una comitiva de tres coches. Poco desp…</t>
  </si>
  <si>
    <t>Kempt</t>
  </si>
  <si>
    <t>…Prevost á Ingla terra sino otros muchos oficiales antiguos. Todas las fuerzas disponibles de ben marchar á la América. Se envía caballería y mucha artillería. Se dice que ei mayor general Kempt,con el título de teniente general,mandará en el Canadá , y el mayor general Pokenham dirigirá el exército de las costas» * Es muy probable que irá muy pronto ono de nuestros generales de mas cré dito á tomar el mando en gefe. El mayor general Gibbs,del regimi…</t>
  </si>
  <si>
    <t>Kempt-</t>
  </si>
  <si>
    <t>…se consideraba como incon quistable,; porque nuestras fuerzas no eran suficientes para atacarlo por mar y‘por tierra con esperanzas de buen éxito. y Se espera en Londres al mayor general Kempt-, que trae al gobierno una relación exacta de nuestras operaciones en el Canadá. Las cartas de Gante dicen que los comisarios americanos no han recibi do orden de romper las negociaciones, y que hay mas actividad que nunca en las comunicaciones diarias entre e…</t>
  </si>
  <si>
    <t>Kenzié</t>
  </si>
  <si>
    <t>…an los prusianos. Mientras qiie'estos se ha llaban bastante empeñados en un combate á la Izquierda, la brigada del co ronel M’Leod mandada por él inferno, y dirigida por el-mayor ^general Kenzié, atacó con mucha bizarría á la aldea de Merxem.__ La rapidez con que marchó el destacamento del tercer batalion, &gt;fráínd¿ido por el capitán Fiiilartoni, y del batallón segundó del regimiento nusn. yB.ádas órdenes del te niente coronel Lendsay-, sostenidos por…</t>
  </si>
  <si>
    <t>Kieist</t>
  </si>
  <si>
    <t>…l feld-mariscal Bíucher estaba en Sandren* El 8 se trasladó de Vertus para Etoges, hallándose entretanto el general Sacken en Montmirail, y el general York en Chateau-Tierry, y el general Kieist en Chalons, marchando, todos contra el exército dé Macdonald, que se retiraba con 100 piezas de artillería. El 8 por la noche el quartel general del feld-mariscal Blucher se trasla dó á Vertus, por haber tenido noticia de que un regimiento ruso había sido aco…</t>
  </si>
  <si>
    <t>…general á Etoges. El general barón Saken está en Montmirail, teniendo sus puestos avanzados dos leguas mas allá. El general York es de suponer que estará ya en Chateau-Tierry : el general Kieist se halla en Chalons; y el general Kapsiewitz, con las divisiones del cuerpo del conde de Langeron, viene marchando á teda priesa. Hemos oido que el mariscal Macdonald va retirándose con unas 100 piezas de artillería, tiradas en la mayor parte por caballos de…</t>
  </si>
  <si>
    <t>292 ,, La vanguardia del cuerpo del general Kieist, a! mando del general Zieten, fué destacada para comenzar el ataque. El enemigo ocupaba el pue blo de Etoges y una altura arbolada de su izquierda, presentando un gran cuerpo de caballería y varias columnas de infantería. Su fuerza en todo se regulaba en unos…</t>
  </si>
  <si>
    <t>…se reúnan con sus cuer pos. Hasta ahora no ha habido tiempo para tener noticia de ellos. i,El general York está en Chateau-Tierry; el general barón Saken en Ferté-Sous-Jouarre: el general Kieist , que se dirigió ayer con el general Kapsiewitz á Ferté-Champenoise, ha tomado posición en este pueblo. El feld-mariscal Blucher está con ellos esperando mas noticias acerca del mo vimiento del enemigo para determinar el suyo. Las últimas noticias son que ha…</t>
  </si>
  <si>
    <t>…si fuere conveniente. „Elgeneral Winzingerode estaba enRheims, según las últimas noticias, y ha enviado un cuerpo á Chateau-Thierry, pueblo ocupado ya por las tro pas aliadas. El general Kieist está en Legg del Our. „Tengo la honra &amp;c. Ferté-sous-Jouarre 28 de Febrero. = Lowe” ESPAÑA. Tarragona de Marzo. ts ¿ En el diario de Barcelona se ha publicado la orden siguiente; En nombre del emperador y rey. A tener de las órdenes que nos ha dado ÉxcmQ» Sr.…</t>
  </si>
  <si>
    <t>Kleist</t>
  </si>
  <si>
    <t>…sesión de Dresde con todos los medios de defensa que tenia antes de firmarse la capitulación. La oferta de capitulación hecha por la ciudad de Erfurt fue desechada por el teniente general Kleist; pero el armisticio concedido á la guarnición el dia 7 , fue prolongado hasta el 20. ESPAÑA. I Panzacola 7 de setiembre. El dia 3 del corriente llegaron dos negros con la noticia de ser cierta la destrucción del Tensack (esta población dista de esta plaza sob…</t>
  </si>
  <si>
    <t>…onerse en campaña con 80© hombres. Vitoria 2_9 de Enero. Los aliados están en Langres, á 60 leguas francesas de París. Al mismo tiempo que los del Norte avanzan hasta Brusélas, el general Kleist baxa por Th onville á darse la mano por su izquierda con el general Biucher, que marcha por Langres. Ei general Schwartzemberg comunica con este por su derecha desde las inmediaciones de Dijon, y extiende su izquierda hasta Macón. Estas noticias que vienen en…</t>
  </si>
  <si>
    <t>…e á Toul formando la reserva. El cuerpo del general Yorck bloquea las fortalezas de Saar-louis , Luxénburgo, Thionviile y Metz: su caballería está delante de Verdun. El cuerpo del general Kleist está de marcha contra Metz. En vano pro cura el enemigo levantar al pueblo, é inspirarle desconfianza hacia las, po tencia^ aliadas. El pueblo francés sabe muy bien que son sus amigos los que se le pintan como enemigos, pues solo tratan de la felicidad de Fra…</t>
  </si>
  <si>
    <t>…. „El mariscal Macdonald tomóla dirección de Meaux: lleva consigo, ademas de su propio cuerpo , que es el undécimo, los de los generales SeSe ha recibido noticia de la llegada del general Kleist a St. Dizier, y de que el general Kapsiewitz , perteneciente al cuerpo del general conde Lanaerdn , se espera también allí en breve con la división principal de aquel cuerpo, de suerte que el feld-mariscal Blucher esta ahora en comunicación directa con todos…</t>
  </si>
  <si>
    <t>…dej.^o.rmentierésy en consecuencia,el feld-mariscal Blucher» que h.a¿ia^vivaq^^4P la nqcbe anterior en Chan&gt;paubert, resolvió perseguirle; sedo tenia, á sus. ordenes el cuerpo del general Kleist y la división de! gene ral. Kapsiewitz, perteneciente al cuerpo del general conde Langerom _ ^í^efteiuigo retinó basta llegar cerca del, pueblo, de Janviljers , donr&gt; dq. sf observó’ que iba juntándole un cuerpo, considerable de caballería,.: v, adelantado mu…</t>
  </si>
  <si>
    <t>Kleist'</t>
  </si>
  <si>
    <t>…e Guillermo, hermano de nuestro Rey , irá á Dresde como virey de la Saxonia; que el anterior canciller prusiano Mr. de Beyme tomará la dirección de los negocios civiles , y que el general Kleist' será el gobernador militar de la Saxonia. Se contradice la noticia de las dis posiciones tomadas por los saxones en favor de su Rey antiguo. PORTUGAL. ■ ¡ «... Lisboa, 16 de Setiembre. Hoy por la sexta vez se ha celebrado en esta capital el aniversario de la…</t>
  </si>
  <si>
    <t>Klenau</t>
  </si>
  <si>
    <t>…re con sus tropas para aquel desti no. En este-intermedio el mariscal St. Cyr había dexaao á Dresde, y pasa do á la orilla izquierda del Elba con gran parte de sus tropas; pero el conde Klenau , juntamente con el teniente general conde Tolstoyj, le obligaron á retirarse á ha ciudad ; donde quedó enteramente bloqueado^ El mariscal St. L&gt;yr conoció entonces que su situación era en extremo crítica, y el 6 de no viembre acometió al cuerpo del féld mari…</t>
  </si>
  <si>
    <t>…s quedarían pri sioneras de guerra, con la condición de volver á Francia, y no tomar las armas contra los aliados hasta que fuesen cangeadas con igual número de es tos. El general conde Klenau respondió que no tenia facultad para conce der tan ventajosas condiciones, y que recelaba le hiciesen responsable si otor gaba su aprobación. El mariscal St. Cyr repitió su propuesta de capitula ción , y el general Klenau accedió á ella. El deseo de no perjud…</t>
  </si>
  <si>
    <t>…rehusó volver á Dretde, y fue conducido á Bo hemia con su exército prisionero de guerra, tenia 35© hombres. Si estas fuerzas hubiesen vuelto á Francia , según lo estipulado con el conde Klenau, hubieran vuelto á ponerse inmediatamente en servicio activo; y estas unidas á las guarniciones de Magdeburgo, Stettin , Dantzick , Tcrgau y Wittemberg (si se les hubiese permitido volver á Francia-, según Bonaparte deseaba en su ultima propuesta de negociaci…</t>
  </si>
  <si>
    <t>…Bamberg 14 de Diciembre. Ayer llegó aquí con dirección al exército grande la brigada compuesta de los regimientos de infantería de Zach y Colloredo, y forman parte del cuerpo del general Klenau.. La segunda brigada, que se compone de dos re gimientos de infantería y otros dos de caballería, llegará mañana. El 12 mas de 24® hombres de este cuerpo han pasado por Hoíf. Carlsruhe 14 de Diciembre* Nuestro príncipe ha publicado un decreto relativo al land…</t>
  </si>
  <si>
    <t>Korf</t>
  </si>
  <si>
    <t>…Meaux. Los cuerpos de los generales York y Kieist, después de haber hecho alto aquella noche.en Reoais y sus inme diaciones, recibieron orden de dirigirse á Ferté-sous-Jouarre. El general Korf con una reserva de 3© caballos formaba la retaguardia en Ferté-Gau cher. La llamada falsa por el lado de Meaux próduxo todo el efecto que se deseaba. Los dos mariscales franceses, que se habían reunido en Ferté-sousJouarre, abandonaron precipitadamente el pue…</t>
  </si>
  <si>
    <t>Kosciusko</t>
  </si>
  <si>
    <t>850</t>
  </si>
  <si>
    <t>…uque de Francfort continuará siendo príncipe primado de Alemania; tendrá su residencia en Ratisbona, y rentas propor cionadas á su alta dignidad. Francfort 2 &lt;T de Junio. • 1 ' El general Kosciusko ha vuélto á Polonia con las tropas polacas; y este paso por parte de un hombre que lo ha sacrificado todo por su patria, debe hacer concebir á la Pelonía esperanzas de recobrar, en parte quando menos, su existencia política. Todo el exército ruso ha de acanto…</t>
  </si>
  <si>
    <t>Kosiusko</t>
  </si>
  <si>
    <t>…n que ha señalado al príncipe de Wagran una pensión de 2.5© francos. GRAN BRETAÑA. Lóndrn 11 de Julio. Aseguran mucho que se halla ahora en esta capital un pariente inmedia to del general Kosiusko, y que S. M. I. ei emperador de Rusia tuvo du rante su residencia aqui una larga conferencia con él , en la qual S. M. le manifestó sus desees de restablecer la integridad del reyno de Polonia. Ase gúrase asimismo q,ue en esta empresa le ayuda el general Kosi…</t>
  </si>
  <si>
    <t>Kralinski</t>
  </si>
  <si>
    <t>…vasallada y tribu taria de la sublime Puerta Otomana. POLONIA. Posen 26 de Agosto. Ayer entraron aqui de vuelta de Francia los restos del exércíto polaco á las órdenes del general conde Kralinski. Todo el pueblo recibió á las tropas con las mas vivas aclamaciones: las damas arrojaban flores desde iós balcones al pasar estos valientes guerreros, que á pesar de tan largo viage se distin guían aun por su bello porte y ayre marcial. Las casas estaban ador…</t>
  </si>
  <si>
    <t>Krasinsky</t>
  </si>
  <si>
    <t>…á S. M. POLONIA. Varsavia t2 de Setiembre. El dia 8 de este mes el feld mariscal ruso conde Barclay de ToIIy con su estado mayor pasó revista á todos los regimientos, y saludó al general Krasinsky, Comandante de la guardia polaca, con las siguientes voces: ,t viva por siempre el bizarro exército polaco;” á lo qual gritaron los polacos en respuesta: ,, viva el emperador Alexandro, que nos restituye la Polonia.'* AUSTRIA. Viena j8 de Setiembre. Aunque so…</t>
  </si>
  <si>
    <t>Krucowiscki</t>
  </si>
  <si>
    <t>…perma necerá ocho dias. Se ignoran todavía los motivos de su viage. Ayer en los teatros de Drury- Lañe y de Covent-Carden se dieron mu chos aplausos al general Platow. El general conde Krucowiscki se halla en esta ciudad de orden del em perador Alexandro para conducir al ducado de Varsovia á todos los pola cos, que en el tiempo de la guerra han sido hechos prisioneros por las tro pas inglesas. Idem i&amp;. Se están guarneciendo de diamantes varios medallon…</t>
  </si>
  <si>
    <t>Krukowicky</t>
  </si>
  <si>
    <t>…el príncipe Gedroicz, ios quaíes están encargados de organizar nuevamente el exército polaco. Se compondrá este, según dicen, de 50© hombres, 30© de infantería y 20© caballos. El general Krukowicky ha sido enviado á Londres, el general Paszkowsky á Hungría, y otro general á Berlín para acelerar el regreso de los prisione ros polacos que se hallan en aquellos países.</t>
  </si>
  <si>
    <t>Krusse</t>
  </si>
  <si>
    <t>…lacencia en decir que no me privo este accidente ni aun por un ¡ momento de su útil asistencia. Después que se acabo la acción los regimientos de Nassau y Francfort, del mando del coronel Krusse, se pasaron á los puestos de la brigada de la quarta división, del mando del mariscal de campo Ross, que estaba forma da para sostener el centro. r Al anochecer el enemigo; estaba en gran fuerza enfrente de nuestros . puestos sobre el terreno ¡que hábiari ocu…</t>
  </si>
  <si>
    <t>Kudiger</t>
  </si>
  <si>
    <t>…r se le encargó que el 7 se apoderase de Wauzenau. El enemigo abandonó la ciudad luego que vio que se aproximaba; pero se situó con 1© infantes y 500 caballos cerca de Henheim. El general Kudiger acometió á esta fuerza; mató 70 hombres, cogió dos oficiales y 60 soldados, persiguiendo el resto hasta las puertas de Strasburgo. Murió también el co mandante de las tropas enemigas. Bonaparte parece que lia procurado por todos los medios posibles haeer leva…</t>
  </si>
  <si>
    <t>Kurakin</t>
  </si>
  <si>
    <t>…le deben sus pueblos; y dehia partir una diputación de tres miembros del mismo senado el día 17 del mismo mes para presentar el decreto al empera dor. La diputación se compone del príncipe Kurakin, del general Tormasow y del general Solekow. . . El número de los individuos de la cámara de los pares en Francia as ciende á 154; entran en este número todos ios mariscales, excepto Davoust. Estos nombramientos son vitalicios. ESPAÑA. Oviedo 2 de Junio. La r…</t>
  </si>
  <si>
    <t>Labandero, Pedro Alcántara Díaz</t>
  </si>
  <si>
    <t>Pedro Alcántara Díaz Labandero</t>
  </si>
  <si>
    <t>…respetuosa arenga. El dia 27 del mismo tuvo la honra de cumplimentar á S. M. por su fe liz restitución al trono la villa de Aguilar de Campeó por medio del marques de Sobremonte y D. Pedro Alcántara Díaz Labandero, juntamente con su cabildo eclesiástico, representado por el presbítero D. Francisco García £ainz; el primero de los quales dixo él siguiente discur-o-: „Señor: la villa de Aguilar de Campoó, cabeza de partido en las moUr tañas de Burgos, provincia de Palenci…</t>
  </si>
  <si>
    <t>Labastida, Pablo Rniz de</t>
  </si>
  <si>
    <t>Pablo Rniz de Labastida</t>
  </si>
  <si>
    <t>…e los Sres. Infantes, á nombre de la villa de Labastida y del cabildo eclesiástico de ella, los Sres. D. Bonifacio Tos^ntos, lectoral de ia catedral de Sto. Domingo de la Calzada, D. Pablo Rniz de Labastida, ministro del tribunal de la Contaduría mayor de Cuentas, y Don Santiago de Suso y Alda, ex-corregidor de la ciudad de Logroño; el pri mero de los quales habló en los términos siguientes:/ „Señor: los comisionados por el cabi do eclesiástico y por la villa de…</t>
  </si>
  <si>
    <t>Labayen, Josef Ignacio Cortazar y</t>
  </si>
  <si>
    <t>Josef Ignacio Cortazar y Labayen</t>
  </si>
  <si>
    <t>…vido conceder la gran cruz de la Real y distinguida orden Española de Carlos 111 al R. Nuncio de S. S. D. Pedro de Gravina, arzobispo de Nicea. El Rey se ha servido nombrar al Dr. D. Josef Ignacio Cortazar y Labayen, cura párroco de la iglesia matriz de la ciudad de Guayaquil, para el obispado de Cuenca en el Perú, vacante por fallecimiento del limo. Sr. D. Andrés Quintian y Ponte.</t>
  </si>
  <si>
    <t>Labrador</t>
  </si>
  <si>
    <t>…Weymar, el duque de Anhalt-Coethen-P.ess, el príncipe de Meckíemburgo; Mr. de Edíing, gran mariscal del rey de Saxonia; el consejero íntimo de Prusia Mr. de Zerboni di Sposeli; el caballero Labrador, embaxador de España; el duque de Campo-chiaro, embaxador y ministro de Es tado de Ñápeles; el canciller de Prusia príncipe de Hardcmberg; el tenien te general prusiano Mr. de Knesebeck; el conde de Goertz, consejero ín timo de Saxonia; el príncipe heredero d…</t>
  </si>
  <si>
    <t>Labrador, Pedro</t>
  </si>
  <si>
    <t>Pedro Labrador</t>
  </si>
  <si>
    <t>…tural y de la dfreccion de trabajos hidrográficos; cuyas listas deberán ser remitidas á esta primera secretaría de Estado de mi cargo , para que decde ella sean dirigidas ai Sermr D. Pedro Labrador, y á fin que al tenor de ellas pueda hacer ia debida re clamación, según le está enearg,;.do.” Lo traslado á V. S. para su inteligencia y efectos correspondientes, v á fin de que me remita á la mayor brevedad las noticias que se citan. Dios guarde á V. S. muc…</t>
  </si>
  <si>
    <t>…gos de el as prorumpieron con toda la emoción de la mas pura sensibilidad en aclamaciones de viví el Emperador Francisco, viva el Emperador Al ex andró 3 vivan los Emperadorrs. El caballero D. Pedro Labrador, ministro plenipotenciario de S. M. Ca tólica el Rey de España, ha tenido estos dias la honra de presentar en nom bre de su Soberano el collar é insignia del Toyson de oro á S. M. el empe rador de Ruda Alexandro, el qual recibió con singulares muestras de agr…</t>
  </si>
  <si>
    <t>Labrador, Pedro Gómez</t>
  </si>
  <si>
    <t>Pedro Gómez Labrador</t>
  </si>
  <si>
    <t>…. Estado. Sábado.... Gobernación de la Península. Idem de Indias. Por otro decreto de igual fecha se ha servido S. M.’ conceder plaza efec tiva en el consejo de Estado á los Sres. D. Pedro Gómez Labrador y Don Miguel de Lardizabal y Uribe, y nombrar secretario con voto del mismo consejo de Estado al Sr. D. Juan Perez VHiamih El Rey nuestro Señor se La servido expedir el real decretó siguiente: „ Como ni la Regencia ni las Cortes han podido ni debido conceder em pleas, gracias ni ascens…</t>
  </si>
  <si>
    <t>…a; Duque de Borgoña, de Brabante y Milán; Conde de Abspurg, de Flandes, Tirol y Barcelona; Señor de Vizcaya y de Molina &amp;c. Por quanto en virtud de plenos poderes que conferimos á D. Pedro Gómez Labrador, Caballero de la Real y distinguida Orden Española de Cárlos m, nuestro Consejero de Estado, y Embaxádor extraordinario para el Congreso para tratar de ajuste de paz con S. M. Cristianísima; y de haberlos este dado igualmente al Se ñor Cárlos Mauricio Talleyr…</t>
  </si>
  <si>
    <t>…redichas Magestades han nom brado sus Plenipotenciarios para discutir, convenir y-firmar un tratado de paz y de amistad ; á saber :S. M. el Rey de España y de las Indias al Se ñor D. Pedro Gómez Labrador r Caballero de la Reai Orden Española de Carlos ni, su Consejero de Estado &amp;c.; y S. M.- él Rey de Francia y de Navarra al Sr. Carlos Mauricio Talleyrand Perigord, Príncipe de Benevetrto, Gran Aguila de la Legión de Honor, Caballero de la insigne Órden del To…</t>
  </si>
  <si>
    <t>Laci</t>
  </si>
  <si>
    <t>…igo los bienes que creyeron ya seguros de la rapacidad francesa. Su esperanza, Señor, quedó frustrada, pues habiéndose retirado por causas que no es fácil designar la división del general Laci, invadieron los enemigos esta villa en el dia 7 de Julio del expresado año de 1810, y permanecieron en ella , saqueándola horrorosamente por espacio de seis dias, siendo incalculable la pérdida de estos fieles vasallos, pues todo lo que no robaron, lo destruy…</t>
  </si>
  <si>
    <t>Lacy</t>
  </si>
  <si>
    <t>…ue ron testigos de tan interesante espectáculo. A la cabecera de la mesa estaba colocado baxo un dosel el retrato de S. M. Viva Fernando vil: vivan los soldados españoles: viva el general Lacy: viva el gefe del estado ma yor : viva el exército de reserva de Galicia...... eran las únicas voces que se oían durante la comida,expresadas por aquellos dignos servidores del Rey, que cansados (por sus achaques y avanzada edad) de llevar las armas en su def…</t>
  </si>
  <si>
    <t>Lacy, Juan Creagh de</t>
  </si>
  <si>
    <t>Juan Creagh de Lacy</t>
  </si>
  <si>
    <t>…eblo que lanzó el primero el grito de venganza contra el usurpador del trono y de nuestros derechos. Zaragoza 9 de AbriL El comandante general del baxo Aragón el mariscal de campo D. Juan Creagh de Lacy ha publicado la orden siguiente: ,,A1 encargarme de la comandancia general militar del baxo Aragón, pa ta cuyo mando he tenido el honor de ser elegido, veo con inexplicable sa tisfacción cumplidos mis ardientes deseos; pues he recibido la gustosa y an helada…</t>
  </si>
  <si>
    <t>…gentes de todas clases, que concurrieron igualmente á dar al Todo poderoso gracias por un acontecimiento tan favorable. Zaragoza j de Junio El comandante general mariscal de campo D. Juan Creagh de Lacy se apresura á hacer saber á un pueblo que tanta parte ha tenido en esta glo riosa lucha la noticia siguiente: Anoche pasó en posta por esta capital para la corte el coronel D. José Llauder, el que dexó una relación circunstanciada de la ocupación de la pla za…</t>
  </si>
  <si>
    <t>Lade, Antonio</t>
  </si>
  <si>
    <t>Antonio Lade</t>
  </si>
  <si>
    <t>…misma iglesia , vacante por muerte de D. Diego Landivar, á D. Juan Bautista de Avendaño y Eloregui: para una canongh de la iglesia catedral de Cádiz, vacante por fallecimiento de D. Antonio Lade ro, á D. Manuel de Cos, medio racionero de la propia iglesia: para otra canongía de la iglesia colegial de Taiavera de la Reyna, dicce is de Toledo, vacante por muerte de D. José de Castro, á D, Sebastian Nicanor Sánchez: para una media ración de la iglesia c…</t>
  </si>
  <si>
    <t>Ladero, Antonio</t>
  </si>
  <si>
    <t>Antonio Ladero</t>
  </si>
  <si>
    <t>…ma iglesia, vacante por muerte de D. Diego Landivar, á D. Juan Bautista de A vendarlo y Elaregui; para una canongía de la iglesia catedral de Cádiz, vacant-e por falleci miento de D. Antonio Ladero, á D. Manuel de Cos, medio racionero de la propi i iglesia; para otra canongía de la iglesia colegial de Tala-era, dió cesis de Toledo, vacante por muerte de D. José de Cas ro, á D Sebastian Nicanor Sánchez; para una media ración de la iglesia catedral de Cór…</t>
  </si>
  <si>
    <t>Lagraba, Félix</t>
  </si>
  <si>
    <t>Félix Lagraba</t>
  </si>
  <si>
    <t>…tes cuerpos veteranos, que á continuación se expresan, á los sogetos que se citan. En el batallen de in fantería fixo de Goatemala coronel vivo y efectivo al comandante del mis mo D. Félix Lagraba. En el de Castilla fixo de Campeche sargento mayor al capitán graduado de teniente coronel D. Jt sé Rafael Carabeo; capitán de granaderos á D. Angel de Tozo; teniente de granaderos á D. Eduardo Ló pez ; idem de fusileros D. Laureano Muñoz, D. Luis de Castro y…</t>
  </si>
  <si>
    <t>Lagrange</t>
  </si>
  <si>
    <t>…general de la -prefectura de policía. El conde de Villemanzy, senador en comisión en la décimatexta divi sión militar. El general de división, inspector general de la gendarmería, conde Lagrange. El general comandante del sexto cuerpo de caballería, conde de Valmy. El general comandante en gefe del quinto cuerpo de exército de caba llería, conde Milhaud. El general de brigada Gruyer. x CUERPO LEGISLATIVO. Lista por orden alfabético de los miembros de…</t>
  </si>
  <si>
    <t>Lagu, Antonio de Vargas</t>
  </si>
  <si>
    <t>Antonio de Vargas Lagu</t>
  </si>
  <si>
    <t>…á pesar de estas saludables disposiciones hiciese ver la experiencu que no se había cortado de raiz el tráfico vergonzoso de negociar gracias Pontificias, sé sirvió S. M. mandar á D. Antonio de Vargas Lagu na, su Agente general en la Corte de Roma, que obtuviera de $. S. la cor* respondiente orden para que se negasen absolutamente las gracias y dispen saciones qhe se pidiesen para España, no siendo solicitadas por el Agente Regio, ió en su nombre por D. Felipe…</t>
  </si>
  <si>
    <t>Laguna, Antonio Vargas y</t>
  </si>
  <si>
    <t>Antonio Vargas y Laguna</t>
  </si>
  <si>
    <t>…allí Igualmente con las mayores demostraciones de alegría. ITALIA. Roma 21 de Setiembre. En la noche-del sábado pasado llegó á esta capital, después de cinco años de ausencia, él caballero D. Antonio Vargas y Laguna, ministro ple nipotenciario y enviado extraordinario de S. M. Católica cerca de la S nta Sede. Al dia siguiente se presentó al cardenal Pacca , pro-secretario de Es tado, y después tuvo audiencia de S. S., de quien fue recibido con suma afabilidad y afecto. E…</t>
  </si>
  <si>
    <t>Laguna, Manuel</t>
  </si>
  <si>
    <t>Manuel Laguna</t>
  </si>
  <si>
    <t>…. Juan Miguel Rodríguez; los quatro heridos són el ayudante D. Fidel Provecho, y el teniente í). Benito Trillo del referido regimiento de Voluntarios de León: los otros dos son el capitán D. Manuel Laguna,y el teniente LL José Montanos , ambos del re-; pimiento de • Monterey ; é igualmente lo fqé-g^yemepte,qn esta .ocasión d brigadier D. I&gt;icgo del Barco, com^nd^iitp^ené|al de) blpqueo. Laredo 2-fo de Febrero de 1 •; . &gt; r q r -8■</t>
  </si>
  <si>
    <t>Lagünez, Manuel Demetrio</t>
  </si>
  <si>
    <t>Manuel Demetrio Lagünez</t>
  </si>
  <si>
    <t>…; ESPAÑA. ' . ‘ Madrid *4 de Junio. El 18 del mes próximo pasado tuvo el honor de presentarse al Rey y besar su real mano y las deSS. A A. la ciudad de Siglíenza representada por D. Manuel Demetrio Lagünez, señor de Pozancos, y D. José María Gon zález Nieto, habiendo pronunciado ef primero un breve discurso, manifes tando á S. M., que preciándose seje de las primeras que habían levantado ei garito de la independencia, tenia-la satisfacción á pesar de das agitac…</t>
  </si>
  <si>
    <t>Laharpe</t>
  </si>
  <si>
    <t>…erador Alexandro, llegaron ayer*aqui, en donde se detendrán algunos dias. También pasó ayer por aquí de camino para los baños de Aix la archiduquesa María Luisa. Esperamos aquí al coronel Laharpe, que va á Viena, en donde perma necerá todo el tiempo que esté allí su ilustre discípulo el emperador Ale jandro. El gobierno del cantón de Berna hace preparativos militares, y organiza todas sus milicias de reserva. El gran consejo del cantón de Lucerna ha p…</t>
  </si>
  <si>
    <t>Laidley, Diego</t>
  </si>
  <si>
    <t>Diego Laidley</t>
  </si>
  <si>
    <t>514 Se han extraviado las siguientes letras: una de 7514 *s. v»., nú na. 4 69, libra da en 27 de Noviembre de 1813 Por diputado asistente comisario general Don Diego Laidley á favor de D. Domingo Cruc-haga por importe de carne: otra de 1480 rs.núm. 509, librada en 2 1 de Diciembre de 1813 por el mismo á favor del mencionado sugeto por importe de maiz y heno: otra de 36400, núm. 510, librada en 11 de Diciembre d© 1813 por el mismo…</t>
  </si>
  <si>
    <t>Lalleman</t>
  </si>
  <si>
    <t>…e tenia de la fortaleza de Lubsck, y de los medios de defensa que sum nistraba á un comandante experto y determinado, induro ai mariscal Steding á no despr ciar las pr pu stas. El general Lalleman fir mó ton el coronel Biornstierna, gefe detestado mayor del exército sueco,'una capitula ion,, p r la quat las tropas enemigas d;biapjevacuar -el;.puebla'í las diez de la noche, después de entregar á las cinco la puerta dé Moüen,:sm que se e pudiese per egui…</t>
  </si>
  <si>
    <t>Lallemand</t>
  </si>
  <si>
    <t>…Francisco Oregaud, enviado por el príncipe de Eckmiihl, llegó á los pues tos avanzados dinamarqueses y á Copenhague con las instrucciones de su gobierno para el barón Aiquier. Al general Lallemand se le esperaba en ca sa de los ministros de Francia. La orden de echar á piqne á tocios los corsa rios se ha revocado en la marina sueca. Estos piratas han hecho mucho da ño en el Báltico al comercio de los ingleses, rusos, prusianos y suecos. Los puertos de…</t>
  </si>
  <si>
    <t>Lama, Felipe de</t>
  </si>
  <si>
    <t>Felipe de Lama</t>
  </si>
  <si>
    <t>…o. Los heridos «omtres oficiales y 5ó soldados, siendo ios-priméros el cípitan dd.:2.° de tiradores de Cantabria D. Anselmo Ondicota,?el tenrénte del 3.0 de tiradores de Cantabria D. Felipe de Lama, y el subteniente del 2.0 de Vizcaya D. Valentín Abrisqueta; y contusos los te nientes del 2.0 de tiradores de Cantabria D. Pedro Vega y D. Alberto del Campo, y ademas 13 soldados. Laredo 2 de Marzo de 2814.zzjuan Doz. = Fs copia. zzFrsyrz, ‘ : - :'vj' La Reg…</t>
  </si>
  <si>
    <t>Lamarque</t>
  </si>
  <si>
    <t>…patente la hipocresía del mariscal. A las 12 dadas se formaron en batalla dos compañías de volteadores en la plaza de las Cois mandadas por el comandante de armas de ja plaza. El general Lamarque salió, y al momento entraron dos compañías dél regi miento español de Pontevedra. Los franceses entregaron á los españoles las guardias de las puertas del Areny, Sta. María y castillo de Monjui. Desple garon en columna las compañías de volteadores franceses,…</t>
  </si>
  <si>
    <t>…uevo siste— tna- de gobierno, en virtud del qual se dice á continuación que el duque de Dalaiacia ha comisionado á su gefe de estado mayor para tratar con el lord Welíington, y al general Lamarque para tratar con el general Copóns. Estas grandes noticias han excitado en tddo el pueblo una general ale gría y las mas alhagüeñas satisfacciones. Taragoza j de Mayo. Ayer se solemnizo el aniversario de las victimas del Dos de Mayo en el santo templo de la Se…</t>
  </si>
  <si>
    <t>Lameth</t>
  </si>
  <si>
    <t>…an,en el puerto de San-, toña, serán transferidos á Kocbéfbrt, para c.uyo efecto se les suministraran;, los pasaportes necesarios. El duque de Dalmacia podrá enviar un oficial, al general Lameth, co mandante de Santoña,. para informarle del convenio, y hacerlo executar»; para io que se darán los competentes pasaportes. . art. 6.° El fuerte de Benasque será entregado quanto antes á las tropas, españolas: su guarnición se dirigirá por el camino mas cor…</t>
  </si>
  <si>
    <t>Lamiel, Nicolás</t>
  </si>
  <si>
    <t>Nicolás Lamiel</t>
  </si>
  <si>
    <t>…Ostoiaza, y á D. Alfonso Ximenez de Cisneros. Los honores del consejo de Hacienda á D. Manuel López de Araujo, á D. Francisco González Estéfani, á D. Francisco Ortiz Taraa* co, á D. Nicolás Lamiel, y á D. José Teodoro Santos. Conformándose el Rey nuestro Señor con el parecer de su consejo supre mo de la Guerra, se há servido declarar por distinguida y digna de premió la acción del puente de S. Andrés sobre el rio Algodor, á una legua de Yévenes, el dia…</t>
  </si>
  <si>
    <t>Lamota, Ensebio Mariano</t>
  </si>
  <si>
    <t>Ensebio Mariano Lamota</t>
  </si>
  <si>
    <t>…ia tuvieron asimismo la honra de presentarse á S. M. y besar su Real mano, igualmente que á SS. A-A. los Sres. Infantes, el comí* sario ordenador honorario de los Relies exércitos D. Ensebio Mariano Lamota, y D. Inocencio Pastrana, capellán de las monjas de Sta. Teresa de esta corte, quienes, en representación de la villa d¿ Cifaentes, provincia de Guadalaxara, como comisionados por ella al intento, cumplimentaron á S. M.; y éi primero pronunció el-siguiente di…</t>
  </si>
  <si>
    <t>Lanaerdn</t>
  </si>
  <si>
    <t>…e es el undécimo, los de los generales SeSe ha recibido noticia de la llegada del general Kleist a St. Dizier, y de que el general Kapsiewitz , perteneciente al cuerpo del general conde Lanaerdn , se espera también allí en breve con la división principal de aquel cuerpo, de suerte que el feld-mariscal Blucher esta ahora en comunicación directa con todos los Guerpos de su exército. r . , . „ Parte de ellos han quedado enfrente de Verdun y otras . fort…</t>
  </si>
  <si>
    <t>Landa, Joaquín de Unurte y</t>
  </si>
  <si>
    <t>Joaquín de Unurte y Landa</t>
  </si>
  <si>
    <t>…una vez. En 10 de Mayo del mismo año remitió á esta justicia y habitantes desde Gausin el ba rón de Marantin, comandante en gefe de las tropas francesas, una proclama firmada por D. Joaquín de Unurte y Landa, y un indulto en que, amena zándoles con todos los horrores de una invasión devastadora si resistían á las tropas de su mando, les ofrecían la paz y felicidad si se sometían á la domi nación del Rey intruso. ¡Insensatos! que no conocían que un pueblo de hé ro…</t>
  </si>
  <si>
    <t>Landazury, Domingo</t>
  </si>
  <si>
    <t>Domingo Landazury</t>
  </si>
  <si>
    <t>…novedad. Dios guarde á V. E. muchos años. Valladolid y Enero 15 de 1814 = Excmó. Sr. =r Dominga jL anda zury.^. Exorno. Sr. virey D. Félix: Calleja. Intimación hecha, al teniente coronel D. Domingo Landazury , comandan te militar de Vallado id » por ei cabecilla MorelosAquellas armas» á cuyo estruendo se rinden Tas ciudades» y abaten las fortalezas , se ven ya al rededor de las fortificaciones de MIchoacan : los ojos de mis soldados centellean el corage , y á vis…</t>
  </si>
  <si>
    <t>Landivar, Diego</t>
  </si>
  <si>
    <t>Diego Landivar</t>
  </si>
  <si>
    <t>…la iglesia catedral de Cala horra , vacante por fallecimiento de D. Manuel Ruiz de Bravo, á D. Fer nando de San Martin; para una ración de la misma iglesia, vacante por muerte de D. Diego Landivar, á D. Juan Bautista de A vendarlo y Elaregui; para una canongía de la iglesia catedral de Cádiz, vacant-e por falleci miento de D. Antonio Ladero, á D. Manuel de Cos, medio racionero de la propi i iglesia; para otra canongía de la iglesia colegial de Tala-era…</t>
  </si>
  <si>
    <t>…a de la iglesia catedral de Calahorra , vacante por fallecimiento de D. Manuel Roiz de Bravo, á D. Fernando San Martin: para una ración de la misma iglesia , vacante por muerte de D. Diego Landivar, á D. Juan Bautista de Avendaño y Eloregui: para una canongh de la iglesia catedral de Cádiz, vacante por fallecimiento de D. Antonio Lade ro, á D. Manuel de Cos, medio racionero de la propia iglesia: para otra canongía de la iglesia colegial de Taiavera de l…</t>
  </si>
  <si>
    <t>Landoy, José del Rivero</t>
  </si>
  <si>
    <t>José del Rivero Landoy</t>
  </si>
  <si>
    <t>‘2104 Martin'y Muro, que pende en el consulado de Cádiz, y escribanía de D. Elias Ti», quierdo y Payan, de los quales están nombrados síndicos D. Pablo Benito a y So•to y D. José del Rivero Landoy, se ha decretado se cite y emplace á qua ia personas que se consideren con derecho á los bienes del concurso, para que en el término de 18 meses ocurran á formalizarlo con los documentos calificativos de sus créditos y personalidades, baxo apercibimiento de q…</t>
  </si>
  <si>
    <t>Langa, Juan</t>
  </si>
  <si>
    <t>Juan Langa</t>
  </si>
  <si>
    <t>…d. El 25 del mismo tuvieron también e! honor de presentarse y besar la real mano á S, M. y Sermos. Infantes el P. Mtro. D. Vicente Román y Lina res, el P. D. José Albacete y el P. D. Juan Langa, como comisionados del abad general de la congregación de canónigos reglares premonstratenses ; de los quales el primero dirigió á S. M. efdiscurso siguiente: „Señor: los canónigos reglarespremonstratenses,que tienen hoy el honor de presentarse á V. M., á nom…</t>
  </si>
  <si>
    <t>Langerom</t>
  </si>
  <si>
    <t>…anterior en Chan&gt;paubert, resolvió perseguirle; sedo tenia, á sus. ordenes el cuerpo del general Kleist y la división de! gene ral. Kapsiewitz, perteneciente al cuerpo del general conde Langerom _ ^í^efteiuigo retinó basta llegar cerca del, pueblo, de Janviljers , donr&gt; dq. sf observó’ que iba juntándole un cuerpo, considerable de caballería,.: v, adelantado mundo ep el ardor, de 1 i persepueion se.isca$%. nes/dto el enemigo'una carga repentina , y s…</t>
  </si>
  <si>
    <t>Langeron</t>
  </si>
  <si>
    <t>…mayor gratitud, á sus, libertadores por todos los medios imaginables. Idem 2 6\ Los exércitos se refuerzan diariamente: ayer llegaron 16® infantes y 3$ caballos para el cuerpo del general Langeron, que es ya de 50® hombres* El general Sacken ha recibido también grandes refuerzos. ‘ Bremen 28 de Diciembre. Tenemos noticias de que pasaron el Rhin 200® hombres en Schaífusa, Lintzenburgo, Rhelnfeld y Brisac : por consiguiente se acabó la inacción en: que e…</t>
  </si>
  <si>
    <t>Lángéron</t>
  </si>
  <si>
    <t>…aba desde Altkirchen sobre Mom-belliant. La plaza’ de Befort estaba observada por un destacamento. El general Blúchet había pasado él Rhin y ocupaba á Coblenza. El cuerpo ruso del general Lángéron estaba delante de Maguncia. El general Sacken en Openhéim , donde tomó seis caño'nes y,feo prisioneros. Ei general ruso St. Priest pasó el Rhin por mas abaxo de Maguncia. Ninguno de estos cuerpos ba encontrado una serH*</t>
  </si>
  <si>
    <t>…sos. En i.® dé Enero pasó el Rhin por varios puntos el exército de Silesia. Algunos cuerpos de este exército han tomado las direcciones siguientes: la división rusa , al mando del general Langeron , se ha encaminado hacia Ma guncia , teniendo su vanguardia en Tréveris: las divisiones de Saken y de Yorck se han dirigido al Sarre: la división de Kbist queda de reserva. Es tas quatro divisiones, inclusa la caballería, se regulan en 50© hombres. Marmont se…</t>
  </si>
  <si>
    <t>15t con infantería y artillería. El general Langeron hizo, algunos prisioneros, y su pérdida fue muy corta. Los puestos avanzados de este general están ya en Salzbach, enfrente de Ingleheim. ,, El feld-mariscal Blucher se ha adelantado, a pesar de todas las dificul tades de la estación y de los malos caminos, á…</t>
  </si>
  <si>
    <t>…der quedaron quatro piezas de artillería, 400 hombres y dos banderas. El cuerpo del general Sacken se pone mañana en movimien to para arrojar al enemigo del Mossa, y el cuerpo del general Langeron se dirige á Toul formando la reserva. El cuerpo del general Yorck bloquea las fortalezas de Saar-louis , Luxénburgo, Thionviile y Metz: su caballería está delante de Verdun. El cuerpo del general Kleist está de marcha contra Metz. En vano pro cura el enemigo…</t>
  </si>
  <si>
    <t>…del felá-mariscal Biucher en esta dirección, destacaría fuerzas á su retaguardia. „ En atención á esto se dieron las siguientes disposiciones: los cuerpos del general Sacken y dei conde Langeron debían marchar á CoulomierS. y Chaiily, y en seguida hacia Meaux. Los cuerpos de los generales York y Kieist, después de haber hecho alto aquella noche.en Reoais y sus inme diaciones, recibieron orden de dirigirse á Ferté-sous-Jouarre. El general Korf con una…</t>
  </si>
  <si>
    <t>LangerotrHa-estado</t>
  </si>
  <si>
    <t>…bido orden terminante oe entrar en la Rusia an tigua, esto es, mas allá del Niemen. El quartel general del fe!d mariscal Barclay de Tolly se halla actualmente en Varsovia ; el del general LangerotrHa-estado algunos dias'en Cracovia, de donde acaba de salir para la Ru sia. Todas las tropas rusas continúan su marcha retrógrada ; de cuyo movi miento sacan los políticos vaticinios favorables. Jf US ESPAÑA. • ' Madrid 16 de Setiembre. El diá*7 ¡eje'JuTíó del mes próx…</t>
  </si>
  <si>
    <t>Lanzarote, José</t>
  </si>
  <si>
    <t>José Lanzarote</t>
  </si>
  <si>
    <t>22ÓÓ y destino al quarto del Sermo. Sr. Infante D. Antonio, y el coronel retirado de caballería D. José Lanzarote; el primero de los quales dixo: ,,Señor: etf ayuntamiento de vuestra leal ciudad de Orihue'a nos ha en cargado á mis compañeros y á mí la gustosísima comisión de suplicar á V. M. nos corceda el alto honor de besar su Real mano y felicitarle, porque, resta ble…</t>
  </si>
  <si>
    <t>Lapeña, Tomas</t>
  </si>
  <si>
    <t>Tomas Lapeña</t>
  </si>
  <si>
    <t>…gimientos, también ingleses ,que esta mañana han salido para Francia. Madrid 23 de Mayo. El lunes 16 del corriente besaron la mano y cumplimentaron á S. Mi, á nombre de su cabildo,D. Tomas Lapeña,D. Francisco Ventura de Palacio, D. Ramón María de Adurriaga y D. Eugenio Gómez Alfaro, canónigos de )a santa iglesia metropolitana de Burgos, el primero de los quales arengó á S. M. en los términos siguientes: „ Señor: el cabildo de vuestra iglesia metropoli…</t>
  </si>
  <si>
    <t>…con la doctrina de otros; y en que se prueba que no puede ha ber otra religión verdadera más que la católica, y que el mejor de todos los go biernos, es el monárquico: por ei Dr. D. Tomas Lapeña, canónigo de la santa igle sia metropolitana de Búrgos, y teniente vicario general del quarto exército de ope raciones. Tres temos en 4.0 á 48 rs. á la rústica, en la librería de Miilana, calle del Correo viejo, frente al parte. '• Nota.. En la gaceta del m r…</t>
  </si>
  <si>
    <t>Lapuerta, Pedro</t>
  </si>
  <si>
    <t>Pedro Lapuerta</t>
  </si>
  <si>
    <t>…or no nacional á Don Ramón Macia de Lleopart: para otra á D. Santiago Suso y Anda: para una de alcalde nacional á D. Fermín Sanz y López: para otra á D. Manuel Arbizu: para otra á D. Pedro Lapuerta; y para otra no nacional á D. Map riano Rufino González; y para la fiscalía ae dicho consejo,á D. Juan Rar mon de Matute; y para una de ministro togado en la Cámara de Comptos á D. Joaquín Eiio y Jaureguizar: para una de oidor de la chancillería de Valladolid…</t>
  </si>
  <si>
    <t>Lar</t>
  </si>
  <si>
    <t>…solicirado en el escrito de agravios de la primera sentencia. La presente se publique en la gaceta del gobierno; y en seguida la representación dirigida á las Cortes por el mismo señor Lar dizabal en 6 de Noviembre de 1B11 , folio 195 y siguientes de estos autos, los qua!es se remitan á S. M. las Cortes á sn debido tiempo cómo está man* dado. Cádiz 29 de Mayo de 1813. Está rubricado por los señores que se denotan al margen. = Lie. Fernandez. 3.…</t>
  </si>
  <si>
    <t>Lara, Isidoro de</t>
  </si>
  <si>
    <t>Isidoro de Lara</t>
  </si>
  <si>
    <t>…manda restablecer los antiguos ayuntamientos, el marques de Bondad-Real, mayordomo de semana, y E). José García de la Torre, alcalde de la Real casa y corre, re gidores perpetuos; D. Isidoro de Lara y D. Bruno de Acosta y Morales, capitulares jurados del ayuntamiento de la ciudad de Toledo, pronunciando el discurso siguiente: „Señor: el ayuntamiento de la imperial ciudad de Toledo , primera de voto en las cortes de Castilla, tiene el honor de repetir á los pies del trono el juramento…</t>
  </si>
  <si>
    <t>Lardiz, Miguel de</t>
  </si>
  <si>
    <t>Miguel de Lardiz</t>
  </si>
  <si>
    <t>…primera secretaría de Esta do y del Despacho universal al Sr. d-jcjue de S. Carlos: para la de Gracia y Justicia al Sr. D. Pedro M;canaz; para la de la Gobernación de Ultramar al Sr. D. Miguel de Lardiz^bai y Uribe; para la de Hacienda al Sr. D. Luis María de Salazar, y para la de Guerra al Sr. D. Manuel Freyre. Para la mas fácil -expedición de los negocios se ha servido S. M. señalar los dias y horas en que han de celebrarse los despachos de las distintas s…</t>
  </si>
  <si>
    <t>Lardizabal</t>
  </si>
  <si>
    <t>…an impuesto : se le restituyan todos los papeles que se le ocuparon, á excepción de los unidos á la causa; reténgase y se archive el manifiesto. Se reserva el derecho al expresado señor Lardizabal para que use del que le competa contra los jueces, fiscal y es cribano del tribunal especial, según lo ha solicirado en el escrito de agravios de la primera sentencia. La presente se publique en la gaceta del gobierno; y en seguida la representación dirigida…</t>
  </si>
  <si>
    <t>…e su principio empezaron á descubrir las Cortes generales y extraordinarias para hacer á esta nación heroyea una república; por cuya razón, decretaron aquellas la prisión de dicho Sr. Lardizabal, y le tuvieron 19 meses en uii encierro. Es digno del mayor aprecio,'tanto por lo ruidoso que le hicieron los nuevos reformadores, como porque la nación entera vea quan arbitraria y despó ticamente procedían las llamadas Cortes generales y extraordinarias, en…</t>
  </si>
  <si>
    <t>Lardizabal, Ignacio de</t>
  </si>
  <si>
    <t>Ignacio de Lardizabal</t>
  </si>
  <si>
    <t>…ismo. En el real cuerpo de Guardias Españolas se ha servido la Regencia del Reyno promover á capitán de cazadores al de fusileros D. Lope de Mesa; á capitán de fusileros al primer teniente D. Ignacio de Lardizabal; á pri mer ayudante mayor al segundo D. Ramón de Melgarejo; á primeros te nientes á D. Mariano López, de cazadores; y de fusileros á D. Manuel Menendez Vaídes, D. Pedro Zuíoaga y D. José González de Ribera; á segundo ayudante mayor á D. Antonio Romero; á segu…</t>
  </si>
  <si>
    <t>Lardizabal, José Xavier de</t>
  </si>
  <si>
    <t>José Xavier de Lardizabal</t>
  </si>
  <si>
    <t>…legar ignorancia los que no lo verifiquen, ha mandado S. M. que se publi que en la gaceta. En ir de Octubre próximo pasado falleció en esta corte, á ios 37 años de edad, el Excmo. Sr. D. José Xavier de Lardizabal, teniente general de los Reales exércitos. Este intrépido y guerrero oficial, que desde su mas tierna edad dio prue bas nada comunes ae valor y adhesión á la gloriosa carrera de las armas, na ció en la villa de Tolosa, provincia de Guipúzcoa, y en 4 de Setiem…</t>
  </si>
  <si>
    <t>Lardizabal, Manuel de</t>
  </si>
  <si>
    <t>Manuel de Lardizabal</t>
  </si>
  <si>
    <t>…servido nombrar presidente del supremo consejo real de Castilla al señor duque del Infantado, y ministros del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t>
  </si>
  <si>
    <t>…ivamente están encargadas.. * cion ae cementerios. Sr. D. Gonzalo José de Vilches...... Santiago, Orense y Lugo. Sr. D. Jq&gt;é Joaquín Colon............... Gerona, Vich y Calahorra. Sr. D. Manuel de Lardizabal. Zaragoza ^ Muesca y Albarracin* Sr. D. Antonio Viii.anucya. .......Grapada,* Gcadix y Almería. Sr D. Bernardo Riega.. ............. Tarragona,-Barcelona y TeruelSiv conde*;del Pinar.......... . V.alladolid, Paiencia y Tudela. Sr. D. José María Puig Lérida y…</t>
  </si>
  <si>
    <t>Laredo, Cosme</t>
  </si>
  <si>
    <t>Cosme Laredo</t>
  </si>
  <si>
    <t>…de D. Agapito Ramírez de Arellano. Asimismo se ha servido nombrar S. M. á consulta dé la cámara para tres plazas de oidor de la Real audiencia de Aragón á D; Francisco Melgatres, D. Cosme Laredo y D. Pedro de Castro González: para el corregi miento de Oateniente á D. Juan María Garrido: para el de Ja ciudad de Borja á D* Liborio Tudela: para la vara de alcalde mayor de la ciudad de Orihuelá á D. José O-mulrian; y para la de la villa de Moreda á D. Juan Francisco de Murcia y Monte…</t>
  </si>
  <si>
    <t>Laredo, Teodora</t>
  </si>
  <si>
    <t>Teodora Laredo</t>
  </si>
  <si>
    <t>…ones á una de las huérfanas de los militares ó patriotas que hubieren muerto en defensa de la justa causa de la nación, ha cabido en suerte del primer extracto de la de este dia á Doña Teodora Laredo , hija de D. Juan , sargento i.° de Reales •Guardias Españolas, muejrto en el campo del honor. La junta de dirección y gobierno del Real colegio de sordo- mudos, por renuncia que ha hecho de la plaza de secretario de ella D. Francisco de Pau la Martí, ha nomb…</t>
  </si>
  <si>
    <t>Lares, Francisco Zazo de</t>
  </si>
  <si>
    <t>Francisco Zazo de Lares</t>
  </si>
  <si>
    <t>…do á cumplimentar áS. M., poner se á sus reates pies y besar su real mano el cuerpo de los directores de las reales esc«e!as de primera educación de esra capital D. José Cándano , Don Francisco Zazo de Lares, D. Antonio del Olmo, D Sebastian Arrióla, Don Francisco Leocadio Zazo y D.. Antonio Navarrete; y el primero como de cano dixo: • , „Señor: el cuerpo de directores de las ocho escuelas reales de primera educación, nombrados por real decreto del augusto padre…</t>
  </si>
  <si>
    <t>Larragoyti</t>
  </si>
  <si>
    <t>…olas en bahía por una de aquellas maniobras tan di fíciles como peligrosas. El comandante de marina de esta provincia no ha-, lió en ninguna parte enseres para el socorro; pero el señor Larragoyti, que tenia cables y lancha á propósito, por un acto de humanidad se embarcó, acompañado del ayudante, y rodeados del mayor peligro, lograron entre garle el cable del ancla que llevaban, asegurándose de este modo la fragata, que solo estaba afianzada por un an…</t>
  </si>
  <si>
    <t>Larragoyti, Antonio</t>
  </si>
  <si>
    <t>Antonio Larragoyti</t>
  </si>
  <si>
    <t>…resultado, pues á pocos momentos tuvo que replegarse á la garita cargando los enemigos; pero aumentada la caballería con 40 dragones de Tulancingo, al mando de su sar gento mayor D. Antonio Larragoyti, repetí otra con la caballería á las ór denes del indicado sargento mayor, y con la infantería del batallón ligero que sé hallaba ya reunida , 39 de la Corona, y una pieza á las del coman dante D. Pedro Antoneli, con cuyas fuerzas fué rechazado el enemigo, to…</t>
  </si>
  <si>
    <t>…esempeñado sus deberes, y con singularidad al sargento mayor del ba tallón ligero de México D. Ignacio del Corral, y al de igual clase coman dante de los esquadrones de Tulancingo D. Antonio Larragoyti, que logró en la segunda saíiJa de esta ciudad arrollar al enemigo con la caballería que tenia á sus órdenes. Me son cambien de la mayor consideracf n el teniente coronel D. Pedro Antoneli, comandante dsl ligero de México, por los prontos auxilios que dió á s…</t>
  </si>
  <si>
    <t>Larragoyti, Juan Domingo de</t>
  </si>
  <si>
    <t>Juan Domingo de Larragoyti</t>
  </si>
  <si>
    <t>…Urquijo, se suplica á quien sepa su para dero "se sirva entregarlos en esta corte, caiie de Coloreros, número 14, quarto prin cipal, en que habita el citado Urquijo, ó en Bilbao á D. Juan Domingo de Larragoyti, á cuyo favor se hallaban endosados dichos vales. Bonaparte y los Borbones: un tomo en 8.° Francisco Augusto de Chateau briand , autor del Genio del cristianismo, del viage á Palestina y de lo^ mártires, producciones tan conocidas y apreciadas en el orbe lite…</t>
  </si>
  <si>
    <t>Larrasquitu, José Ignacio de</t>
  </si>
  <si>
    <t>José Ignacio de Larrasquitu</t>
  </si>
  <si>
    <t>…nto mayor del propio cuerpo D. Nicolás Terres: compañías de granaderos á los capitanes de fusileros D. Andrés Cabrera y D. Manuel Valdivia: compañías de fusi leros á los tenientes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t>
  </si>
  <si>
    <t>Lárraz, José</t>
  </si>
  <si>
    <t>José Lárraz</t>
  </si>
  <si>
    <t>…rmino de 15 dias, contados desde el 21 del corriente. Se solícita saber t3 parentela hasta el tercer grado de la Sra. Dona Agustina Larraz, natural de la ciudad de Zamora, hija de D. José Lárraz y de Doña María Francisca de Arriaga, y también la del coronel de exército D. Juan de Ayssa, go bernador qué Fué de la provincia de León de Nicaragua,, en el reyno de Góatemala, natural' de Ja ciudad de Huesca, en Aragón, hijo legítimo del teniente coronel D.…</t>
  </si>
  <si>
    <t>Larreategub, Félix Colon de</t>
  </si>
  <si>
    <t>Félix Colon de Larreategub</t>
  </si>
  <si>
    <t>…nero del año pasado de 1813. Se vende con la primera carta en casa de Don Valentín Francés, frente á las gradas de S. Felipe el Real* Juzgado* militares de España y su* Indias por D. Félix Colon de Larreategub tomo 3.°: quinta edición: contiene el formulario de procesos militares, en que se explicad orden de un proceso, y el modo de justificar el cuerpo del delito en los mas comunes, aumentado con todas las órdenes publicadas hasta fin del año; de 1808 para la cele…</t>
  </si>
  <si>
    <t>Larrumbé, Pedro</t>
  </si>
  <si>
    <t>Pedro Larrumbé</t>
  </si>
  <si>
    <t>…, D. Inocente Mercadillo, D. Francisco Zarracina, D. Francisco Trovano, y á los soldados del f.° regimiento de la propia arma í). Joaquín; Irizar, D. Pablo López, D. Pedro Pagóla, D. Pedro Larrumbé y D. Ca yetano Ortega, en atención á su constante aplicación al estudio , aprove chamiento y buena conducta. Se avisa al público que el lunes 8 de este mes á las 10 de su mañana en la cata del ayuntamiento de la ciudad de Pamplona se encenderá candela baxo la postura…</t>
  </si>
  <si>
    <t>Larrumbide, Joief Antonio de</t>
  </si>
  <si>
    <t>Joief Antonio de Larrumbide</t>
  </si>
  <si>
    <t>…= YO EL REY. =sYo D. Juan Ignacio de Ayestarán, Secretario del Rey nuestro Señor , la hice escribir por su mandado. = El Duque del Infantado. = D. Antonio Alvarez de Conrreras. =3 D. Joief Antonio de Larrumbide. = D. Temas Moyano. 3= D. Domingo Fernandez de Campománes. = Registrada, Aquilino Escudero. = Teniente de Canciller mayor, Aquilino Escudero. En atención á los distinguidos méritos y servicios;que ha contraído por el espacio de 25 años el teniente coronel D.…</t>
  </si>
  <si>
    <t>Larrümbide, José Amonio</t>
  </si>
  <si>
    <t>José Amonio Larrümbide</t>
  </si>
  <si>
    <t>…co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Corte á D. Ignacio Martínez de Villela, y ministros de ía misma á D. Manuel María Junco, D. Diego María Vadillos, D. José Salvador del Pan, D. José Cavanillas, D. Jo…</t>
  </si>
  <si>
    <t>Larrumbide, José Antonio</t>
  </si>
  <si>
    <t>José Antonio Larrumbide</t>
  </si>
  <si>
    <t>….......... Cartagena, Segovia y Osma. Sr. D. Gerónimo Diez........................ Coria) Astorga y Cádiz. Sr. D. Nicolás María de Sierra........... Ciudad'Rodrigo, Jaca y Málaga. Sr. D. José Antonio Larrumbide..... Toledo (excepto Madrid) Uclés y . . León en tas Ordenes. Sr. D. Luis Melendez Bruna............ .Sevilla, Sigüenza, Jaén y Pamplona* En atención á los buenos servicios de D. Blas de Ostolaza, capellán de honor y confesor que ha sido de .S. M., ha tenido…</t>
  </si>
  <si>
    <t>Larrumbide, José Antonio de</t>
  </si>
  <si>
    <t>José Antonio de Larrumbide</t>
  </si>
  <si>
    <t>…del Rey nuestro Señor, lo hice escribir por su man dado. =El Duque del Infantado. =s D. Luis Melendez y Bruna. = D. Anto nio Ignacio de Cortabarría.sD. Miguel Alfonso Villagomez. D. José Antonio de Larrumbide. = Registrada, Fernando de Iturmendi. = Teniente de Canciller mayor, Fernando de Iturmendi. El Rey ha tenido á bien promover á subtenientes en el Rea! cuerpo de Artillería á los caballeros cadetes del mismo D. Manuel Irazabal, D. Ra fael Navafíis, D. Félix Ro…</t>
  </si>
  <si>
    <t>Lárrumbide, José Antonio de</t>
  </si>
  <si>
    <t>José Antonio de Lárrumbide</t>
  </si>
  <si>
    <t>…onra de ser presentados á S. M. el día 28 de Agosto último, y de entregar en sus Reales manos la representa ción de gracias acordada por aquel ayuntamiento; el primero de ellos el Sr. D. José Antonio de Lárrumbide arengó á S. M. en estos términos: „Señor: el ayuntamiento de la ciudad de Valenci , restablecido ya baxo su antigua planta en virtud del benéfico decreto de V. M., nos ha distin guido como á individuos suyos con la honrosa comisión de hacer presente á V. M. l…</t>
  </si>
  <si>
    <t>Larrumbide, Josef Antonio de</t>
  </si>
  <si>
    <t>Josef Antonio de Larrumbide</t>
  </si>
  <si>
    <t>…¿da en Palacio á 22 de Agosto de 1814. =YO EL REY.=Yo D. Juan Ignacio de Ayestarán, Secretario del Rey nuestro Señor, lo hice escribir por su man dado. 2 El Duque del Infantado. 2 D. Josef Antonio de Larrumbide. 2 D. Gonzalo Josef de Viiches. = D. Antonio Alvarez de Contreras. 2 El Conde del Pinar 2 Registrada, Fernando de Iturmendi. =: Teniente de Can ciller mayor, Fernando de Iturmendi. Según los partes recibidos en el ministerio de Marina del alférez de fraga ta…</t>
  </si>
  <si>
    <t>…gosto de 1814.= YO EL REY = Yo D. Ju an Ignacio de Ayestarán, Secretario del Rey nuestro Señor, lo hice escribir por su mandado. = El Duque de! I;f ata do. = El Conde del Pinar. = D. Josef Antonio de Larrumbide. =. D. Anto nio Alvarez de Confreras. = D. Tomas Moyano.s: Regbtr.- da , Fernando de Iturmendi. = Teniente de Canciller mayor, Eernando de Iturmendi. El Rey se ha servido nombrar para una canongía de la iglesia catedral de Segovia, vacante por fallecimiento d…</t>
  </si>
  <si>
    <t>…etario del Rey nuestro Señor, lo hice escribir por su man dado. =El Duque del Infantado. = D. Sebastian de Torres. = D. Luis Melendez y Bruna. = D. Antonio Alvarez de Contreras. = D. Josef Antonio de Larrumbide.= Registrada, Fernando de Iturmendi. = Teniente de Canciller mayor, Fernando de Iturmendi. El Rey se ha servido nombrar para el priorato, dignidad de la iglesia ca tedral de Valladolid, vacante por fallecimiento de D. Martin Sancho Miñano , á D. José Berdonce…</t>
  </si>
  <si>
    <t>Larruníbide, Josef Antonio de</t>
  </si>
  <si>
    <t>Josef Antonio de Larruníbide</t>
  </si>
  <si>
    <t>…arán, Secretario del Rey nuestro Señor, lo hice escribir por su mandado. = El Duque del Inf ntado. =D. Gerónimo An tonio Diez.= D. TomasMoyano.reD. Antonio Alvarez de Contreras. = Don Josef Antonio de Larruníbide.= Registrada , Fernando de Iturmendi. = Ter niente de Canciller mayor, Fernando de Iturmendi. El Rey se ha servido nombrar para la dignidad de prepósito de la igle sia colegial de Antequera, en el obispado de Malaga, vacante por falleci-!miento de D. Gaspar C…</t>
  </si>
  <si>
    <t>Lartiga, Manuel de</t>
  </si>
  <si>
    <t>Manuel de Lartiga</t>
  </si>
  <si>
    <t>…cio Rodríguez de Ribas; D. Víctor. Soret, Tesorero general; D. Pascual Dávila; Contador general de Millones; Don Francisco López de Aícaraz, y D. Jacobo de Parga y Puga. Fiscales. D. Manuel de Lartiga, y D. Bernardo Mozo Rosales. Secretarios. D. Marcelo de Ondarza, de Gobierno; y D. Alfonso de Ibarra, de MiUoiies. Ministros del Tribunal de Contaduría mayor. D. Pedro Regalado-de Garro; Marques de las Hormazas; D. Nicolás de Otamendi; D. Sebastian Jócano; D.…</t>
  </si>
  <si>
    <t>Lasauca, Andrés</t>
  </si>
  <si>
    <t>Andrés Lasauca</t>
  </si>
  <si>
    <t>…aquin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Tomás Moyano, D. Juan Antonio Inguanzo, Don Benito Arias de Piada * D. Gerónimo…</t>
  </si>
  <si>
    <t>…da y Tortosa. Sr. D. Sebastian de Torres^,............. Salamanca, Avila y ZamoraSr. EL Domingo--Fernandez* Campomanes............................................ . León y Oviedo. Sr. D. Andrés Lasauca....... Mondoñedo y Tuyv Sr. D. Antonio Alvarez de Contreras. MallorcaMenorca é Ibiza*.</t>
  </si>
  <si>
    <t>…ada en Palacio á 7 de Agosto de 1814. = YO EL REY. = Yo D. Juan Ignacio de Ayestarán, Secretario del Rey nuestro Señor, lo hice escribir por su man dador El Duque del Infantado. = D. Andrés Lasauca. = D. Antonio Igna cio de Cortabarría. zs D. Miguel Alfonso Villagomez. = D. Luis Meiendez y Bruna. = Registrada, Fernando de Iturmendi. = Teniente de Canciller mayor, Fernando de Iturmendi. Circular del ministerio de Hacienda. El Rey ha tenido á bien resolve…</t>
  </si>
  <si>
    <t>…Y.=Yo D011 Juan Ignacio de Ayestarán, Secretario del Rey nuestro Señor, lo hice escri bir por su mandado. = E! Duque del Infantado. = D. Tomas Moyano.=Don Gerónimo Antonio Diez. = D. Andrés Lasauca. = El Conde del Pinar. = Re gistrada, Fernando de Iturmendi. = Teniente de Canciller mayor, Fernan do de Iturmendi. Con fecha de 28 de Junio del presente año se remitieron al teniente de</t>
  </si>
  <si>
    <t>Laserna, Joaquín Gómez de</t>
  </si>
  <si>
    <t>Joaquín Gómez de Laserna</t>
  </si>
  <si>
    <t>…oaquín de los Ríos D. J xsé Marrón , D. Diego Luis Salido, D. José Castellar, D. José Iglesias Barrantes , P. Ramón Losada Bernaldo de Quicós, J&gt;. José Fuentepita,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t>
  </si>
  <si>
    <t>Lason, Manuel Estéban</t>
  </si>
  <si>
    <t>Manuel Estéban Lason</t>
  </si>
  <si>
    <t>…s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comandante del esquadron de dragones de Amotape. En las compañías sueltas de Truxill…</t>
  </si>
  <si>
    <t>Lastimante, Manuel de Quevedo</t>
  </si>
  <si>
    <t>Manuel de Quevedo Lastimante</t>
  </si>
  <si>
    <t>…e Cádiz á Madrid se extravió un vale real de 300 pesos de la creación de f.° de Mayo de 1808 , con el número 483487; el que sepa de su paradero se servirá avisarlo en esta corte á D. Manuel de Quevedo Lastimante, agente del número de las Españas, plazuela del Angel, núm. 19, quien lo agradecerá. Li perdona á quien se le hubiese extraviado un vale real dinero de i.° de Ma yo, acuüi'á á D. Baltasar Marco, procurador del número de esta villa, quien lo entiesará dando la…</t>
  </si>
  <si>
    <t>Lastre, Manuel</t>
  </si>
  <si>
    <t>Manuel Lastre</t>
  </si>
  <si>
    <t>…ramarchasen rápidamente para pasar el rio por la barca de Cherta , y sostener la columna de granaderos y cazadores de la misma división, que baxo las órdenes del valiente teniente coronel D. Manuel Lastre se hallaba colocada de antemano en la altura llamada de Burragat ó estrecho de Tibens, porque creyó que la intención del enemigo era atacar esta tropa, envolviéndola por su izquierda; y asi es que previno á dicho gefe que por escalones se replegase á Tibens.…</t>
  </si>
  <si>
    <t>Laurencey</t>
  </si>
  <si>
    <t>…iasmo. Todavía gozamos de su presencia, y donde quie ra que se presenta va .manifestando ía mayor bondad, y repitiendo siempre: solo es feliz el que esta en medio de los sinos. El general Laurencey, que mandaba en Cherburgo á la llegada del prín</t>
  </si>
  <si>
    <t>Lavaggi, Nicolás</t>
  </si>
  <si>
    <t>Nicolás Lavaggi</t>
  </si>
  <si>
    <t>…olas Marques dé la-Roca.” H1 Rey nuestro Señor se ha servido^ conferir la. contaduría dé exército dé’ Aragón, vacante por jubilación? de D. Ventura de Elorduy, que la obte nía , á D. Nicolás Lavaggi, 'tesorero que era; del exército y principado de Cataluña, y nombrar pata suceder á Lavaggi á.D. Miguel. Prats y Vilalba,, tesorero que fué del exéircito de Castilla la Vieja.</t>
  </si>
  <si>
    <t>Lavalle, Juan Nepomuceno</t>
  </si>
  <si>
    <t>Juan Nepomuceno Lavalle</t>
  </si>
  <si>
    <t>…ranaderos á D. Angel de Tozo; teniente de granaderos á D. Eduardo Ló pez ; idem de fusileros D. Laureano Muñoz, D. Luis de Castro y D. José Orruyrinez; subteniente de granaderos i D. Juan Nepomuceno Lavalle, y subtenientes de bandera á D. Pedro Benitez y D. Francisco Calderón. En el de infantería de Valdivia sargento mayor á D. Lucas Ambrosio de Molina; capitanes á D. Diego Adriarola y D. Esteban de Albarracin; te nientes á D. Antonio Adriasola, D. Juan de Dios…</t>
  </si>
  <si>
    <t>Lavedan, Antonio</t>
  </si>
  <si>
    <t>Antonio Lavedan</t>
  </si>
  <si>
    <t>…rito por el Dr. Balme, médico de Puy, departamento del Alto-Loyra: un tomo en 8.° pro longado: su precio 12 rs. en pasta. Estas dos obras están traducidas al castellano por el Dr. D. Antonio Lavedan, profesor de medicina y cirugía, y cirujano de cá mara de S. M. Católica, zzTratado de la manía ó locurar escrito por Pinel, cate drático en la escuela de medicina de París; traducido al castellano por el Dr. Don Luis Guarncrio, médico en el Real sitio de San…</t>
  </si>
  <si>
    <t>Laviada, León Saturnino</t>
  </si>
  <si>
    <t>León Saturnino Laviada</t>
  </si>
  <si>
    <t>…l Asenjo, regiAsen jo,. regidor, 60 : Mateo Sancho,‘regidor, 30 dor, 100: Juan Sanz Sancho.. procurador, 120: D. José Sanz Sancho, abo gado de ■ los ^tribunales nacionales , 120 : D. León Saturnino Laviada, 80: D. Pablo Sanz Sancho, 60: Dr. D. Juan Francisco Sastre y Madrid, 200: IX..,ML. S.JBL, xqo : José, Fructuoso Sanz, 160: Francisco Mejorada Fray le, 100:,María Amtonia Sancho Morago, 50: Isidoro Sanz Valles, .66 y 18 maravedises: José Milano Cadereha ,100:…</t>
  </si>
  <si>
    <t>Laviña, Luis</t>
  </si>
  <si>
    <t>Luis Laviña</t>
  </si>
  <si>
    <t>Asimismo ha conferido S. M. el gobierno de la plaza de Den¡a á D. Luis Laviña, ayudante general dei estado mayor general; y la tenencia de Rey de la de Barcelona al coronel D. Rafael Vélarde , teniente coronel agregado al estado mayor de la plaza de Palma en Mallorca. El embaxador de S. M. en la corte de Londres participa que el gobier…</t>
  </si>
  <si>
    <t>Láza</t>
  </si>
  <si>
    <t>…pague la multa: de tres mil duros i que D. Jaywie Doz, que lo es del de esta corte, satisfaga la de mil duros: que D. Juan Doz, su hijo, lo haga de la de seiscientos.ducados: que D. Láza ro de Rada, D. Francisco Estanga, D. Manuel de Córdoba, D. Juan Bau tista Maygñen , Doña Luisa Robinet y Dominica Grifón, pague cada uno la multa de doscientos ducados, haciéndoles entender lo desagradable que me ha sido su conducta , y que no den lugar á que…</t>
  </si>
  <si>
    <t>Lázaro, Eugenio</t>
  </si>
  <si>
    <t>Eugenio Lázaro</t>
  </si>
  <si>
    <t>…ue asidos todos simbolizaban la unión de dichas pro vincias para amar y proclamar á su'Sdberano: en seguida tomado el real re trato por el alcalde primero , y por :el cura párroco D. Eugenio Lázaro la insignia' representativa de la/ religión i y escoltados deoguardiásó dé honor compuesta dé los sugetos principalesy acompañados de todo el ayunta miento, clesro-'secular y regular, comunidad -de capuchinos y dé un grande concursé, se'dirigieron' á* la. par…</t>
  </si>
  <si>
    <t>Lcjarza, Domingo de</t>
  </si>
  <si>
    <t>Domingo de Lcjarza</t>
  </si>
  <si>
    <t>…ado dicho término les parará el perjuicio que haya lu gar, y se dará á los autos el debido curso. En i.° de Setiembre envió por el correo D. Manuel García, residente en Ma drid, á D. Domingo de Lcjarza, vecino de Bilbao, endosados á favor de este, 15 rales de 150 pesos, creación de Setiembre, con los números siguientes: 148923, 149744, 160000, 163866 , 164098 , 176085 , 190799, 199395 , 201892, 201893 , 208876 ,211179 y 2 15 20/; y no habiendo llegado á su…</t>
  </si>
  <si>
    <t>Le-Cor, F.</t>
  </si>
  <si>
    <t>F. Le-Cor</t>
  </si>
  <si>
    <t>…h, tuviesen la mayor parte del choque con el-enemigo en este punto, y la conducta de estas tropas fué admirable. Lá?división de tropas portuguesas, del mando del mariscal de campo D. F. Le-Cor, marchó para sostenerles sobre su izquierda del modo mas bizarro, y retomó una posi ción importante entre estas tropas y la brigada del mariscal de campo Priágle, que se baria con el enemigo enfrente de Villafranca. Tuve grande sa tisfacción en ver la conduct…</t>
  </si>
  <si>
    <t>Le-Grand</t>
  </si>
  <si>
    <t>…mpuesto del cuerpo de su man— do inmediato y los de los generales Sebastian! y Arrighi, á la izquierda del, Mame. . u •, , ■ Chaloins del Sao na fué tomada por los austríacos ^ el general Le-Grand se hallaba allí reuniendo fuerzas francesas- : ei príncipe de Hesse-Hom— burgo dio orden de atacar, y se -tomaron algunas piezas de artillería en la ciudad. El general Le-Grand se fe tiró por el camino de León , donde eL mariscal Augereau ha reunido unos 4.®…</t>
  </si>
  <si>
    <t>Leal, Domingo Hernández</t>
  </si>
  <si>
    <t>Domingo Hernández Leal</t>
  </si>
  <si>
    <t>…audet, D. Garlos Fernandez y D. Miguel Manrique.; á subteniente de granaderos á D. Bernabé García Ábreu , y de cazadores á D. Salvador Hernández Abad; á subteniente de fusileros á D. Domingo Hernández Leal, y de bandera á D. Lu s Román y Franco y.,D. José González Arauz. Y á subtenientes en ei batallón de milicias urbanas de. la plaza de Alburquerque á D. Bruna del Pilar y D. Manuel María Salvadores. Por dimisión del gefe de esquadra de la armada nacional D. Fr…</t>
  </si>
  <si>
    <t>Lebaeltern</t>
  </si>
  <si>
    <t>…as de la primera distinción, tanto romanos como extrarg ros, entre los quales se presentaron los Sres. Courtois de Presigny, embaXrtdor extraordinario de S. M. Cristianísima, y el caballero Lebaeltern, enviado extraordinario de S. M. el emperador de Austria; todos los q ales felicitaron á SS. MM., que los recibieron con las demostraciones mas ex presivas. de agrado. GRAN BRETAÑA. Londres jp de Octubre. Si es cierta la relación de ios diarios americanos , s…</t>
  </si>
  <si>
    <t>Leca, José Francisco de</t>
  </si>
  <si>
    <t>José Francisco de Leca</t>
  </si>
  <si>
    <t>…n Matos: empleo de al férez al cadete D. Francisco Rodríguez Osorio; y de portaestandartes á los cadetes D. Jo.ié María Lizarzaburu* D. Manuel María Muñoz y al soldado distinguido D. José Francisco de Leca. En ei de Luya y Chillaos el empleo de coronel al sargento mayor del propio cuerpo D. Mariano Rodríguez. En el de León* de Huanuco empleos de portaestandarte á D. José Isi dro Baldizan y I&gt;. José Cós. En las compañías sueltas de Santa empleos de capitanes al…</t>
  </si>
  <si>
    <t>Lecwen</t>
  </si>
  <si>
    <t>…siciones para tomar por asalto á Tonl por el lado de Vord. Con arreglo á esto el general Sacken hizo sus prepara tivos; pero quando el enemigo se vio cortado, se rindió al general conde Lecwen, en cuyo poder quedaron quatro piezas de artillería, 400 hombres y dos banderas. El cuerpo del general Sacken se pone mañana en movimien to para arrojar al enemigo del Mossa, y el cuerpo del general Langeron se dirige á Toul formando la reserva. El cuerpo del…</t>
  </si>
  <si>
    <t>Ledcsma, Francisco Rodríguez de</t>
  </si>
  <si>
    <t>Francisco Rodríguez de Ledcsma</t>
  </si>
  <si>
    <t>…hombre, de sus necesidades, de sus derechos y deberes en el estado na tural y social, y de ios de las naciones entre sí: escrito para instrucción de la juven tud por el ciudadano. D. Francisco Rodríguez de Ledcsma, abogado del colegio de Madrid, y diputado por la provincia df Extremadura en las actuales Coretes ordi narias. La ciencia de los derechos y losdeberes del hombre eñ todos sus estados y de los de las naciones entre sí, con sus relaciones mutuas, mientras no l…</t>
  </si>
  <si>
    <t>Lefebvre-des-Nouetes</t>
  </si>
  <si>
    <t>…prisioneros, y cargó al enemigo mas allá del riachuelo Voire. El 3 á medio d¡a entró1 el emperador én TroyéS. Hemos perdido, en la batalla-de Bríenné al Valiente general Baste El general Lefebvre-des-Nouetes ha sido herido de un bayonetazo: también ha sido herido gravemente el general Forestier* Nuestra pérdida eh las dos acciones ha sido de unos 2 á 3® hombres entré muertos y heridos : la del enemigo asciende por lo menos á doble número. Una división destacada d…</t>
  </si>
  <si>
    <t>Lefebvre-des-Noutes</t>
  </si>
  <si>
    <t>…l Blucher, y reculado en 40© hombres entre rusos y prusianos, estando los primeros á las órdenes del general Sacken. A las quatro de la tarde fué embestida la aldea de Brienne. El general Lefebvre-des-Noutes, que manda una división dé caballería de Ja guardia, y los generales Grouchy y Milhaud dieron va rias y vigorosas cargas al enemigo por la derecha del camino, y se apodera ron de las alturas de Perthe. El príncipe de Moskwa se puso al frente de seis batallone…</t>
  </si>
  <si>
    <t>Lefevre</t>
  </si>
  <si>
    <t>…saben que el Rey reúne á un talento muy grande la memoria mas prodigio sa, de lo qual ha dado pruebas conversando con las personas que fe rodea ban. Viendo andar con dificultad al mariscal Lefevre á causa de la gota, le dixo: Mariscal, ¿sois de los nuestrosf Después dixo al mariscal Mortier: Señor mariscal 3 quando no éramos amigos tuvisteis con la Rey na mi esposa ciertas consideraciones que me ha hecho presentes, y en el dia me acuerdo de ellas. Al m…</t>
  </si>
  <si>
    <t>Legaspi, Saturnino</t>
  </si>
  <si>
    <t>Saturnino Legaspi</t>
  </si>
  <si>
    <t>…cador del santo oficio de la Inquisición de Valladolid: para el beneficio de la villa de Mondejar en el arzobispado de Toledo , vacante por muerte de D. Eugenio;Ló pez Soldado , á D. Saturnino Legaspi: para ia media prestamera de Baylen, vacante pór muerte de D. Mateó González, á D. Juan Manuel Gil López de lá°Mota: para el beneficio préstamo de Fuente el Rey, vacante por fa llecimiento de Di Antonio Rbfcó Cajoneé, y la media prestamera de Sabiote, vacante…</t>
  </si>
  <si>
    <t>Leiba, Francisco Ibañez</t>
  </si>
  <si>
    <t>Francisco Ibañez Leiba</t>
  </si>
  <si>
    <t>625 D. Gerónimo Antonio Diez. D. Francisco Ibañez Leiba. D. Jayme Alvarez Mendieta. D. Andrés Oller.,. D. Diego María Badillos. Se revoca como injusta la sentencia pronunciada por el tribunal especial creado por las Cortes generales y extraordinarias contra el señor D. Miguel de Lardizabal y Uribe; y en conformida…</t>
  </si>
  <si>
    <t>Leis, Juan de Torres y</t>
  </si>
  <si>
    <t>Juan de Torres y Leis</t>
  </si>
  <si>
    <t>209T ceder Iguales honores á D. Juan de Torres y Leis, nombrado para servir en propiedad la indicada contaduría principal del expresado exército y reyno en ausencias y enfermedad 6 falta de Nograro, sin necesidad de nuevo decreto. Animismo por decreto de 26 del referido mes, en atención al mérito y servicios de…</t>
  </si>
  <si>
    <t>Leite, Francisco de Paulo</t>
  </si>
  <si>
    <t>Francisco de Paulo Leite</t>
  </si>
  <si>
    <t>…d ge neral de la Europa. Todos los cuerpos de la guarnición se presentaron for mados en dos divisiones en las dos plazas principales de esta ciudad, man dadas la una por el Excmo. Sr. Francisco de Paulo Leite, general de la pro vincia , y la otra por el Excmo. Sr. mariscal comandante en gefc- el marques de Campo Mayor, que acompañado de un numeroso y lucido estado mayor recibió del numeroso concurso y de las tropas las aclamaciones á que se ha hecho acreedor, asi…</t>
  </si>
  <si>
    <t>Lejaide, Custodio</t>
  </si>
  <si>
    <t>Custodio Lejaide</t>
  </si>
  <si>
    <t>…José Azpey tia y Saenz de Santa María al obis pado de Lugo , á D. Manuel Tarieg^, canónigo doctoral de la de Salamanca; y para una ración de la de Tarazona, vacante por muerte de D. Custodio Lejaide , á D. Tiburcio Marco. ■ * » ¡ ' \, • , El Rey se ha dignado promover en el regimiento, infantería de Pue bla de la isla de Cuba á los sugetos que á continuación se expresan: con la antigüedad de 30 de Octubre de 1810, á capitán de granaderos á D, Anto nio Bi…</t>
  </si>
  <si>
    <t>Lemaur, Carlos</t>
  </si>
  <si>
    <t>Carlos Lemaur</t>
  </si>
  <si>
    <t>…a de ancho con sus medias cañas de color de chocolate; y la descripción y cálculo del coste es un libro en 4.0 del grueso de unos dos dedos, firmado todo por su autor el ingeniero D. Carlos Lemaur. Se haiía vacante la plaza de médico de la villa de Nombeia, partido de Tole do: su dotación 400 ducados, cobrados de los propios; su vecindario 300 vecinos, incluso el estado eclesiástico: se admiten memoriales por dos meses, tomando los informes correspondi…</t>
  </si>
  <si>
    <t>Lemayre, José María</t>
  </si>
  <si>
    <t>José María Lemayre</t>
  </si>
  <si>
    <t>…lle de las Carretas. En la librería de la viuda de Quiroga, calle de las Carretas, se hallará una can ción alusiva á la venida de nuestro amado monarca Fernando vii, compuesta por D. José María Lemayre: su precio 8 rs. Estampa que representa á nuestro amado monarca el Sr. D. Fernando vir, en 4.0 Este retrato, el mas propio quizá de quantos han salido al público, está copia do del busto trabajado por D. José Gines, escultor de cámara, cuyo nombre so lo hace…</t>
  </si>
  <si>
    <t>Lemoine</t>
  </si>
  <si>
    <t>…sición á 300 tcesas dei frente mas estrecho y mas débil de la ciudad, de donde descu bríamos basta el pie de las murallas, y podiamos fácilmente destruir las obras. ,, El teniente coronel Lemoine, que mandaba la artillería, y el capita» Tylden, de ingenieros, hicieron inmediatamente preparativos para construir las baterías necesarias, y se esperaba que á los dos dias se podría dar un asalto. ,, El mismo dia la esquadra mandada por sir Eduardo Pellew s…</t>
  </si>
  <si>
    <t>Lendsay-</t>
  </si>
  <si>
    <t>…__ La rapidez con que marchó el destacamento del tercer batalion, &gt;fráínd¿ido por el capitán Fiiilartoni, y del batallón segundó del regimiento nusn. yB.ádas órdenes del te niente coronel Lendsay-, sostenidos por el segundo batallón del 25.0, á las órdenes del mayor M’Donnelí», y por el 33.0 á las órdenes del teniente co ronel Eífinstone, y una carga pronta.á la bayoneta dada por el 78.°, diri gida por el coronel Lindsay * decidieron la acción mucho an…</t>
  </si>
  <si>
    <t>León</t>
  </si>
  <si>
    <t>…vila á D. Manuel de Toro: para el de Logroño á Don José Perez de Rozas: para tenientes de corregidor de Madrid á D. Manuel de Gamboa, D. Francisco Assin, D. Luis Gabaldon y López, D. León de la Cámara y D. Joaquín Almazan: para la vara de Burgos á D. Prudencio Fernandez de la Pelilla : para el corregimiento de Molina de Aragón á Don Francisco Estéban y Ranz: para la vara de Osuna á D. Juan Antonio Del gado: para la de Don Benito á D* Eusebio L…</t>
  </si>
  <si>
    <t>León, José</t>
  </si>
  <si>
    <t>José León</t>
  </si>
  <si>
    <t>…su paradero, se suplica á di cho compañero ó qualquier otro sugeto que lo sepa, tenga la bondad de comunicar lo, ó si hubiese fallecido, y supiese el parage de su fallecimiento, á D. José León de la Lastra, calle de la Montera, nára. 2, quarto 3.0, que se le agradecerá. EN LA IMPRENTA REAL.</t>
  </si>
  <si>
    <t>León, Marcos Ponce de</t>
  </si>
  <si>
    <t>Marcos Ponce de León</t>
  </si>
  <si>
    <t>…rano , á D. Bartolomé Vi vas y Romero; para el beneficio simple servidero de la parroquia de Tarancon, diócesis de Cuenca, vacante por muerte de D. Ignacio García del Cas tillo, á D. Marcos Ponce de León ; y para el beneficio curado de la villa de Andoain , diócesis de Pamplona, vacante por fallecimiento de D. Juan Bau tista de Barberena, á D. José Oyen.¡rte, teniente de cura de la parroquia de S. Vicente.de la ciudad de S. Sebastian. . f . Por real resolució…</t>
  </si>
  <si>
    <t>Leone, Gaspar</t>
  </si>
  <si>
    <t>Gaspar Leone</t>
  </si>
  <si>
    <t>…brado qustro directores para la administración de las rentas: cada uno entenderá en uno de los departamentos en que se ha dividido el reyno; y el Príncipe los ha puesto á cargo de D. Gaspar Leone, D. Félix Ferraloro, D. Buenaventura Rossi, y el duque de Serradifalco. PRUSIA. Berlín jo de noviembre. El Rey de Dinamarca envió embaxádores al Príncipe Bernadotte con proposiciones de paz, y la respuesta lúe que las oiría en territorio dinamar qués. A conse…</t>
  </si>
  <si>
    <t>Leopoldo</t>
  </si>
  <si>
    <t>…e su viage á la Austria su-* perior , acompañados del archiduque Fernando gran duque de Toscana, de S. A. R. el duque Antonio de Saxonia, y de la archiduquesa Teresa su esposa. El príncipe Leopoldo, hijo menor de S. M. Siciliana Fernando iv* ha ido á Oííen á visitar al archiduque palatino de Hungría. Diariamente llegan á esta capital extrangeros de distinción con motivo del próximo congreso. Ademas de los tres principales. Soberanos, se espera también á…</t>
  </si>
  <si>
    <t>Leor, Federico</t>
  </si>
  <si>
    <t>Federico Leor</t>
  </si>
  <si>
    <t>…con las divisiones ligera, segunda y la división portuguesa, mandarlas por el mayor general barón Carlos de Alten, el teniente general sir VVilliam Heuvart y el mariscal de campo D. Federico Leor, mientras que el teniente, general sir Henry Clinton lo pasaba con la sexta división entre Monfbrt y Laas. El teniente general sir Tomas Picton hizo al mismo tiempo demostraciones de atacar la po sición del enemigo sobre el puente de SauVeterre * y al fin obl…</t>
  </si>
  <si>
    <t>Lequona, José Nicolás de</t>
  </si>
  <si>
    <t>José Nicolás de Lequona</t>
  </si>
  <si>
    <t>…á los capitanes de fusileros D. Andrés Cabrera y D. Manuel Valdivia: compañías de fusi leros á los tenientes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t>
  </si>
  <si>
    <t>Lérin, Martin de Villota y</t>
  </si>
  <si>
    <t>Martin de Villota y Lérin</t>
  </si>
  <si>
    <t>44 d'etes D. Rafael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t>
  </si>
  <si>
    <t>Lesaca, Juan José</t>
  </si>
  <si>
    <t>Juan José Lesaca</t>
  </si>
  <si>
    <t>…s anos. Madrid 18 de Julio de 1814. Por resolución de 19 de Julio se ha servido S. M. conceder en propie dad la contaduría de data de la tesorería general al encargado de la misma D. Juan José Lesaca, ministro honorario del tribunal de contaduría mayor, en atención á sus méritos y dilatados servicios, y á lasolicitud que ha he cho al efecto.</t>
  </si>
  <si>
    <t>Léval</t>
  </si>
  <si>
    <t>…cos; y que saben hermanar el pormenor de toda militar fatiga con la dignidad de qualquiera puesto ó graduación á que, les destine la Providencia. Vitoria 4 de enero. Un edecán del general Léval, que estuvo de parlamentario en ¿1 quartel general de San Juan de Luz el 30 ultimo, aseguró que los aliados se habían, apoderado de la Suiza, no queriendo reconocer neutrales, sino amigos 6 enemigos; y también que el general A rispe habia llegado á Bayona con…</t>
  </si>
  <si>
    <t>Ley, Franchco Ibaáez de</t>
  </si>
  <si>
    <t>Franchco Ibaáez de Ley</t>
  </si>
  <si>
    <t>…es confiscados por el go bierno intruso; y ha nombrado por individuos de ella á los Sres. D. Anto nio Aivarez de Contreras y D. Antonio Ignacio de Cortabarría, del coa¿se jo Real; D. Franchco Ibaáez de Ley va, dei de Indias; D. Francisco Xa vier Adeü, del de Ordenes, y D. Jayme Aivarez de Mer.dieta, del de Ha cienda; y para fiscal al Sr. D. M muel Vicente de Torres Cónsul , que ío es mas antiguo de dicho consejo Real. Y habiéndose instilado la citada jun ta sup…</t>
  </si>
  <si>
    <t>Leys, Francisco María de</t>
  </si>
  <si>
    <t>Francisco María de Leys</t>
  </si>
  <si>
    <t>…que vive en casa del marques de Sales, calle del Olmo, es quina á la del Ave María. Se desea saber de la existencia del espitan que ha sido de granaderos provincia les de Galicia D. Francisco María de Leys, que de resultas del ataque de Alba de Tormes de 1809 no se sabe si murió ó fue conducido prisionero á Francia. El qiya supiere de él se servirá avisarlo á Betanzos al teniente coronel retirado D. Juan An tonio de Leys. , / ' En la librería de Hurtado, calle…</t>
  </si>
  <si>
    <t>Leyva, Francisco Ibañez</t>
  </si>
  <si>
    <t>Francisco Ibañez Leyva</t>
  </si>
  <si>
    <t>…iguel Calixto de Acedo. = D. Francisco Requena. = D . Josef Pablo Valiente. = D. Antonio Gamiz. = D. Antonio López Quintan i. = Don Francisco de-la-Vega.nD. Francisco de Arango. = D. Francisco Ibañez Leyva. = D. Juan Gualberto González, Fiscal. = D. Estéban Varea, Secre tario-= Sala segunda de Gobierno. = D. Pedro Aparíci. = Conde de TorreMuzquiz. = D. Ignacio OmulrriannD. Cayetano Urbina. = D. Juan Ro bledo. = D. Francisco Xavier Caro. = D. Josef Aycinena. = D…</t>
  </si>
  <si>
    <t>Leyva, Francisco Ibañez de</t>
  </si>
  <si>
    <t>Francisco Ibañez de Leyva</t>
  </si>
  <si>
    <t>…articipo á VV. SS. para su inteligencia y cumplimiento. Dios guarde á VV. SS. muchos años. Palacio 28 de Mayo de i8i4- = Pedro de Macanaz. = Sres. D. Ignacio Mar tínez de Villela, D. Francisco Ibañez de Leyva y D. Antonio Alcalá Galiario. Se han extraviado dos vales reales de 150 pesos de la ¿poca de i.9 de Enero de 1808, señalados con los números 338600 y 342485, y pertenecientes á una de las pias fundaciones de la santa iglesia catedral de Lérida, los quales se remitieron á Tarrago…</t>
  </si>
  <si>
    <t>Lezaria, Joaquín Rotz de</t>
  </si>
  <si>
    <t>Joaquín Rotz de Lezaria</t>
  </si>
  <si>
    <t>2'2'lS" Patricio dé Lotea, que vico por; muerte de D. Joaquín Rotz de Lezaria, y ei que se halla vacante en la parroquial de S. Mateo de ía propia ciudad de Lorca por fallecimiento de D. Andrés de Munuera á j&gt;. Casimiro Mén dez , con dimisión de la. ración &lt;jue obtiene en la iglesia metropolitana de Burgos; y en consideración alrmerito…</t>
  </si>
  <si>
    <t>Lichenstein, Mauricio de</t>
  </si>
  <si>
    <t>Mauricio de Lichenstein</t>
  </si>
  <si>
    <t>…da de parte de Jos bávaros. El enemigo fué arrojado del pueblo á la bayoneta con pérdida considerable. Las guardias y reservas rusas han llegado ya cerca de Langres. Eí cuerpo del príncipe Mauricio de Lichenstein se ha movido á Dijon, donde se reunirá con el cuerpo del genera! Bianchi. Tengo la honra &amp;c. Colombé 26 de Febrero. == Burghersh. P. Z&gt;. El cuerpo del general WVede está hoy en Bar del Aube: el del general Wittgenstein enfrente de Colombé: el general Giulay e…</t>
  </si>
  <si>
    <t>Lichrenstein, Mauricio de</t>
  </si>
  <si>
    <t>Mauricio de Lichrenstein</t>
  </si>
  <si>
    <t>…ibert, propio del conde de Forestier. A las 10 de la mañana una salva de artillería anunció su llegada á las puertas de París. Escoltaban á S. M. el lucido cuerpo de coraceros del príncipe Mauricio de Lichrenstein, y le acompañaban su gran chambelán, el conde Bubna, su escudero mayor; el conde Juan dé Traúttmansdorf; los generales barón Duka; Kutschera, primer edecán del conde Manuel Wratisia; el príncipe Luis de Rohan y el príncipe Pablo Ester3zi. Tres destacamentos d…</t>
  </si>
  <si>
    <t>Lichtenstein, Venceslao de</t>
  </si>
  <si>
    <t>Venceslao de Lichtenstein</t>
  </si>
  <si>
    <t>…del regimiento aus tríaco cuyo mando ha tomado 2&amp; florines. Un baylarin del teatro de esta capital es el que encontró el magnificó brillante dé 102 quilates de peso» que perdió él príncipe Venceslao de Lichtenstein; el qual» habiéndolo entregado , ha recibido ol prometido ha llazgo de 5 9 florines.</t>
  </si>
  <si>
    <t>Lichténstein, Wenzel</t>
  </si>
  <si>
    <t>Wenzel Lichténstein</t>
  </si>
  <si>
    <t>…dió con tanta rapidez, que fué impósi^ bie pasar por medio de las llamas para perseguirle. Desde el 22 al 23 el emperador trasladó su quartel general al pueblo de Chames. El 23 el príncipe Wenzel Lichténstein llegó al quartel general de par lamentario, enviado por el príncipe Schwartzenberg para proponer» i&amp;u ar misticio. , , El general Miíhaud, que manda la caballería del quinto cuerpo, hizo 500 prisioneros de caballería entre Pavillon y Troyes. El ge neral Girar…</t>
  </si>
  <si>
    <t>Lieven</t>
  </si>
  <si>
    <t>…s. Llegaron después sucesivamente otros carruages; pero en vano estuvo el pueblo esperando la vista de los soberanos, pues el emperador al llegar á Wellin se entró en el coche del conde Lieven, su emoaxador, y llegó sin ser conocido al palacio de Pultney, donde reside la gran duquesa Catalina su hermana. El emperador había ya subido el pri mer tramo de la escalera quando le vio el príncipe Gagarin, y lo anunció á la gran duquesa, la qual corrió lue…</t>
  </si>
  <si>
    <t>Lima, Francisca de Borja</t>
  </si>
  <si>
    <t>Francisca de Borja Lima</t>
  </si>
  <si>
    <t>…les impedido el desembarco, se retiraron á las naves, y el 10 por la mañana se hicieron á la vela, dirigiéndose á Cartagena, llenos de desastres y cubiertos de igno minia. * , . , Don Francisca de Borja Lima j vecino de la Havana, ha entregado. e« las caxas de la hacienda nacional de aquella ciudad la cantidad de 1049 pe sos seis y tres quartos de reales en calidad d : donativo voluntario para ayu da de gastos de la guerra 'actual; y la Regencia del Reyno, entera…</t>
  </si>
  <si>
    <t>Lina, Vicente Román y</t>
  </si>
  <si>
    <t>Vicente Román y Lina</t>
  </si>
  <si>
    <t>…profesan á su real persona los habi tantes de aquella ciudad. El 25 del mismo tuvieron también e! honor de presentarse y besar la real mano á S, M. y Sermos. Infantes el P. Mtro. D. Vicente Román y Lina res, el P. D. José Albacete y el P. D. Juan Langa, como comisionados del abad general de la congregación de canónigos reglares premonstratenses ; de los quales el primero dirigió á S. M. efdiscurso siguiente: „Señor: los canónigos reglarespremonstratenses,que…</t>
  </si>
  <si>
    <t>Linage, Manuel Pablo de</t>
  </si>
  <si>
    <t>Manuel Pablo de Linage</t>
  </si>
  <si>
    <t>…, oficial de la secretaría de Estado y,del despacho de Guerra, secretario de S. M. con exercicio de decretos, y caba-* llero de la real y distinguida orden española de Carlos m, y D. Manuel Pablo de Linage; de los quales el primero habló en estos términos: ,, Señor: vuestra M. N. y L. ciudad de Toro, una de las primeras de voto en Cortes, donde las celebraron los augusros predecesores de "Vi Al., y fueron promulgadas las sabias leyes, que con el título de Toro…</t>
  </si>
  <si>
    <t>Liñan, Pascual</t>
  </si>
  <si>
    <t>Pascual Liñan</t>
  </si>
  <si>
    <t>…l mando del General Morillo.) Para la segunda expedición, ,14. Truxillo, 15. Orense, 16. Zaragoza, 17. Chinchilla, 18. Ponteve dra, 19. Cantabria. ( Al mando del Mariscal de Campo D. Pascual Liñan.) . Ordfn que debe seguir para los que se nombren en lo sucesivo, 20. i.° de Navarra (destinado á Lima) , 21. Ronda, 22. Granaderos del General de Andalucía, 23. 2.0 de Soria, 24. Castropol, 25. Laredo*, 26. Ordenes Militares (á Nueva-España en reemplazo de T…</t>
  </si>
  <si>
    <t>…de Castilla. (Al mando del Mariscal de Campo D. Pablo Morillo.) Para la segunda expedición. 5.0 Voluntarios de Santiago, 6.° Cazadores de Mallorca. (Almando del Mariscal de Catnpo D. Pascual Liñan.) Orden que debe seguir pzra los que se nombren en lo sucesivo. 7.0 Voluntarios de Rioja, 8.° i.° de Iberia, 9.0 Voluntarios de Gerona (á Nueva España en reemplazo de Voluntarios de Santiago), 10. i.° de Viz caya, 11. 3.0 de Tiradores de Cantabria, 12. t.° de…</t>
  </si>
  <si>
    <t>Linares, José García de</t>
  </si>
  <si>
    <t>José García de Linares</t>
  </si>
  <si>
    <t>…endente de la provincia de Puno, en la América, que vive en la carrera de S. Gerónimo, núm. 4, quarto principal, ó en Cádiz á D. Juan Antonio Uriarte, del comercio de ella. El Dr. D. José García de Linares, prebendado de la catedral de Tara zona de Aragón, dará noticia de un equipjrge que D. Manuel Zorrilla, teniente del regi miento de Teja, dexó en dicha ciudad en la precipitada retirada que hizo su cuerpo a fines de Noviembre de i3o8. Se desea tener noticL'.s…</t>
  </si>
  <si>
    <t>Lincopichum, Agustín</t>
  </si>
  <si>
    <t>Agustín Lincopichum</t>
  </si>
  <si>
    <t>…ncipal, aunque gentiles, algunos se dan nombres cris tianos, y los propios naturales tienen significación en su idioma: Villacura, que se titula D. José, quiere decir tejo de oroj D. Agustín Lincopichum, perdiz encopetada $ D. Pascual Antinaguel, tigre del sol; I&gt;. Manuel Ren gueantes, refiexos del sois D. Juan Naguelpanc, tigre y león; D. JoséNeculneri, carrera de zorra. Participo á V. S. esta importantísima ocur rencia para su satisfacción, y que el Exemo.…</t>
  </si>
  <si>
    <t>Lindsay</t>
  </si>
  <si>
    <t>…lón del 25.0, á las órdenes del mayor M’Donnelí», y por el 33.0 á las órdenes del teniente co ronel Eífinstone, y una carga pronta.á la bayoneta dada por el 78.°, diri gida por el coronel Lindsay * decidieron la acción mucho antes de lo que se esperaba , y camínenos pérdida- que se creía considerando lo fuerte de la po sición , El coronel M’Leod salió gravemente herido en un brazo al tiempo de acometer; pero siguió mandando la brigada hasta que cayó d…</t>
  </si>
  <si>
    <t>Liocer, José</t>
  </si>
  <si>
    <t>José Liocer</t>
  </si>
  <si>
    <t>Asimismo en este dia tuvo Ja honra de presentarse í S. M. D. José Liocer y de Codina , arcediano y canónigo de la santa iglesia catedral de Car- celona , con comisión de aquel cabildo eclesiástico para felicitar á S. M. por su regreso al trono y capital del reyno, y la cumplió en los términos si guientes : ,, Señor: en los primero…</t>
  </si>
  <si>
    <t>Liverpool</t>
  </si>
  <si>
    <t>…rían comisarios, que han firmado la capitulación, y mañana saldrá la guar nición francesa de la plaza.” (Siguen los elogios.) CAMARA DE LOS PARES. Sesión del martes jo de Mayo. El conde Liverpool comunica á ¡a Cámara el mensage siguiente del Príncipe Regente: Jorge Príncipe Regente: „Eí Príncipe Regente, en nombre y representación de S. M, habien do tenido en consideración las victorias 'señaladas conseguidas por el maris-</t>
  </si>
  <si>
    <t>…a electo el emperador de Austria para caballero de da misma órden, dispensándole las formalidades de instalación; y á continuación se leyó otro que declaraba electos caballeros al conde Liverpool y al vizconde Castlereagh: entraron ambos en la sala del capítulo, y recibieron la investidura— Leyó el canciller otro estatuto, que declaraba no habría elección alguna de subditos, á no ser de sangre real, hasta que hubiese alguna vacante, pues d número de c…</t>
  </si>
  <si>
    <t>Lizarzaburu, Jo.ié María</t>
  </si>
  <si>
    <t>Jo.ié María Lizarzaburu</t>
  </si>
  <si>
    <t>…e milicias urbanas de ca ballería de Truxillo compañía al teniente D. Fermín Matos: empleo de al férez al cadete D. Francisco Rodríguez Osorio; y de portaestandartes á los cadetes D. Jo.ié María Lizarzaburu* D. Manuel María Muñoz y al soldado distinguido D. José Francisco de Leca. En ei de Luya y Chillaos el empleo de coronel al sargento mayor del propio cuerpo D. Mariano Rodríguez. En el de León* de Huanuco empleos de portaestandarte á D. José Isi dro Baldizan…</t>
  </si>
  <si>
    <t>Llamas, Sancho de</t>
  </si>
  <si>
    <t>Sancho de Llamas</t>
  </si>
  <si>
    <t>…onsejo Supremo de Hacien da y dicho Tribunal de Contaduría mayor en consecuencia del Real De creto de esta fecha. Ministros Togados. D. Josef Perez Caballero; D. Josef de Ibarra ; D. Sancho de Llamas;D. Pedro Nicolás del Aballe; O. Tadeo Segundo Gómez; D. Antonio Al calá Galiano; D. Jayme Aivarez de Mendieta,y D. Juan Antonia Fernan dez de Quesada. Ministros de Capa y Espada■. D. Pantalecn de Beramendi; Conde de Lereua; D. Víctor Rascón .Cor nejo, Contado…</t>
  </si>
  <si>
    <t>Llano</t>
  </si>
  <si>
    <t>…Veracruz se le esperaba para el 20 del mismo. Se cree que asciende á quatro millones la cantidad que en él v ndrá—-Las mismas cartas hablan de segunda vi- toria conseguida por el Sr. Llano contra los rebeldes Morelos y Matamoros reunidos: la pérdida de estos pasó de 700 hombres muertos y otros tantos prisioneros, entre elh s el citado Matamoros, y otros 15 ó 20 coroneles y tenientes coroneles, que serian castigados inmediatamente. ARTICULO DE ©…</t>
  </si>
  <si>
    <t>…os conl Matamoros,1 clérigo me xicano^ y de la mayor Erna en la guerra., disciplina y orden, y én quien tenían los rebeldes su mayor confianza ; pero acometidos segunda vez por el Sr. Llano los derrotó completamente; matándoles más de 700 hombres, entre ellos 20 cl¡érico,s y,fray les:, y haciendo otros 700 prisioneros, en cuyo numero se cuenta al expresado-Matamoros,, con 150 20 coroneles y tenientes coroneles, á quienes iba á pasar por las arma…</t>
  </si>
  <si>
    <t>Llano, Ciríaco de</t>
  </si>
  <si>
    <t>Ciríaco de Llano</t>
  </si>
  <si>
    <t>…egocijo público se manifestó igualmente en la noche de este dia con una iluminación universal como no se há visto en el espacio de 2 f años. ESPAÑA. Mtxicó 22 de Enero. Partes del brigadier D. Ciríaco de Llano, comandante geñera f del exírcito del norte, respectivos d la acción de VallaUolid, que se publico en m la gaceta del ist de este mes. 1.® Excino. Sr.: en el parte abreviado que con esta fecha doy áY. E.</t>
  </si>
  <si>
    <t>…era tiempo de poder de cir los motivos que habian dado lugar á 1.a recusación de Us ofertas hechas por la Suecia* ESPAÑA. México 22 de Enero. SEGUNDA DERROTA DE MORELOS. Parte del comandante D. Ciríaco de Llano al Excmo. Sr. tirey. Excmo. Sr.: en mi último oficio, á mi salida de Valladolid, dixe á</t>
  </si>
  <si>
    <t>…persiguió ai enemigo, y \á infantería quedó cubriendo ios puntos de ella el 25 » y á mí se me dio el mando de la infantería de todos los cuerpos que compone el exército del señor brigadier D. Ciríaco de Llano, con (a que avancé hasta cerca de Atécuaro, á retaguardia de la caballería que iba al mando del señor coronel D. Agustín de Iturbide, y me retiré de este punto quando se me díó orden para ello * sin haber ocurrido novedad. Dios guarde á V. E. muchos años. Val…</t>
  </si>
  <si>
    <t>…nir al comandante general D. José de la Cruz que las reúna, abandonando puntos menos intere santes , y haga un nuevo esfuerzo sobre la isla que tienen fortificada, mientras que el brigadier D. Ciríaco de Llano, que manda el exército del Norte, se ocupa en batir las reuniones que existen entre la misma provincia y las de Vallado]id y Guanaxuato.__No ocurre ninguna otra novedad que merezca atención en todas las demás pro vincias del vireynato, cuyos gefes trabajan co…</t>
  </si>
  <si>
    <t>Llano, Joaquín' Queypo de</t>
  </si>
  <si>
    <t>Joaquín' Queypo de Llano</t>
  </si>
  <si>
    <t>2270 El Rey se ha servido nombrar para la dignidad de arcediano de Cea, y canongía vacante en la iglesia de León por fallecimiento de D. Joaquín' Queypo de Llano, á D. Pedro Alv^rez Cabañero, con dimisión del arce-, dianato de Vi i la viciosa, y caiióñgía que obtiene en la catedral de Oviedot para ia dignidad de m íestreseuela de la catedral"de Vatladolid, va-í e nte por haber obtenido lavcanóngía doctoral de la^prirt…</t>
  </si>
  <si>
    <t>Llanos, Francisco de</t>
  </si>
  <si>
    <t>Francisco de Llanos</t>
  </si>
  <si>
    <t>…eedoras por qualquier título ó catira a los bienes concursados del capkan retirado D. Manuel Cano y Doña María Francisca Fernandez Justinhno, su difunta consorte, viuda que era de D. Francisco de Llanos y'S. Gines, conde de Torre-Alegre, para que por sí ó por sus representantes comparezcan con los documentos justificativos en la junta general de acreedores que se ha de celebrar él 24 del presente mes de Marzo ante el auditor de euerra de aquella provincia, p…</t>
  </si>
  <si>
    <t>Llasei</t>
  </si>
  <si>
    <t>…; pero-al ver la decisión y denuedo» con- que nuestras- tropas la emprendían » tomó por mejor partido retirarse cotí la mayor precipitación y atropeüamientot. ‘ Desde entonces elí coronel Llasei—</t>
  </si>
  <si>
    <t>Llaud.er, Manuel</t>
  </si>
  <si>
    <t>Manuel Llaud.er</t>
  </si>
  <si>
    <t>…la di visión francesa que manda el general Mesclop había llegado- á Olor» salió inmediatamente de A me r la segunda- brigada de la segunda división, ai mando de su digno gefe el. coronel D. Manuel Llaud.er, y ayer mañana á las 7 y media » después de haber forzado extraordináíiarhentíe fa marcha al traVéVde 'lá'copiosa nieve, dé- que todo el público es btlen testigo-» llegaron/ ■núéstrós’ fuertes soldados á la entrada de la villa-: dé Oldt» guando ía Fera— ’guar…</t>
  </si>
  <si>
    <t>Llauder</t>
  </si>
  <si>
    <t>…raber podido lograr jamas empeñar á los franceses en acción, siéndole imposibles ios movimientos de flanco por, las copiosas nieves de que están cubiertos los montes. El expresado coronel Llauder hace mil elogios del sufrimiento, robustez y ardor marcial que han acreditado las tropas de su mando en tan penosa marcha; y el Excmo. Sr. general en gefe manda se manilieste al exército y pueblo español para su sa tisfacción y la de los interesados los incan…</t>
  </si>
  <si>
    <t>…alla. .w . En la orilla derecha del mismo rio se hallaba formada en línea la segun da brigada de hrsegunda división con un esquadron de húsares de Cataluña, á las órdenes todo del coronel Llauder, encargado por S. E. para recibir á S. Á.; á cuyo efecto el expresado coronel Llauder, acompañado del gefe de estado mayor de su brigada el ayudante Massanés, pasó el.rió,, y tuvo el ho nor de saludar á S. A. en nombre dei Excmo. Sr. general en gefe y primer…</t>
  </si>
  <si>
    <t>…r de Barcelona la guarnición enemiga, en donde entraron las tropas españolas, que fueron co locadas en la forma siguiente: La división Sarsfield guarnece la ciudad, la brigada del coronel Llauder el castillo de Monjuí, y la del coronel Manso la ciudadela. Bermso 31 de Mayo. Ayer, dias de nuestro idolatrado Monarca, en acción de gracias al To dopoderoso por ei suspiradísimo advenimiento de S. M. -al trono, se cantó un solemne Te Deum en la iglesia parr…</t>
  </si>
  <si>
    <t>Llauder, José</t>
  </si>
  <si>
    <t>José Llauder</t>
  </si>
  <si>
    <t>…Creagh de Lacy se apresura á hacer saber á un pueblo que tanta parte ha tenido en esta glo riosa lucha la noticia siguiente: Anoche pasó en posta por esta capital para la corte el coronel D. José Llauder, el que dexó una relación circunstanciada de la ocupación de la pla za de Barcelona por las tropas españolas. La plaza había sido evacuada por las tropas francesas en la noche del 28 al 29, y con el objeto de proporcio nar el Excmd^Sr. general en géfe y capit…</t>
  </si>
  <si>
    <t>Lledó, José</t>
  </si>
  <si>
    <t>José Lledó</t>
  </si>
  <si>
    <t>…esia, y dimisión del empleo de primer bibliotecario de aquella uni versidad: para una canongía de la iglesia catedral de Cartagena, vacante por muerte de D. Pascual de Churruca, á D. José Lledó, con calidad de que ha de servir sin sueldo la plaza de ministro del Consejo de Ordenes, pa ra que está nombrado; y para el medio pontifical de Coria, en el arzobis-</t>
  </si>
  <si>
    <t>Lléntiqué-García</t>
  </si>
  <si>
    <t>…$. M-. con igual objeto'uña diputación del ayuntamiento de la vi: ila' de/Arartda^dg* Duero', cíMñpuest-á' dé sü atoaldé’D. "José Pon ce de León, • del procurador síndico geneí^i ~D. Lléntiqué-García, y del regidor decano ID. José San Martin ; y habiendo tomado la vóz el primero, dixoí ■ . ' - , i Señor: la villa' dé A farda dé Duero hSr defendido vigorosamente dos sagrados derechos de V. M. en la lucha éoiitra el tirano de la Europa. Seis- cientos'árándi…</t>
  </si>
  <si>
    <t>Lleopart, Ramón Macia de</t>
  </si>
  <si>
    <t>Ramón Macia de Lleopart</t>
  </si>
  <si>
    <t>…z: para una plaza de oidor nacional del rtirmo consejo á D. Martin Xavier de Muzquiz : para otra también nacio nal á D. Juan Miguel de Echevarría: para otra de oidor no nacional á Don Ramón Macia de Lleopart: para otra á D. Santiago Suso y Anda: para una de alcalde nacional á D. Fermín Sanz y López: para otra á D. Manuel Arbizu: para otra á D. Pedro Lapuerta; y para otra no nacional á D. Map riano Rufino González; y para la fiscalía ae dicho consejo,á D. Juan Rar…</t>
  </si>
  <si>
    <t>Lló, S.</t>
  </si>
  <si>
    <t>S. Lló</t>
  </si>
  <si>
    <t>…doloroso tener que participarle que ha te-* nido la desgracia, aunque honrosa, de haber perecido en el cumplimiento de su deber, según observará V\ E . por la copia del parte del coronel S. Lló rente, que anuncia su sensible muerte. Las circunstancias que adornaban al brigadier Barco son bien notorias/,,no menos que lo es ahora el importante servicio que acaba de ofrecer át la jpatria; y supuesto que por el no puede ya * recibir de esta el condigno…</t>
  </si>
  <si>
    <t>Llobet, Ursula Valls y</t>
  </si>
  <si>
    <t>Ursula Valls y Llobet</t>
  </si>
  <si>
    <t>…alguna noticia de su paradero ó muerte se sirva comunicarlo en Madrid á D, Valentín Domingo, calle de la Concepción Gerónima, núm. 6, quarto principal, y en Barcelona á su hermana Doña Ursula Valls y Llobet. * ‘ - * EN LA IMPRENTA REAL.</t>
  </si>
  <si>
    <t>Llordella, Ramón</t>
  </si>
  <si>
    <t>Ramón Llordella</t>
  </si>
  <si>
    <t>…á los comisionados siguientes: En Avila............................ D: Manuel Palomares. En 'Ba&amp;tpz......1............ D. Cirios Sebaitian Malagamba. En Barcelona................* D. Ramón Llordella. En Burgos..................... D. Ramón Martínez Montaos. En Bilbao............. D. Francisco de la Mata: En Cádiz......... ..... D Beiiito de la Piedra. En Cart gena. D. francisco Cliyilles. En C'udad Real... ......... D Mateo Casao y Romero. En Córdoba ...…</t>
  </si>
  <si>
    <t>…comisionados siguientes: En Avila............................ D. Manuel Palomares. En Badajoz....................... D. Carlos Sebastian Malagamba. En Barcelona.................. D. Ramón Llordella. En Burgos.......................... D. Ramón Martínez Montaos. En Bilbao........................... D. Francisco de la Mata. En Cádiz........................... D. Benito de la Piedra. En Cartagena................... D. Francisco Clivilles. En Ciudad- Real..…</t>
  </si>
  <si>
    <t>…s: • t ■ i, j , ■ i ■ ¡ ■ • i En Avila.................... .... D. Manuel Palomares. En Badajoz^.....*.......... ;D. Cáríos Sebastian ^íalagamba» ¡ , En Barcelona..*...... ..... - D. Ramón Llordella. En Burgos...,...;.............. D. Ramón Martínez Montaos* En Bilbao.-........................ D. Francisco de la Mata. En Cádiz.................... . D. Benito de la Piedra. * *J$nCartagena:’V.»...B. Francisco Clivilles.1 En; Ciudad-Real.i*.".:..... D. Mate…</t>
  </si>
  <si>
    <t>Llórente, Benito</t>
  </si>
  <si>
    <t>Benito Llórente</t>
  </si>
  <si>
    <t>…oronel deí 2.0 de Asturias. D. Jos&amp;M^íía Noroa , sargento mayor de id. D. Diego Quirós, capitán de id. D. Tomas Pastoriza , teniente de id. D. Gumersindo Muros, subteniente de id. D. Benito Llórente, capitán del de Guadalaxara. D. Camilo Marquina, id. de id. D. Juan de Novoa, id. de id. D Francisco Vega, ayudante primero de id. D. José Guerra, subteniente de id. D. Eduardo Jdosqjuera, capitán de, fragata. Dora</t>
  </si>
  <si>
    <t>Llórente, Juan José S.</t>
  </si>
  <si>
    <t>Juan José S. Llórente</t>
  </si>
  <si>
    <t>…terey, nueve heridbs de e$te último, y cinco contusos de ambos res!«lientos. Parte del general Freyre. ,, Excmo. Sr : acompaño á V. E. una copia del parte que me acaba de pasar el coronel D. Juan José S. Llórente, noticiándome la rendición á nues tras tropas del fuérte de Laredo por capitulación , y demas ocurrencias mili tares que han tenido lugar en este suceso.----Con indecible alegría partici paría á V. E estos felices resultados, si no tuviese el debido sentimien…</t>
  </si>
  <si>
    <t>Llórente, Juan José San</t>
  </si>
  <si>
    <t>Juan José San Llórente</t>
  </si>
  <si>
    <t>3&lt;*3 Capitulación del fuerte dé Laredo, celebrada entre el coronel' de ios ejércitos nacionales D. Juan José San Llórente, comandante general de la segunda brigada de la quinta división del quarto exército, y del sitio de Santoña y Laredo, y el comandante del fuerte el capitán del 6.° de infan tería de línea italiana D. Nicolás Ceronilos, que autorizaron para el efecto, el prime…</t>
  </si>
  <si>
    <t>Llórente, S.</t>
  </si>
  <si>
    <t>S. Llórente</t>
  </si>
  <si>
    <t>…Recomiendo á V. E. eficazmente á este benemérito gefe, no menos que la constancia y bu*en comportamiento de las tropas del bloqueo y sus dignos oficiales, contandó' entre estos al coronel S. Llórente, á los ayudantes de estado mayor Don Juan Doz y D. José Bermudez, y al capitán D. José Toyos, que han contribuido eficazmente al buen éxito de la empresa, en quanto lo han per mitido sus fuerzas y buenos deseos.__ Pasaré á V. E.tan luego como io reciba el avi…</t>
  </si>
  <si>
    <t>Lloret, Vicente</t>
  </si>
  <si>
    <t>Vicente Lloret</t>
  </si>
  <si>
    <t>…. Manuel de Roa para otra de la misma iglesia, vacante por fa llecimiento de D. Francisco María Vich; y para otra canongía de la metro politana de Valencia , vacante por muerte de D. Vicente Lloret, á D. Fran cisco Guinierá, canónigo de ia catedral de Segorve. El Rey se ha servido conceder los honores de intendente de exércíto á D. Buenaventura y D. Juan Jo&lt;é Marcó del Pont, que tenían los de pro vincia, en atención á los interesantes servicios que han…</t>
  </si>
  <si>
    <t>Lngigo, Juan</t>
  </si>
  <si>
    <t>Juan Lngigo</t>
  </si>
  <si>
    <t>…omisión compuesta de su decano el Lie. D. José Sánchez Cueto, y de sus individuos el Sr. D. Manuel de Torres Cónsul, fiscal mas antiguo del consejo y cámara de Castilla, y el Lie. D. Juan Lngigo, por indisposición dei Lict D. Vicente Pedrosa, relator del mismo con sejo; el primero de los quales arengó á S, M. diciendo: „ Señor: el colegio de Abogados de la capital del principado de Asturias, primer patrimonio vuestro, y punto de donde en todos tiempo…</t>
  </si>
  <si>
    <t>Ló, Antonio</t>
  </si>
  <si>
    <t>Antonio Ló</t>
  </si>
  <si>
    <t>…ntados desde el 4 de este mes, com parezcan por sí, ó por medio de sus apoderados con poder bastante, á usar de sti derecho ante dicho señor juez y por la escribanía del número de D. Antonio Ló pez de Saiazar;con apercibimiento que pasado $ia haberlo hecho les parará el per-</t>
  </si>
  <si>
    <t>Ló, Eduardo</t>
  </si>
  <si>
    <t>Eduardo Ló</t>
  </si>
  <si>
    <t>…el de Castilla fixo de Campeche sargento mayor al capitán graduado de teniente coronel D. Jt sé Rafael Carabeo; capitán de granaderos á D. Angel de Tozo; teniente de granaderos á D. Eduardo Ló pez ; idem de fusileros D. Laureano Muñoz, D. Luis de Castro y D. José Orruyrinez; subteniente de granaderos i D. Juan Nepomuceno Lavalle, y subtenientes de bandera á D. Pedro Benitez y D. Francisco Calderón. En el de infantería de Valdivia sargento mayor á D…</t>
  </si>
  <si>
    <t>Ló, Juan José</t>
  </si>
  <si>
    <t>Juan José Ló</t>
  </si>
  <si>
    <t>…M.‘ y AA. el ilustre abad de la iglesia colegial de Medinaceli Dr. D. Joaquin María deElizondo; Dr. D. Francisco Domingo Fer ro, dignidad de arcipreste de la misma, y el canónigo D. Juan José Ló pez , y después de besar la mano á S. M., el primero le dirigió el discurso siguiente: • „ Señor: el abad y cabildo colegial de Medinaceli ofrecen á V. M. to dos los homenages de su respeto, fidelidad y obediencia; y al mismo tiem po felicitan á V. M. y A A.…</t>
  </si>
  <si>
    <t>Loberdó</t>
  </si>
  <si>
    <t>…á las ; Órdenes dei general, Loberdó. Articulo i.° El límite entre el territorio ocupado por los exércitos alia do^, y el que ocupará la guarnición de Montauban á las órdenes del general Loberdó, seguirá la orilla derecha,del Tarn desde el límite del depart.men tó del Tarn y Garona por inas arriba de Villeba smier hasta el confluente* del Tarn con el Garona. La guarnición de Montauban ocupará sobre ia orilla izquierda del Tarn un círculo de terreno,…</t>
  </si>
  <si>
    <t>4?» de 1814. = El general Loberdó. = Ráberto Dundas, teniente coro Del. = Es copia del orgiriafsr Miguel de Alava. Deseosos SS. EE. el mariscal duque de Dalmacia*, comandante en g.efe; del exército de España y de los Pirineos, eiSr. duque de la Albufera, coman dante del exército de Aragón, y…</t>
  </si>
  <si>
    <t>Lobo, Francisco de Paula</t>
  </si>
  <si>
    <t>Francisco de Paula Lobo</t>
  </si>
  <si>
    <t>…órgano de sus diputados.1’ El dia 4 del mismo fué igualmente admitida á cumplimentar á S. M. otra diputación del cabildo de la santa iglesia de Plasencia, que componiáñ los Sres. D. Francisco de Paula Lobo, arcediano titular y canónigo penitencia rio, y D. Lorenzo igual dé Soria; el primero de los quales dixo: „ Señor: el justo homenage que el cabildo de la santa iglesia de Plaseneia tributa á V. M. es hijo de sus deseos y de las oraciones dirigidas al Dios de…</t>
  </si>
  <si>
    <t>Loive</t>
  </si>
  <si>
    <t>…’ cales de varios departamentos, y continuaron su marcha hacia el exército. GRAN BRETAÑ A. Londres $ de Marzo. \ SECRETARIA DE NEGOCIOS EXTRANGEkOS. Continuación de los partes del coronel Loive. . » El feld-mariscal Blucher tuvo, que sostener otra acción, obstinadísi ma, cpnti^a una tuerza muy superior del enemigo , mandad* por Bonaparte ef, persona.;i. ^ ,t Después d,e haber arrojado al mariscal M^rmou.t de 1a posición de Etoges el día 13, supo que…</t>
  </si>
  <si>
    <t>…as plazas de Frederickshall* Kohigswinger, Fredefickstadt y Aggerhuus. _ Fecho &amp;c.” GRAN BRETAÑA. JLÓndres8deMarzo, r SECRETARIA t)E NEGOCIOS EXTRANGEROS. Concluyen los partes del coronel Loive, 12. *,En mi oficio del participé á V. la retirada del mariscal Marmont de Sezanne, á quien persiguió este exército con intención de irle á los alcances el dia siguiente hasta Feité- Gaucher. Al llegar á este pueblo supo</t>
  </si>
  <si>
    <t>Lom, Francisco Miguel</t>
  </si>
  <si>
    <t>Francisco Miguel Lom</t>
  </si>
  <si>
    <t>…ferido dia 27 besaron también !a mano y cumplimentaron á S. M. y Sres. Infantes, á nombre de la villa de los Arcos, el Dr. D. Manuel Jo sé Lombardo, D. José Gerónimo EIso, el Líe. D. Francisco Miguel Lom bardo y el Dr. D. Fausto Galdiano; el primero de los quales arengó á S. M. en los términos siguientes: ,,Señor: la villa de los Arcos en vuestro reyno de Navarra, y su heroyco vecindario, representado en sus quatro diputados, que tienen el ho nor de ser admit…</t>
  </si>
  <si>
    <t>Lombera, Gerónimo</t>
  </si>
  <si>
    <t>Gerónimo Lombera</t>
  </si>
  <si>
    <t>…idad y tropa se comportaron de una manera qual se podía esperar de los gefes de ambos cuerpos, y del acreditado valor de sus tropas; asi como el coro nel del regimiento número 2.0 D. Gerónimo Lombera, que herido de una bala de fusil en la pierna, permaneció á mi lado recomendando á gritos á los soldados el cumplimiento de su deber, hasta quede mandé retirarse á curar. Por el notorio mérito contraído en esta batalla por los brigadieres Ra mírez y Picoaga,…</t>
  </si>
  <si>
    <t>Londoño, Diego</t>
  </si>
  <si>
    <t>Diego Londoño</t>
  </si>
  <si>
    <t>…rla escribaníaudel número que exeres D. Juan Rara. D. Francisco y D. Antonio García Mayor de Londoño, hermanos de D. Vi cente García Mayor de Londoño, é hijos que parece Fueron de D. Diego Londoño y de Dona Bernarda Matías de los Reyes, ?us hijos ó descendi entes legítimos lla mados á la sucesión del vinculó vacante ppr muerte de Doña María de los Dolores García M»yor dp Londono, á efecto de acreditar los derechos que á dicho vínculo puedan co'réspond:…</t>
  </si>
  <si>
    <t>López, Antonio</t>
  </si>
  <si>
    <t>Antonio López</t>
  </si>
  <si>
    <t>8ó8 La tropa que concurrió á la acción se componía de un piquete del bata llón de Guanaxuato, al mando del teniente D. Antonio López y cadete Don Joaquin Miranda, la compañía de infantería de Puebla al del alférez D. Mi guel Calderón, 40 dragones de Ayacapistla y Janacate al del capitán D. Six to Manso y teniente D. Pedro Dávalos, igual número de Izucar y Chetla al del teniente D. Mariano…</t>
  </si>
  <si>
    <t>López, Eloy</t>
  </si>
  <si>
    <t>Eloy López</t>
  </si>
  <si>
    <t>…8.° regimiento ha consistido en-2 5 muertos, inclusos quátro artilleros; •y en 23 heridos, entre ios que se hallan los subtenientes D. Adriano &amp;ar-_ deta, de la quinta compañía,:y D. Eloy López, de la sexta, con tres a'rti-* ileros; pudiendo asegurar a V. S. que todos ios señores oficiales y soldados han desempeñado sus respectivas obligaciones Á mi satisfacción, y que tos ayudantes de V. S. D. Juan Ignacio Noain, D. Juan Estéban Alemán y D. Martin…</t>
  </si>
  <si>
    <t>López, Fermín Sanz y</t>
  </si>
  <si>
    <t>Fermín Sanz y López</t>
  </si>
  <si>
    <t>…también nacio nal á D. Juan Miguel de Echevarría: para otra de oidor no nacional á Don Ramón Macia de Lleopart: para otra á D. Santiago Suso y Anda: para una de alcalde nacional á D. Fermín Sanz y López: para otra á D. Manuel Arbizu: para otra á D. Pedro Lapuerta; y para otra no nacional á D. Map riano Rufino González; y para la fiscalía ae dicho consejo,á D. Juan Rar mon de Matute; y para una de ministro togado en la Cámara de Comptos á D. Joaquín Eiio y Ja…</t>
  </si>
  <si>
    <t>López, Francisco</t>
  </si>
  <si>
    <t>Francisco López</t>
  </si>
  <si>
    <t>…ria, soldado de la artillería del Empecinado, que cayó prisione ro en Valencia. El que tuviese alguna noticia se servirá darla en la librería de Vi lla , plazuela de Sto. Domingo. D. Francisco López y su muger Doña Joaquina Perez, vecinos de Rivadeo, obispado de Mondoñedo , $n el reyno de Galicia, enviaron al exércíto á solicitar plaza de cadete á su hijo D. Manuel, el qual después de haber perdido su equipage en la.retirada de Tama mes, se distinguió, y…</t>
  </si>
  <si>
    <t>López, Francisco Ibañez</t>
  </si>
  <si>
    <t>Francisco Ibañez López</t>
  </si>
  <si>
    <t>…ceses no se ha tenido noticia. Se suplica, pues, á los gefes militares que sepan de ¿I ó de su muerte, lo avisen en Cádiz á.su madre Doña Francisca López de Ibañez, ó á su hermano D. Francisco Ibañez López. Se hallan vacantes las plazas de maestro y maestra de niños y niñas de la vi lia de B riones, en Rioja: la primera tiene de dotación 400 ducados anuales, libres de toda imposición, con exoneración de pagas de médico, cirujano, boticario y demis cargas conceg…</t>
  </si>
  <si>
    <t>López, José Antonio</t>
  </si>
  <si>
    <t>José Antonio López</t>
  </si>
  <si>
    <t>…e la santa iglesia de Ciudad Real, y D. Fernando Antonio Dávila, diputados por la provincia de Chtapa, D. Florencio Castillo, presbítero, diputado por la pro vincia de Costa-Rica, D. José Antonio López de la Plata, diputado por la provincia de Nicaragua, y D. Francisco Morejon y D. Santiago Milla, di putados por la provincia ae Honduras; y el primero arengó á S. M. en los términos siguientes : „Señor: los diputados del reyno de Goatemala tenemos el honor de…</t>
  </si>
  <si>
    <t>López, José Calvo y</t>
  </si>
  <si>
    <t>José Calvo y López</t>
  </si>
  <si>
    <t>…Juan Perez, natural de Ribera del Miño, que falleció en la Concepción de Chile; é igualmente el de Don Manuel Visuada y de Dona Isabel Padilla. Los interesados podrán dirigirse á Don José Calvo y López, del comercio de Cádiz, calle del Sacramento, tienda baxo de la torre de Tavira. Los cosacos en París. Juego de la óptica del mund®, que el maquinista filósofo ofrece al mayor desengaño del presente y de los venideros siglos. Se hallará á 3 rs. en les librerí…</t>
  </si>
  <si>
    <t>López, Juan Garrido</t>
  </si>
  <si>
    <t>Juan Garrido López</t>
  </si>
  <si>
    <t>…s quatro villas de Santander 4 vD. Vicente Quesada; y para el de Lérida á D. Francisco Fulgosio. Igualmente se ha servido nombrar S. M. par-a la regencia del consejo djs Navarra á D. Juan Garrido López: para una plaza de oidor nacional del rtirmo consejo á D. Martin Xavier de Muzquiz : para otra también nacio nal á D. Juan Miguel de Echevarría: para otra de oidor no nacional á Don Ramón Macia de Lleopart: para otra á D. Santiago Suso y Anda: para una de alc…</t>
  </si>
  <si>
    <t>López, Juan Manuel Gil</t>
  </si>
  <si>
    <t>Juan Manuel Gil López</t>
  </si>
  <si>
    <t>…el arzobispado de Toledo , vacante por muerte de D. Eugenio;Ló pez Soldado , á D. Saturnino Legaspi: para ia media prestamera de Baylen, vacante pór muerte de D. Mateó González, á D. Juan Manuel Gil López de lá°Mota: para el beneficio préstamo de Fuente el Rey, vacante por fa llecimiento de Di Antonio Rbfcó Cajoneé, y la media prestamera de Sabiote, vacante también por liaber muerto D. Juan Mesía, los dos en el obispa*dó dé'Jaén, y el préstamo de Viílace dé la…</t>
  </si>
  <si>
    <t>López, Lilis Gabaldofi y</t>
  </si>
  <si>
    <t>Lilis Gabaldofi y López</t>
  </si>
  <si>
    <t>…s del año, como en los anteriores al de 1808 ; y desde el 4- de Se tiembre hasta el 12 del mismo se celebrará la feria franca que acostumbra^ ba también haber. Por providencia del Sr. D. Lilis Gabaldofi y López, Teniente decorregidor de esta villa,.se ha mandado llevar á efecto lo acordado én junta celebrada- por'lq* interesados en la testamentaría formada por el óbito de Doña'María AntoVia ‘¿Je las Peñas, viuda de D. Ignacio Velez de Larrea y Adan; y siendo unb'Tté…</t>
  </si>
  <si>
    <t>López, Lorenzo Hernarz</t>
  </si>
  <si>
    <t>Lorenzo Hernarz López</t>
  </si>
  <si>
    <t>…re colegio de abogados de esta corte , representado por su decano D. Luis Gabaldon y López, el diputado D. José María Ocharan, el maestro de ceremonias De n Julián Iturralde, y el secretario D. Lorenzo Hernarz López; que apadrina dos por el Excmo. Sr. marques de Vülanueva de Duero, conde de Vi iariezo, tuvieron la honra de besar ia mano á S. M. y AA.; con cuyo moti vo pronunció el decano el adjunto discurso: ,, Señor: el colegió de abogados de Madrid , representado por s…</t>
  </si>
  <si>
    <t>López, Luis Gabaldon y</t>
  </si>
  <si>
    <t>Luis Gabaldon y López</t>
  </si>
  <si>
    <t>…honor de ser el órgano para expresar sus sentimientos.” En este mismo dia se presentó igualmente á S. M. el ilustre colegio de abogados de esta corte , representado por su decano D. Luis Gabaldon y López, el diputado D. José María Ocharan, el maestro de ceremonias De n Julián Iturralde, y el secretario D. Lorenzo Hernarz López; que apadrina dos por el Excmo. Sr. marques de Vülanueva de Duero, conde de Vi iariezo, tuvieron la honra de besar ia mano á S. M. y A…</t>
  </si>
  <si>
    <t>…irva interinamente el de Avila á D. Manuel de Toro: para el de Logroño á Don José Perez de Rozas: para tenientes de corregidor de Madrid á D. Manuel de Gamboa, D. Francisco Assin, D. Luis Gabaldon y López, D. León de la Cámara y D. Joaquín Almazan: para la vara de Burgos á D. Prudencio Fernandez de la Pelilla : para el corregimiento de Molina de Aragón á Don Francisco Estéban y Ranz: para la vara de Osuna á D. Juan Antonio Del gado: para la de Don Benito á D*…</t>
  </si>
  <si>
    <t>López, Manuel Berríardino Perez y</t>
  </si>
  <si>
    <t>Manuel Berríardino Perez y López</t>
  </si>
  <si>
    <t>…ara el corregimiento de Lerma á D. Pedro Tagle Velarde: para el de -orea á D. José Guillen de Toledo: para el de Alcaudete á D. Zacaríasf Romero: para la vara segunda de Córdoba á D. Manuel Berríardino Perez y López: para la de León á D. Juan.de la Peña Medrano: para la de Sala manca á D. Vicente Calvo: para el corregimiento de G.uadix á í&gt;. Agamia Tosamos y Labrada: para el de Cuenca á B* Dionisio Gatalan; para el de Talavera de la Rey na á D. Agustín de Quadros: par í…</t>
  </si>
  <si>
    <t>López, Mariano</t>
  </si>
  <si>
    <t>Mariano López</t>
  </si>
  <si>
    <t>…e fusileros D. Lope de Mesa; á capitán de fusileros al primer teniente D. Ignacio de Lardizabal; á pri mer ayudante mayor al segundo D. Ramón de Melgarejo; á primeros te nientes á D. Mariano López, de cazadores; y de fusileros á D. Manuel Menendez Vaídes, D. Pedro Zuíoaga y D. José González de Ribera; á segundo ayudante mayor á D. Antonio Romero; á segundos tenientes á D. José Joaquín de la Mata, de granaderos, al conde de Torrejon de ca zadores, y de…</t>
  </si>
  <si>
    <t>López, Pablo</t>
  </si>
  <si>
    <t>Pablo López</t>
  </si>
  <si>
    <t>…D. Francisco Ferrer, D. Juan Puig, D. Inocente Mercadillo, D. Francisco Zarracina, D. Francisco Trovano, y á los soldados del f.° regimiento de la propia arma í). Joaquín; Irizar, D. Pablo López, D. Pedro Pagóla, D. Pedro Larrumbé y D. Ca yetano Ortega, en atención á su constante aplicación al estudio , aprove chamiento y buena conducta. Se avisa al público que el lunes 8 de este mes á las 10 de su mañana en la cata del ayuntamiento de la ciudad de P…</t>
  </si>
  <si>
    <t>López, Pedro Artalejo</t>
  </si>
  <si>
    <t>Pedro Artalejo López</t>
  </si>
  <si>
    <t>…Antonio Elola, ha tenido á bien conferirle en propiedad la intendencia de la provin cia de Murcia. Y en atención al mérito y dilatados servicios del cemisario" ordenador honorario D. Pedro Artalejo López, tesorero que fue de exército de Va lencia , le ha conferido la contaduría del mismo. En el real cuerpo de Guardias Españolas se ha servido la Regencia del Reyno promover á capitán de cazadores al de fusileros D. Lope de Mesa; á capitán de fusileros al primer…</t>
  </si>
  <si>
    <t>López, Valentín</t>
  </si>
  <si>
    <t>Valentín López</t>
  </si>
  <si>
    <t>…de su paradero , ss suplica al que supiese si vive ó es muerto dé razón de él en la. corte á Doña Rosa de Ubago, plazuela del Angel, núm. 25, casa de Roca, 26.y 27.; en Bíirgós á Don Valentín López, calle de S. Nicolás, nún. 6, y eh Santander á D, Atanasio José de Aguayo, contador del .crepito público». ; s \ En vi/tud de despacho requisitorio librado por el Sr. marques de Qitintanar, conde de Santibafiez , corregidor intcrijip de la ciudad de Scgo^via^…</t>
  </si>
  <si>
    <t>López, Vicente Gervasio</t>
  </si>
  <si>
    <t>Vicente Gervasio López</t>
  </si>
  <si>
    <t>…e otras corporaciones y ayunta mientos de los pueblos dé aquélla circunferencia á rendir el debido homenage á S. Ai., que continuaría su viage al dia siguiente. Por el juzgado dél señor Vicente Gervasio López, Segundo alcalde constitu cional de.la villa de Chinchón, provincia de Madrid, y escribanía del nútnero de D. Pedro Fominaya, se siguén'autos de ocurrencia de acreedores á los bienes que en la misma posee eí Dr;:D. Jbsé María de Revilíá; capellán mayor del ca…</t>
  </si>
  <si>
    <t>Por el juzgado del Sr. Vicente Gervasio López, alcalde segundo constitucional efe la villa de Chinchón, y escribanía del número que exerce D. Pedro Ortiz de Zarate, hay autos pendientes por haber hallad® muerta violentamente á María Váz quez, conocida por la Andaluza, con residencia en Aranjuez. La perso…</t>
  </si>
  <si>
    <t>Loren</t>
  </si>
  <si>
    <t>…hos pedazos, y otros se han echado menos. No se sabe si los que faltan los quemaron ó se los llevaron; y por si alguno tuviese noticia de ellos , se servirá comunicarlo á su dueño Doña Loren za Atienza á.Tarazona déla Mancha. Los vales corresponden á los números siguien tes: uno de 600 pesos , de iS da setiembre dé 809 , núm. 3563 : otro de 600 id. de, 1/ de enero dé 808, núm/37173^ ; y otros dos de i$o pisos, de id. idr, números 251385 y «641^5.…</t>
  </si>
  <si>
    <t>á temen tés*ide frágil t‘á{iV íos alféreces de navio D. Juan de A zas, D. Loren zo Villegas, D. Josef Pumarejo y I). Carlos Calafat, y á alféreces de na¿vío á íos de fragata D. Alexandro Pusa , D. Antonió Fermín Sollozo, Don Román Ayala , D. Rafael Martínez, D. Juan Moreno, D. Francisco Cha morro ,D. Joaq'Difi'Argiiel les y D. Miguel Ord…</t>
  </si>
  <si>
    <t>Lorenzo</t>
  </si>
  <si>
    <t>…presentarse, cumplimentar y be sar la mano á S. M. y AA. una diputación del ayuntamiento de la ciudad de Alcalá de Henares, compuesta de los Sres. D. José Antonio Rayón, al calde; D. Lorenzo de la Torre, regidor; D. Fernando Sabugo, procurador síndico , y D. Esteban -Azaña , escribano, en cuya ocasión el primero pro nunció «^discurso siguiente; t ... k &gt;</t>
  </si>
  <si>
    <t>…mplimentar á S. M. otra diputación del cabildo de la santa iglesia de Plasencia, que componiáñ los Sres. D. Francisco de Paula Lobo, arcediano titular y canónigo penitencia rio, y D. Lorenzo igual dé Soria; el primero de los quales dixo: „ Señor: el justo homenage que el cabildo de la santa iglesia de Plaseneia tributa á V. M. es hijo de sus deseos y de las oraciones dirigidas al Dios de la paz. ,, La piedad de V. M., tan recomendable por el sinc…</t>
  </si>
  <si>
    <t>Losada, Jacinto Antonio de</t>
  </si>
  <si>
    <t>Jacinto Antonio de Losada</t>
  </si>
  <si>
    <t>…y Cevallos, á-Don Angel Füerté’S , canónigo doctoral de la misma catedral, y ministro del con sejo délas Ordenes: para la^dé tesorero de la mi^ma iglesia, vacante por fiiuérte:dé'D. Jacinto Antonio de Losada, á D. Tomas de BasagoitL, raciéfcére má^atfitigitó deella: pfrra unacanongía dé la propia iglesia catedral,</t>
  </si>
  <si>
    <t>Losada, Ramón de</t>
  </si>
  <si>
    <t>Ramón de Losada</t>
  </si>
  <si>
    <t>…do muchas salvas de artillería con motivo ce la venida de Luis xvm al trono de Francia. El lunes ultimo pasó por esta en posta el gefe segundo del estado mayor del quarto exército D. Ramón de Losada, acompañado de uno de los edecanes del general Freyre, quienes van á la corte á cumplimentar á S. M. en nombre del quarto exército. Es continuo é incesante el paso de prisioneros españoles que entran en España por este pun to. Llegan partidas de y 1400 hombre…</t>
  </si>
  <si>
    <t>Lotee</t>
  </si>
  <si>
    <t>…a paz gloriosa ó perderé la vida.”__ A poco rato fue preso Mr. Lainé, dipu tado por Burdeos, su patria. Idem 8.. SECRETARIA DE NEGOCIOS EXTRANGÉROS. Continuación de los parles del coronel Lotee. , 8.° Este, exército mudó de dirección á consecuencia de avisos recibidos del exército grande, y habiéndose reunido todo él, vivaqueó anoche en el pueblo dé Somroesous. Hoy descansa en Arcis del Aube, y probablemente se encaminará mañana á Mery, donde puede…</t>
  </si>
  <si>
    <t>Loustáu, José</t>
  </si>
  <si>
    <t>José Loustáu</t>
  </si>
  <si>
    <t>…perculae musae heyoycum Hj^paniae. vindieem demir$njj$ Joetus arte quiejem rudis^sed amore politus. irChant d’ailégresse &gt;ur U libcite et Fheureux retour du meilleur des Rois: por D. José Loustáu , . presbítero. Se hallarán en la librería de Perez, calle de las Carretas. Vicios de la contribución directa decretada por las Cortes extraordinarias -.obra escrita y publicada en el mes de Marzo último por el capellán de honor de S. M. D. José Duaso, .diput…</t>
  </si>
  <si>
    <t>Lowe</t>
  </si>
  <si>
    <t>…e Brienne á 2 de Febrero. Tengo la satisfacción de remitir á V. E. una relación de la batalla de LaRothiere mas exacta que si me hubiese hallado yo mismo en el campo. El parte del coronel Lowe es tan puntual y satisfactorio, por haberse hallado este oficial en la vanguardia del general Blucher, que hay muy pocas circunstan cias en los demás partes oficiales de que no haga mención el coronel Lowe. Si el mariscal Blucher no se hubiese inmortalizado m…</t>
  </si>
  <si>
    <t>2 24 . '* Parte militar del coronel Lowe t que se cita en el oficio anterior. M¡ parte de anoche habrá informado á V. E. de los preparativos hechos por los dos exércitos para una batalla general en este dia. Teniendo los so beranos aliados y los comandantes de los exércitos entera confianza en el fe…</t>
  </si>
  <si>
    <t>…Boletín oficial. Mr. Robinson llegó esta mañana con pliegos, cuyo extracto es el si guiente: Sir C. Stewart, en un oficio fecho en Chatillon á 12 de éste mes, envía los partes del coronel Lowe sobre las operaciones anteriores del feld-mariscal Blucher hasta el día 12 inclusive. ,,E1 5 de este mes el general York aco metió á Chalons, que se rindió por capitulación, después de haberse reti rado el mariscal Macdonald con dirección á Meaux, llevando co…</t>
  </si>
  <si>
    <t>…on los oficios siguientes. Oficio de sir C.Stewart, su fecha en Chat ilion d 7 de Febrero de 18x4. ,, Milord : tengo la honra de remitir á V. E. varios partes que he recibi do del coronel Lowe acerca de las operaciones del exército del mariscal Blucher. ,, Quedo &amp;c. = C. Stewart. = Al vizconde Castlereagh.” i.° ,, Un ayudante de campo que acaba de llegar aquí , ha traído al feld mariscal Blucher las llaves de los pueblos de Chalons y Vitry con el á…</t>
  </si>
  <si>
    <t>Lowenstern</t>
  </si>
  <si>
    <t>…a su quartel general en Winsen desde el 22, ha bloqueado á Harburgo. No obstante la superioridad numérica de las tropas enemigas que pasa ron el Elba en Zollenspicker, el teniente coronel Lowenstern con sus tro pas, pertenecientes a] cuerpo del conde Woronzow, rechazó al enemigo, le mató 100 hombres, entre ellos dos oficiales, tomó dos cañones; é hizo mas de 40 prisioneros. El teniente Jacobson , del cuerpo del general Woronzow, atacó con 100 cosacos dos…</t>
  </si>
  <si>
    <t>Lowther</t>
  </si>
  <si>
    <t>…Sres. Terry y Peacock. La subscripción solo es de 30 guineas por cabeza para 200 cubiertos: lo que asciende á 6oo© rs.; pero los mayordomos han ofrecido suplir lo que falte. El 15 lord Lowther dio en Londres un gran almuerzo al general Platow y á otros varios extrangeros; en seguida les proporcionó la diversión de una lucha de pugilistas (2), en la qual lucieron toda su habilidad los céle bres Cribb y Moiineux. Idem t8. El lunes próximo está señala…</t>
  </si>
  <si>
    <t>Loyole</t>
  </si>
  <si>
    <t>…e manda la quin ta división, de los de la misma clase Robinson y Brádtord, del brigadier general Campbell, de los coroneles de Regoa y Greville, que mandan bri gadas, del teniente coronel Loyole, del regimiento 84..°, que fue desgracia damente muerto, de los de La misma clase Barnes., del Real, y Cameron, del 9.0, del capitán Ramsey, de la real artillería volante, del coronel Delancey, diputado quartelmaestre general, del teniente coronel Macdonald,…</t>
  </si>
  <si>
    <t>Lozano, Agu.tin</t>
  </si>
  <si>
    <t>Agu.tin Lozano</t>
  </si>
  <si>
    <t>…varas de alcalde mayor, de las villas de Fuente del Maestre á D. Leonardo Botella; de U.ciés á D. José Mari s de Eguizabal; de Manzanares á D. Félix González Vizcaíno; de Brozas á Don Agu.tin Lozano; de Ceclavin á D. José Potes y Puig; de Pedro Muñoz á D. León González del Camino y Estefanía; de la Mota del Cuervo á</t>
  </si>
  <si>
    <t>Lozano, Diego Alarcon</t>
  </si>
  <si>
    <t>Diego Alarcon Lozano</t>
  </si>
  <si>
    <t>…ha hecho S. M. El Rey nuestro Señor se ha servido expedir el real decreto siguiente: : „ En consideración al lastimoso estado de salud y avanzada edad en que se halla constituido D. Diego Alarcon Lozano, fiscal del tribunal de Cruza da , he venido en concederle la jubilación que de dicho empleo ha solicitado desde Murcia, con los honores que obtiene de alcalde de mi casa y corte, y ei sueldo que le corresponda con arreglo á la orden de 8 de Febrero de 18035…</t>
  </si>
  <si>
    <t>Lozano, Mariano</t>
  </si>
  <si>
    <t>Mariano Lozano</t>
  </si>
  <si>
    <t>…ge á L. R. P. de V. M. * En este mismo dia tuvieron también la honra de becar la mano á S. M. y cumj limei.tarie, e"&gt; representación del cabildo del arciprestazgo de Uce da„e] Dr. D. Mariano Lozano , cura de,Uceda ; el Dr. D. Miguel Temé de la Fuente, cura de Torirela'gúna, y el Lie. D. Ramón Alonso de Ortega, cu ra de y^ldepeñas de la Sierra; el primero de los quales arengó á S. M. en la forma siguiente: „ Señor: los párrocos de Uceda , Torrelaguna, y…</t>
  </si>
  <si>
    <t>Lpyeto, José</t>
  </si>
  <si>
    <t>José Lpyeto</t>
  </si>
  <si>
    <t>*m5 f Atendiendo el Rey nuestro, Señor al distinguida lealtad ,y. quantíosos donativos hechos á fyyor de ia patria,djqrapte es|a lucha, del teniente coronel D. José Lpyeto de,Torres, capitandel regimiento infantería de, Cu* ba, se ha servido conferirle grado de coronel., &lt; í. • : ±jl Siguiéndose por el juzgado del SK D. Ramón Quintero Gómez,* corregidor de la villa de Illescas, y escribanía del número de D. Salvador Fernandez d…</t>
  </si>
  <si>
    <t>Lr, Francisco</t>
  </si>
  <si>
    <t>Francisco Lr</t>
  </si>
  <si>
    <t>io8o miento de D. Francisco Lr&lt;ba, á D. Francisco Monsaíve: para una media ra ción de la iglesia catedral de Sto. Domingo de la Calzada, diócesis de Cala horra, vacante por muerte de D. Tomas González de Iturralde, á D. To mas de Simón Saez; y para una ración de la iglesia colegial de Briv…</t>
  </si>
  <si>
    <t>Lu</t>
  </si>
  <si>
    <t>…rique.; á subteniente de granaderos á D. Bernabé García Ábreu , y de cazadores á D. Salvador Hernández Abad; á subteniente de fusileros á D. Domingo Hernández Leal, y de bandera á D. Lu s Román y Franco y.,D. José González Arauz. Y á subtenientes en ei batallón de milicias urbanas de. la plaza de Alburquerque á D. Bruna del Pilar y D. Manuel María Salvadores. Por dimisión del gefe de esquadra de la armada nacional D. Francisco Xavier de Uria…</t>
  </si>
  <si>
    <t>…de,ser admitidos á cum plimentar y besar la mano á S. M. por la Real sociedad económica de Ami gos del país de Asturias los socios D. Nicolás Arguelles, ayuda de cámara de S. M.; D. Lu is de Meras, ayuda de cámara de S. M. y caballero de la Real y distinguida orden española de Carlos m, y D. Antonio de Oviedo y Portal, el que dixo: „Señor: al presentar al mas deseado de los Monarcas la Real sociedad económica de Amigos del país de Asturias…</t>
  </si>
  <si>
    <t>Lu, Luis Francisco de</t>
  </si>
  <si>
    <t>Luis Francisco de Lu</t>
  </si>
  <si>
    <t>…Iba Izóla. En S lamanea D. F rancisco de Zúñiga y Barbosa. En Santander. Vial é hijo. En Toledo....... D. Francisco Perez. En Valencia.... D. Manuel López Maestre. En Valtidolid. D. Luis Francisco de Lu¡s¿ En Zaragoza., El Barón de la Torre.' ; En Zamora...... D. Manuel de Umara. En Zmta........ D. Pedro Huguet. En la extracción de la primitiva lotería real, executada en la tarde de boy, han salido por el mismo orden con que aquí se anotadlos cinco nú meros…</t>
  </si>
  <si>
    <t>Luaces</t>
  </si>
  <si>
    <t>…e Chi le) la completa derrota del éxército, que los rebeldes de Chile apellidaban restaurador-----El 3 de Noviembre salió de Montevideo una expedición de 800 hombres, al mando del señor Luaces, con dirección, según se creía, á la baxada de Sta. Felpara hacerse firmes en aquel punto,.y abrir la comu nicación con el Paraguay y cuerpo del exército del señor Pezuela, quien sé hallaba ¿27 leguas de Potosí.___Se sabe que Chile se entregó á las tropas del…</t>
  </si>
  <si>
    <t>Luarca, Rafael Tomas Mendez de</t>
  </si>
  <si>
    <t>Rafael Tomas Mendez de Luarca</t>
  </si>
  <si>
    <t>…ntrada manifestó el pueblo, todo lleno de gozo, al Sermo. Sr. Infante del modo mas tierno y expresivo el amor que le profesa colmándole de aclamaciones. El R. obispo de, Santander D. Rafael Tomas Mendez de Luarca dirigió una pastoral al clero de su diócesis con fecha 6 de Agosto del año próximo de 1813 en el monasterio de benedictinos de la villa de Lorenzana, provin cia de Galicia, manifestando hallarse en vísperas de un voluntario destierro, de los dominios españole…</t>
  </si>
  <si>
    <t>…cuenta de ello al Gobierno. La Regencia del Reyno, conformándose en todo con este dictamen del consejo de Estado, se ha servido resolver que se haya por extrañado del reyno al R. obispo D. Rafael Tomas Mendez de Luarca, y que á su conse cuencia se comuniquen las órdenes correspondientes para su entero cumpli miento, como ya se ha verificado. Y habiendo determinado las Cortes por su decreto de 17 de Octubre que siempre que un español, desobedeciendo los soberanos decretos, s…</t>
  </si>
  <si>
    <t>Lub, Joíé</t>
  </si>
  <si>
    <t>Joíé Lub</t>
  </si>
  <si>
    <t>…nto Becerril, cura párroco dé S. Salvador de Valladoüd , para el beneficio prés tamo del lugar de Mamblas, en el obispado de Avila, vacante por falleci miento de D, Migupl Díaz; a D. Joíé Lub, cura de S. Pedro de la misma ciudad, para el beneficio préstamo.del lügar de S. Cristóbal de la Vega, que Vacó por muerte de D. .Lorenzo Vázquez : para el.beneficio simple de Flellin , vacante por muerte del cardenal de la santa iglesia romana D. Hipó lito V…</t>
  </si>
  <si>
    <t>Ludovisi, Luis Buoneompagni</t>
  </si>
  <si>
    <t>Luis Buoneompagni Ludovisi</t>
  </si>
  <si>
    <t>…edará esta cuestión. La declaración que el rey de Saxonia ha remitido á los demas potenta dos les ha hecho mucha sensación. Acaba de imprimirse la memoria que presentó al congreso D. Luis Buoneompagni Ludovisi, príncipe de Piombino y de la isla de Elba, la qual no dexa la menor duda de que esta casa fue despojada injustamente por el ex emperador de sus derechos de soberanía, adquiridos en 1634 por la suma de i.ofoQ florines. Igualmente consta por ella que se le ha…</t>
  </si>
  <si>
    <t>Lugarnuevo, Miguel Marrinez</t>
  </si>
  <si>
    <t>Miguel Marrinez Lugarnuevo</t>
  </si>
  <si>
    <t>…é Toledo &lt;por muerte de D. Barto lomé-de Cañas, á D. Domingo Cantero: para otra, capellanía de la misma Real capilla de Sres. Reyes nuevos-de ^Toledo, vacante por fallecimiento de D. Miguel Marrinez Lugarnuevo , á D. Manuel Castaño Asemio, capellán del regimiento dé'1 infantería i.° de^líñéa1 de* León ;~y para el beneficio sim ple de Pozaldez, en el óbfcpado dé V^ñadolid, yapante por. muerte de Don Mánuei iguez^RÍbé^ó V ’á Di LMrgñér(5i?fr&lt;Jo'Martínez. .^^Ateadieíx…</t>
  </si>
  <si>
    <t>Lugo, Rafael Sánchez de</t>
  </si>
  <si>
    <t>Rafael Sánchez de Lugo</t>
  </si>
  <si>
    <t>…celi, que se ajustan separadamente. Los sugetos aprobados que quisieren pretendor dicha plaza, dirigirán sus memoriales hasta i.° de Setiembre al alcalde or dinario de dicha villa D. Rafael Sánchez de Lugo. A los herederos de D. Rosendo José Gutiérrez, del orden de Carlos rn, y cónsul que fué en Algeciras, se les avisa acudan á D. José Díaz Valdés, residente en el real sitio de Aranjuez, el qual tiene que comunicarles asuntos que les interesa. La persona qHe su…</t>
  </si>
  <si>
    <t>Lui</t>
  </si>
  <si>
    <t>…Mayo de 1814. = Señor. == A los reales pies de V. M. = Fr. Anselmo Pelaez.” En el mismo dia fue admitida !á cumplimentar á S. M. una diputación de la ciudad de Avila, compuesta de D. Lui‘s Rosao, alcalde de primer vo to, D. Francisco Crespo, D. Eusebío Iglesias, regidores, y D. Felipe Bar ra, procurador síndico, pronunciando el primero la arenga siguiente: Señor: vuestra M. N. y M. ciudad de; Avila tuvo la gloria el terri ble año de 1808 de a…</t>
  </si>
  <si>
    <t>Luis</t>
  </si>
  <si>
    <t>…ién parece por la carta del mariscal, que había reconocido el gobierno provisional de Francia. Consiguientemente autoricé al mayor general sic George Murray y al mariscal de campo D. Luis• Win»pifen para arreglar con el general Gazan un convenio para una suspensión de hostilidades en tre los exércitos aliados de mi mando y los exércitos franceses mandados por los mariscales Soult y Suchet, de que incluyo copia. Eite convenio ha sido confirmado…</t>
  </si>
  <si>
    <t>…tares ó patriotas que hubieren muerto en defensa de la ju^ta causa de la nación r ha cabido en suerte del primer extracto de la de este, dia á Doña Francisca Ja Nougarede, hija de D. Luis, teniente coronel. ARTICULO DE OFICIO. En 10 del corriente tuvo á bien el Rey aprobar la propuesta del Sr. In fante Almirante general de España é Indias, y nombrar en consecuencia para vocales del Consejo de Almirantazgo 4 ios capitanes generales de la ar mad…</t>
  </si>
  <si>
    <t>Luis, B.</t>
  </si>
  <si>
    <t>B. Luis</t>
  </si>
  <si>
    <t>…r. duc(ue de Ciudad-Rodrigo para sü supe rior conocimiento y fines convenientes. Dios guarde á V. S. muchos años. Quartel general de Irun 22 de Febrero de 1814 zzManael Frcyre. sz Señor B. Luis :W iiñpfi'en.,,i • La pérdida en sel referido asahodel Puntal ha consistido en un oficial muertó, quohlones1 el tebiente deb réghixien&lt;o de Voluntarios de León Don Eusebio Rodii&amp;uez, un soldado muerto, del. mismo regimiento y dos del de</t>
  </si>
  <si>
    <t>Luis, Cárlos</t>
  </si>
  <si>
    <t>Cárlos Luis</t>
  </si>
  <si>
    <t>…l actual lo. que sigue: - ■ _,,Excmo. Sr.: quando por las tristes ocurrencias del año de 1808 tuvie ron SS.. AA. los Srcs. Infantes D. Cárlos, D. Francisco de Paula, D. An tonio y D. Cárlos Luis, Rey de Etruria , que ausentarse de España, dexaron encomendada la administración de sus bienes y encomiendas á sus res pectivos secretarlos,4e cámara, lo's ¿que continuaron . én su «administración y en la satisfacción de las cargas de. justicia , -y demás qu…</t>
  </si>
  <si>
    <t>Luís, Carlos</t>
  </si>
  <si>
    <t>Carlos Luís</t>
  </si>
  <si>
    <t>…por las Cortes, que tengan relación con la dirección * adminhtf ación y distribución de jas en comiendas de los Sres. Infantes D. Cárlós, D. Fi;antrÍ5cq de Paula ,.'I&gt;. An tonio y D. Carlos Luís,Jtey de. Etturia ; habiendo determinado igualmente fque se reintegre á SS. A A. en el gobierno, adn&gt;inistrácioji y goce, de dichas encomiendas, sus frutos y rentas, en quanto no estén derogados por las le yes. Siendo igualmente la voluntad de S. M. i}ue asi l…</t>
  </si>
  <si>
    <t>Luis, José</t>
  </si>
  <si>
    <t>José Luis</t>
  </si>
  <si>
    <t>…n los números 338600 y 342485, y pertenecientes á una de las pias fundaciones de la santa iglesia catedral de Lérida, los quales se remitieron á Tarragona en 26 de Enero de 1810 á D. José Luis de la Presilla. La persona en quien hubieren venido á parar, se servirá de dirigirlos á Lérida al señor deán de aquella santa iglesia, ó á Madrid á D. Juan Antonio de Cortabarría. Introducción metódica á la teórica y práctica de la medicina, obra escrita en i…</t>
  </si>
  <si>
    <t>Luis, Luis Francisco de</t>
  </si>
  <si>
    <t>Luis Francisco de Luis</t>
  </si>
  <si>
    <t>2oS4 En Valencia......................» D. Manuel López Maestre. En Va ladolid................ D. Luis Francisco de Luis. En Zaragoza,...,............... El Barón de la Torre. En Zamora................. D. Manuel de Urnara. jEn Zeuta............................. D. Pedro Huguet. Se halla vacante la plaza de médico de la villa y puerto de Laredo. Su dotación anual son 600 ducado…</t>
  </si>
  <si>
    <t>Luis, Luís Francisco de</t>
  </si>
  <si>
    <t>Luís Francisco de Luis</t>
  </si>
  <si>
    <t>…igaf y Barbosa.ÍEti'.rbántnnc'k..vJ....i;..¿li1 .En Santander...Vial é hijo. ib. fratfeíséoTéiréar'/' • ‘ 'ft Mfátí u el López Maestre.En ifa \ep£ia... i..... EtiValta dolida......D. Luís Francisco de Luis. ..... JELBaronde la Torre» ‘7_ ... wJl&amp;3A AÍ&gt;t&lt;J7LM'í \á</t>
  </si>
  <si>
    <t>Luzeño, Alfonso</t>
  </si>
  <si>
    <t>Alfonso Luzeño</t>
  </si>
  <si>
    <t>…1812: esta llevaba consigo papeles que interesan á dos hijos huérfanos. La persona, pues, que tenga ó sepa de dichos pa peles, se la suplica avise por el correó, ó de otro modo, á D. Alfonso Luzeño, bo ticario en la calle ancha de S. Bernardo en Madrid. Se desea saber el paradero ó suerte de D, Miguel Allué, provedor que fue del cxército del general Obispo, el qual por Enero del año de 11 se hallaba con dicho general en el sitio de Valencia, y quando es…</t>
  </si>
  <si>
    <t>Lynedock</t>
  </si>
  <si>
    <t>…de S. A. R., y del reconocimiento de la munificencia de la nación.” Se han comunicado á la misma Cámara otros tres mensages para que se les señale igualmente pensiones anuales al lord Lynedock (Graham), lord Beresford y á lord Hiil. CAMARA DE LOS COMUNES. El canciller del Echiquier en la sesión del 12 pronunció un discurso so bre la parte gloriosa que los exércitos británicos y su ilustre comandante han tenido en los acontecimientos qne han dado la…</t>
  </si>
  <si>
    <t>M, Antonio</t>
  </si>
  <si>
    <t>Antonio M</t>
  </si>
  <si>
    <t>…de campo subinspector del departamento de Mé xico al brigadier subinspector dé la Habana D. Agustín Ibarra ; á coroneles á los tenientes coroneles del propio cuerpo D. Juan Aznar, D. Antonio M¡railes y D. Mariano Montóya, y á tenientes coroneles ah capitán déla mis ma arma D. Amadeo Mora, y al sargento mayor D. Cayetano Blengua. A subtenientes en el batallón de milicias disciplinadas de infantería de Chiquimula, en Goatemala, á D. Dionisio Paez, D.…</t>
  </si>
  <si>
    <t>M, B. A.</t>
  </si>
  <si>
    <t>B. A. M</t>
  </si>
  <si>
    <t>…ran surtido de música para piano y otros instrumentos de los mejores autores modernos; y para piano y gu farra, con acompañamiento de voz por O. J. N , las canciones siguientes de D. B. A. M.: dulces afectos del pecho español al regresa* de su esclavitud nuestro amado Monarca: patrióticos afectos de los expatriados bar celoneses al regresar á su amada ciudad libre de enemigo?»: enhorabuena que dan las provincias á nuestro Soberano, y sacrificios q…</t>
  </si>
  <si>
    <t>M, Francisco Espaz y</t>
  </si>
  <si>
    <t>Francisco Espaz y M</t>
  </si>
  <si>
    <t>…n Miguel 28.de.Febrero de 1814. = Fermín Argaiz. = Sr. Don José Gor.riz. = Lo que comunico á V. S. para su inteligencia. San Juan el Viejo Marzo i.° de, 1814. == José Gorriz.— Sr. general D. Francisco Espaz y M^na, ARTICULO DE OFICIO. La Regencia del Rey no , en consideración al distinguido mérito que ha contraido en servicio de la patria durante la presente guerra el mariscal de campo D. Pedro Agustín Girón, y á las reiteradas recomendaciones que ha hecho á su favo…</t>
  </si>
  <si>
    <t>M, Francisco Espoz y</t>
  </si>
  <si>
    <t>Francisco Espoz y M</t>
  </si>
  <si>
    <t>…os*señores oficiales y soldados , de quienes debo decir que cumplieron cotí sus deberes__ -Dios' guarde á V. S. mu chos ¿ños.' Arizcun 16 de Enero de 1814. zz José Gorriz. = Señor general D. Francisco Espoz y M¡na.= Y lortraslado á V. E¿para su conocimiento.— Nuestro Señor guarde á V. E. muchos años. _ Quartel general de Jaca 20 de Enero de 1814. = Francisco Es voz y A/r»rf. =: Excmo. Sr. duque deí Ciudad-Rodrigo. ' ? í .; .. 0 r Capitulación de la ciudadela de Jaca…</t>
  </si>
  <si>
    <t>M, Joaquín</t>
  </si>
  <si>
    <t>Joaquín M</t>
  </si>
  <si>
    <t>…José de las Casas Maán, á D. Bernardo Martí nez, c nónigo de la de Orense ; para una canongía de la iglesia catedral de Oviedo, vacante por fallecimiento de D. Remigio Navamuel, á D. Joaquín M&lt;: rtin Renayas \ y para una capellanía de la Real carilla de Sres. Reyes nuevos de Toledo, vacante por muerte de D. Pedro Ximenez, a i). Manuel Antonio Acacio, cura de la iglesia parroquial de Yepes. Habiendo hecho á S. M. la vi la de Hinojcsa del Duque, en l…</t>
  </si>
  <si>
    <t>M, La-Placel' S.</t>
  </si>
  <si>
    <t>La-Placel' S. M</t>
  </si>
  <si>
    <t>…enado eñ c4i£rpo á S. M. I. y R. = Los presidentes y secretarios.•== Firmado, Camkaceres.-zz El conde de Valencia Pastoret.sz'Visto y sellado, el canciller del senado. r= Firmado, conde La-Placel' S. M. respondió: ,,Senadores, participo de los mismos sentimientos que me expresáis. „Ya habéis visto, por los documentos que he mandado comunicaros, lo que hago por la paz. Haré sin pesar los sacrificios contenidos en las baséis preliminares que me han propuesto l…</t>
  </si>
  <si>
    <t>M, Pedro</t>
  </si>
  <si>
    <t>Pedro M</t>
  </si>
  <si>
    <t>…cia á 4 deí cor riente se ha servido nombrar para despachar, la primera secretaría de Esta do y del Despacho universal al Sr. d-jcjue de S. Carlos: para la de Gracia y Justicia al Sr. D. Pedro M;canaz; para la de la Gobernación de Ultramar al Sr. D. Miguel de Lardiz^bai y Uribe; para la de Hacienda al Sr. D. Luis María de Salazar, y para la de Guerra al Sr. D. Manuel Freyre. Para la mas fácil -expedición de los negocios se ha servido S. M. señalar lo…</t>
  </si>
  <si>
    <t>…que cuidaba de su ad ministración ; y si los años no estaban vencidos , les pertenece á prorata del tiempo. . Esta15 Reales resoluciones se han comunicado al Consejo por el Exemo. Sr. D. Pedro M acanaz, á fin de que disponga lo correspondiente á su cumplimiento.- Y vistas en él, ha acordado se guarden y cumplan, y que se comunique la correspondiente á los Corregidores y Alcaldes mayores, á los Intendentes, y á lo.- M. RR. Arzobispos,, RR. Obispos y P…</t>
  </si>
  <si>
    <t>…efensa de dicha ciudad, hasta su rendición en 21 de Febrero de 1809; y no habiéndose tenido mas noticia de él, se suplica á la persona que sepa si existe ó ha fallecido lo avise á D. Pedro M uñoz Merino , vecino de esta corte , calle del Carmen, núm. 6, frenté á la botillería. Se desea saber el paradero de Pablo Llobet, natural de Barcelona, de oficio ga lonero, trabajó en la fábrica de D. José Patan, de esta corte, calle de la Flor ba sa.' Antes…</t>
  </si>
  <si>
    <t>M, Repulido</t>
  </si>
  <si>
    <t>Repulido M</t>
  </si>
  <si>
    <t>…rcaurt, D, Fran cisco Fulgencio, D. Estéban Poriier, D- Antonio María de Mendoza, y Don Mariano de Peñafiel. A 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Bernaldo de Quicós, J&gt;. José Fuentepi…</t>
  </si>
  <si>
    <t>M, S.</t>
  </si>
  <si>
    <t>S. M</t>
  </si>
  <si>
    <t>…sia y dei Schah de Persia. Al di^ siguiente asistió el :embfcaxa¿or 4 ¡a función que se celebró por el cumpleaños, de la Emperatriz madre. Entre los varios regalos .que lleva est£ embajador S. M. el Emper ¿dor, hap merecido la principal atención pqr» su ^xtfa^rdm^ria corpulencia dos elefanr tes y una porción de. burros padres persas, y. árabe?. GRAN BRETAÑA. , . Lóndrtfp j8 de Octubre.] Sir Jforge Prevost ha sido rechazado con pérdida muy considerable…</t>
  </si>
  <si>
    <t>Ma</t>
  </si>
  <si>
    <t>…ro Manuel Porta y el fusilero Sebastian de Mula , y sido herido el capitán D. Lucas Marín. Ademas fue muerto de bala de fusil durante el sitio del castillo el teniente graduado de capitán D. Ma nuel Prino. »La tripulación y oficiales de marina de las fuerzas sutiles, al mando del capitán de fragata D. Juan Merita, han contribuido mucho, estable ciendo con su artillería una batería, y sirviéndola con valor y acierto. &gt;’La artillería y la tropa de inf…</t>
  </si>
  <si>
    <t>…eno Rivas, D. Tomas de Heredia, D. Rafael de Heredia, D. Alonso Aznar y D. Felipe de la Cámara: la subtenencia de granaderos á D. José Ireneo Guerra; y subtenencias de fusileros á D. Ma nuel Benito Quixano, D. Nicolás Ortiz, D. Agustín Sánchez, D. Arcadio Quixano, D. Joaquín Sánchez y D. Arcadio Cicero. Por los oficios que con fecha del 23 del corriente han dirigido el secre tario interino del despacho de Estado y el gefe político de la prov…</t>
  </si>
  <si>
    <t>…l hospital de Mataró y otros ai de Martoreil. Los restantes se hallan en el principal de este cantón hasta que V. E. se sirva darles destino. Los tenientes adictos at estado mayor D. Ma nuel Bray y D. Agustín Perez de Guzman, que me sirvieron‘de ayudantes de campo, se han comportado con honor y distinción. El último de estos oficiales, que fué portador de lájórd^íi para q^ue cargase la caballería, vio á un sargento de húsares dexar tendidos…</t>
  </si>
  <si>
    <t>…e á las cinco de la tarde se hará la apertura de las lecciones públicas de botánica en la escuela del jardín botá nico de esta capital por el profesor y encargado del mismo jardín D. Ma riano Lagasca , el qual dará las lecciones fundamentales de esta ciencia to dos los lunes , miércoles y viernes sucesivos. MADRID EN LA‘ IMPRENTA NACIONAL.</t>
  </si>
  <si>
    <t>…lguna vasallos del mas justo de los Mo narcas.” El 29 de este mes tuvo el honor de cumplimentar á S. M. una diputa ción de la real universidad de Toledo, compuesta de los doctores D. Ma nuel Hercilla, visitador eclesiástico de Madrid; de D, José García de la Torre, oidor de esta real audiencia; D. Lorenzo Hernández Alba, canóni go magistral de la santa iglesia primada de Toledo, y D. Alfonso Cavia, fiscal de artillería. El primero, como mas…</t>
  </si>
  <si>
    <t>…; Conde de Lereua; D. Víctor Rascón .Cor nejo, Contador general de Valores; D. Luis Gacel, Contador general de la D ¡stribucion; D. Josef Martínez de Bustos; D. Felipe de Córdoba; D. Ma nuel Pérez de Lema; D. Ignacio Rodríguez de Ribas; D. Víctor. Soret, Tesorero general; D. Pascual Dávila; Contador general de Millones; Don Francisco López de Aícaraz, y D. Jacobo de Parga y Puga. Fiscales. D. Manuel de Lartiga, y D. Bernardo Mozo Rosales. Se…</t>
  </si>
  <si>
    <t>…nez, arcediano de Diroca, dignidad de la santa iglesia metropolitana de Zaragoza, y catedrático de prima de cánones de su universidad , D. José Duaso, capellán de honor de S. M. y D. Ma nuel Abeiia, oficial de la primera secretaría de Estado y del despacho, tuvo la honra de presentar á S. M. y A A. una medalla de oro ', otra de plata y otra de cobre que aquel cuerpo literario deseoso de perpetuar la memoria de la ruina de su edificio por las…</t>
  </si>
  <si>
    <t>…creedores mandado formar en los autos de la testamentaría del expresado conde, que penden en el tribunal de la capitanía general de Badajoz, por la escribanía de Guerra á cargo de D. Ma tln Gavino Ro dríguez, para que en virtud de los créditos que presenten puedan ser satisfechos en quanto tengan cabimiento con arreglo á graduación y prelacion legal; &lt;on aperci bimiento de que pasado que sea el expresado término de 50 dias, les parará entero…</t>
  </si>
  <si>
    <t>…esia catedral de Valladolid, vacante por muerte de D. Gabriel Obregon, á D. Manuel de Orbaneja: para una ración de la iglesia metropolitana de Burgos, vacarte por fallecimiento de D. Ma nuel Andrés ’ del Hierro, á I&gt;. Esteban Martínez de Tobílias, cura párroco en el obispado de Sigüénza : para el beneficio simple servidero del puerto dé Sta. María * diócesis de Sevilla, vacante por muerte del Sr. cardenal duque de Yorck, á D. Salvador Galian…</t>
  </si>
  <si>
    <t>…isma sala á Don Vicente.......Cabero: para una plaza efectiva de juez auditor de la Rota á D. Vicente Ruiz de Albillos. Asimismo ha concedido S. M. gracia de capellanes de honor á D. Ma tías Vinuesa López de Alfaro; á D. Blas Ostoiaza, y á D. Alfonso Ximenez de Cisneros. Los honores del consejo de Hacienda á D. Manuel López de Araujo, á D. Francisco González Estéfani, á D. Francisco Ortiz Taraa* co, á D. Nicolás Lamiel, y á D. José Teodoro S…</t>
  </si>
  <si>
    <t>…Estado y del Despacho de Hacienda digo con esta fecha lo siguiente: Enterado el Rey de la buena conducta que ha observado en los depósitos de Francia el Subteniente de Artillería D. Ma nuel Zacarés, que fue hecho prisionero en el Norte quando el embarco de las tropas para España, y asimismo enterado S. M. de que este Oficial, de seoso de tomar parte en la justa guerra que ha concluido, desertó de Nancy en Enero de este año, presentándose co…</t>
  </si>
  <si>
    <t>…uchos años. Palacio 11 de Octubre de 1814. El Rey por decreto de 9 de Setiembre, atendiendo á los dilatados servi cios y buenas circunstancias del intendente honorario de exército D. Ma nuel Saenz de Viniegra, ha venido en nombrarle intendente de la provia-* cia de Segó vía. S. M. por. decreto de 2 del mismo mes, en atención á los dilatados y bue^ pos servicias del contador principal del exército y rey no de Galicia D. Ino cencio de Nograro,…</t>
  </si>
  <si>
    <t>…mbre de 1812 se hallaba en .Ciudad-Rodrigo; y no habiendo tenido mas noticia desde aquella época, se supli ca á la persona que sepa si existe ó ha fallecido., lo avise en Madrid á Doña Ma ría Nuevo , su muger, que vive calle-de Sta. María , núm. 3 , quarto baxo* Principios filosóficos de la literatura, ó curso razonado de bellas letras; obra escrita en francés por Mr. Batteux, de la academia francesa; traducida, completada j adicionada con var…</t>
  </si>
  <si>
    <t>Eduardo O ;aro!, á D. Gonzalo Joré Espinosa: para una canongía da la iglesia colegial de S. Felipe de Xátiva , vacante por promoción de D. Ma nuel de Roa á otra canongía de la ig!esia metropolitana de Valen.ia, á D José Antonio Sainper : para otra canongía de la iglesia catedral de C diz, vacante por muerte de D. Francisco Caraza y Sousa, deán que fue de la mi ma iglesia, á l&gt;. Manuel IBen'rto Best…</t>
  </si>
  <si>
    <t>Ma, Félix</t>
  </si>
  <si>
    <t>Félix Ma</t>
  </si>
  <si>
    <t>…muerto , y otro que dexé de gravedad en Acapulco. D ios guarde ¡-á V. E. muchos años. Chilpancingo 2.5 de Mayo de 1814. srExcmo. St.zzjfosé Gabriel de Armijo. zz Excmo. Sr. virey D. Félix Ma■ ría Calleja. •' ¿ . ■ ■ El coronel Armijo incluyó con este parte las tres relaciones siguientes de los efectos tomados á los enemigos: 1. a Relación de los pertrechos de guerra tomados d los enemigos en las . acciones del Bejuco y pie de la Cuesta. , 1 Tres…</t>
  </si>
  <si>
    <t>Ma, Francisco</t>
  </si>
  <si>
    <t>Francisco Ma</t>
  </si>
  <si>
    <t>…y Abreo, persuadido del bien que de esto resulta á la humanidad, y auxiliado del reverendo obispo dé la misma ciudad Don Bernardo Beltran, y del zelo é incansables tareas del Dr. D. Francisco Ma nuel de Alburquerque, primer médico del partido de Pinhel, se han vacu nado baxo su inspección, desde 18 de Noviembre de 1813 hasta 27 de Abril de 1814 , muchos individuos, de los quales tuvieron verdadera vacuna 846, que ciertamente están libres de la terrib…</t>
  </si>
  <si>
    <t>Ma, José</t>
  </si>
  <si>
    <t>José Ma</t>
  </si>
  <si>
    <t>…ón Losada Bernaldo de Quicós, J&gt;. José Fuentepita,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 consejo de Hacienda, es la de antigüedad del mismo tribu…</t>
  </si>
  <si>
    <t>Ma, Luis</t>
  </si>
  <si>
    <t>Luis Ma</t>
  </si>
  <si>
    <t>722</t>
  </si>
  <si>
    <t>…tado de este tan ilustre exemplo del Inf.nte.'= Tendreislo entendido , y lo comunicareis á quienes corresponda.r= Rubrica do de la real mano = Ln palacio á 23 de Junio de 1814 ssA D. Luis Ma ría de Salazar. Circulares del ministerio de Hacienda. 1.a El Eey nuestro Señor se ha servido dirigirme el decreto siguiente: Fn medio del singular placer que ha experimentado mi corazón al ver me, después de mi ia-g t cautividad , restituido al trono de mis…</t>
  </si>
  <si>
    <t>Ma, Nicolás</t>
  </si>
  <si>
    <t>Nicolás Ma</t>
  </si>
  <si>
    <t>…n Ignacio de Ay estarán, secretario del Rey nuestro Señor, lo hice escribir por su mandado. = El duque del Infantado. = D. Mi guel Alfonso Viilagomez. D. Gerónimo Antonio Diez. r= D. Nicolás Ma ría de Sierra. = D&lt;. Luis Melendez y Bruna. = Registrada, Fernando de Icurmendi. =: Teniente de canciller mayor, Fernando de Iturmendi. Circulares del ministerio de Hacienda. 1. a- Habiendo llamado la atención del Rey nuestro Señor una exposición en que la ju…</t>
  </si>
  <si>
    <t>Ma, Tadeo</t>
  </si>
  <si>
    <t>Tadeo Ma</t>
  </si>
  <si>
    <t>…Bolaños á la de la extinguida audiencia de Madrid, á D Manuel de León Santos de San Pedro. Y para la de Canarias, vacante por traslación de D. Manuel de Ondarza á la de Sevilla, á D. Tadeo Ma nuel Delgado. De&lt;de principio hasta mediado de Setiembre próximo venidero saldrán de la bahía de Cádiz dos buques correos de la Real Armada con destino á Ve racruz y Costa-firme. Este último llevará también la correspondencia del Perú; lo que se avisa al públ…</t>
  </si>
  <si>
    <t>Ma-, Manuel</t>
  </si>
  <si>
    <t>Manuel Ma-</t>
  </si>
  <si>
    <t>…ducto de ella. Se hallará en las librerías de Hurtado, calle de las Carretas,, y de Novillo, calle de la Concepción gerónima. Nota. En la gaceta núm. 140, fol. 2065 , lín. 38,dice D. Manuel Ma-7 tía. Pros'terla , léase Pusterla. EN LA IMPRENTA REAL.</t>
  </si>
  <si>
    <t>Macanaz, Pedro</t>
  </si>
  <si>
    <t>Pedro Macanaz</t>
  </si>
  <si>
    <t>…lante lo que mas convenga. =Tendreislo entendido para su cumplimiento, y lo comunicareis á quien corresponda, rs Rubricado de la real mano. = En Valencia á 4 de Mayo de 1814. =: A D. Pedro Macanaz.*’ 2.° ,, Habiendo llegado á mi noticia que se han impuesto contribuciones á varios pueblos de mi tránsito con el objeto de pagar los gastos de mi viage, y siendo mi voluntad el satisfacer el coste de este y de qualquier otro viage que emprenda, todos los emp…</t>
  </si>
  <si>
    <t>…b. i.°, y la i.® del tít. 4, li bro^.0, de la novísima Recopitacion. e= Tendreislo entendido, y lo comuni careis á. quienes corresponda. =Madrid 5 de Junio de i8i4.=YO EL REY.=: A D. Pedro Macanaz = Éxcmo. Sr. = Habiendo resuelto el Rey restable cer eí Consejo de I3 Cámara por su Real decreto de 5 de este mes, de que acompaño un exemplar impreso, rubricado de mi mano, ha venido en que D. Gonzalo Josef ,de Vilches y D,. Antonio ViManueva y Pacheco conti…</t>
  </si>
  <si>
    <t>…z, se cretario del despacho de Gracia y Justicia, el Lie. D. Victoriano Castro, y el Dr. D. Manuel Martin Bayon, corregidor de la villa de Arévalo; y to mando la palabra el Exemo. Sr. D. Pedro Macanaz dixo: ,, Señor: la villa ds Laseca, su cabildo secular y eclesiástico y demas ha bitantes de ella nos comisionan para felicitar á V. M. por la feliz restitución al trono de sus mayores en toda la plenitud de sus derechos; y ciertamente que no pudieran haberno…</t>
  </si>
  <si>
    <t>…isco, y aun al denunciador, Tendrase entendido en la Cámara , á fin de que disponga su cumplimiento. =s Señalado de la Real mano de S. M. = En Palacio á 14 de Octubre de 1814. = A D. Pedro Macanaz. Se ha expedido la Real Cédula siguiente de S. M. y Señores del Consejo. Don Fernando vn por la gracia de Dios, Rey de Castilla, de León, de Aragón &amp;c, &amp;c. &amp;c. A los del mi Consejo, Presidentes, Regentes y Oido res de mis Audiencias y Chancilíerías, Alcaldes,…</t>
  </si>
  <si>
    <t>…fal tado á la fidelidad de mi soberanía, cometiendo excesos nada conformes á las gracias que les dispcmé, y abasando de este f-vor, se han precipitado sobre rocas mal cimentadas. D. Pedro Macanaz fue uno de los objetos que en aquellos momentos llamaron mi srbetana atención ; y considerándole acreedor á eíla, le elegí para mi ‘ secretario del despacho de Qracia. y Justi cia , cuyo grave cargo le confié, creyéndole exento del menor defecto. Des pués de…</t>
  </si>
  <si>
    <t>Macanaz, Pedro de</t>
  </si>
  <si>
    <t>Pedro de Macanaz</t>
  </si>
  <si>
    <t>…cia y cumplimiento. = Luis María de Salazar * El Rey se ha servido encargar interinamente las secretarías del despa cho de la Gobernación de la Península y de Ultramar á los Sres. D. Pedro de Macanaz y D. Miguel de Lardizabal, hasta que S. M. determine la nue* va forma que debe darse á los ministerios, después de haber oido á minis tros de su confianza. La falta de comunicación en que hasta ahora se ha estada con las poten cias del norte de la Europa, ha sido el motivo de no haber…</t>
  </si>
  <si>
    <t>…onta y cum plida administración y en la observancia de las leyes del reyno. Tendreislo entendido, y lo comunicareis á quien corresponda. Madrid 23 de Mayo de 18x4.= YO EL REY. = A D. Pedro de Macanaz. En consideración al mérito y servicios del coronel de infantería marques de Valdelirios, capitán de granaderos del regimiento de voluntarios distin guidos de la Concordia española del Perú, se ha servido el Rey promoverle á Brigadier de sus reales exercitos.…</t>
  </si>
  <si>
    <t>6oi * 0 cavéis i quien corresponda. Madrid 27 de Mayo de i8l4*s=YO EL REY.s A D. Pedro de Macanaz. .Por otro real decreto de 31 del mismo se ha servido el Rey nuestro Señor nombrar para secretario de Estado y del Despacho de la Guerra á D. Francisco Eguíat capitán general de Castilla la nueva: para secre tario de Estado y del Despacho de Hacienda á D. Cri…</t>
  </si>
  <si>
    <t>…o : de cuya armoniosa unión y mutua ayuda pende la felicidad dei reyno. Tendreislo entendido, y lo comunicareis á quien corresponda. = YO EL REY. = Madrid 24 de^ Mayo de 1814. = A D. Pedro de Macanaz. Circular de la gobernación de Ultramar. Por el real decreto de 4 del corriente, de que incluyo á V. copias, y que de orden de S. M. hará V. circular en el territorio de su mando, se enterarán esos habitantes del extraordinario beneficio con que la divina Pro…</t>
  </si>
  <si>
    <t>…tít. 17 , lib. 1, y la 1 del tít. 4, lib. iv déla novísima Recopilación. = Tendreislo entendido, y lo comunicareis á quien corresponda.= Madrid 5 de Junio de 1814. YO EL REY. =s A Don Pedro de Macanaz. , _ i Circulares del ministerio de Hacienda, Enterado el Rey de una exposición de los tesoreros generales en exerci— ció y cesación, relativa á las medidas que aseguren la mas oportuna distri— bucion de los caudales de la real Hacienda, y mayor exactitud en…</t>
  </si>
  <si>
    <t>…es que contenia la carta , y omitiendo otras. Practicadas estas y otras diligencias correspondientes en la citada causa, se elevó todo á consideración de S. M. por mano del Excmo. Sr. D. Pedro de Macanaz, secretario de Estado y del despacho de Gracia y Justicia, por cuyo conducto se ha servido S. M. expedir la real orden siguiente: Real órdert. He enterado al Rey de quahto expusieron VV. SS en su oficio de 28 de este mes resulta de las declaraciones tomadas á…</t>
  </si>
  <si>
    <t>…es, que tegian en.; 1808;= Tendreislo entendido, y lo comunicareis á quienes corresponda para su cum plimiento. = Rubricado de la real mano.=En palacio á 1 j de Junio de 1814. s A D. Pedro de Macanaz. Habiendo estimado conveniente para el mejor gobierno de mis reynos restablecer el Consejo Real, á quien por las leyes estaba encargado el conoci miento de varios negocios, y promover otros que por las innovaciones he chas, durante mi: ausencia en el sistema…</t>
  </si>
  <si>
    <t>…gencia, y que zele su mas exacto cumplimiento. Dios guarde á V. muchos años. Madrid 21 de Junio de 1814. Circular del Consejo Real. Con fecha 7 de este mes ha comunicado el Excmo. Sr. D. Pedro de Macanaz, secretario de Estado y del despacho de Gracia y Justicia, al Excmo. Sr. presidente del Consejo la real orden que dice asi; ,, Excmo. Sr.: habiendo resuelto el Rey que en lo sucesivo solo los co mandantes y gobernadores militares expidan todos los pasaportes…</t>
  </si>
  <si>
    <t>…el que V. M. alcance de la divina Providencia una vida feliz y duradera para el bien de la religión y el de sus vasallos.” ARTICULO DE OFICIO. Circular del Consejo Real. El Excmo. Sr. D. Pedro de Macanaz, Secretario de Estado y del Des pacho universal de Gracia y Justicia , ha comunicado al Excmo. Sr. Duque del Infantado, Presidente ael Consejo, con fecha 25 de Agosto último, la Real orden que dice asi: ,, Excmo. Sr.: El Sr. Secretario de Estado y del Despach…</t>
  </si>
  <si>
    <t>…de sus pueblos, y disfrutemos el honor de besar su Reai mano.” Al dia siguiente se presentaron á cumplimentar á S. M. á nombre de la villa de Laseca en Castilla la Vieja el Exemo. Sr. D. Pedro de Macanaz, se cretario del despacho de Gracia y Justicia, el Lie. D. Victoriano Castro, y el Dr. D. Manuel Martin Bayon, corregidor de la villa de Arévalo; y to mando la palabra el Exemo. Sr. D. Pedro Macanaz dixo: ,, Señor: la villa ds Laseca, su cabildo secular y ecl…</t>
  </si>
  <si>
    <t>Macdonaid</t>
  </si>
  <si>
    <t>…ipar á V. E. que un destacamento del ge neral'York se:apoderó 4© Vitry ei dia 5- Dicho general;, como ya insinué á V. E. atacó y derrotó laj retaguardia del cuerpo de exército del mariscal Macdonaid en Ta-Chaussée el 5. En el mismo día persiguió el general York al enemigo hasta las puertas de Chalons, y bombardea la ciudad. Ei ma riscal Macdonaid entró en convenios de evacuarla; lo que efectuó en ía ma ñana del 6, retirándose con su exército, compuesto d…</t>
  </si>
  <si>
    <t>Macdonald</t>
  </si>
  <si>
    <t>…los de La misma clase Barnes., del Real, y Cameron, del 9.0, del capitán Ramsey, de la real artillería volante, del coronel Delancey, diputado quartelmaestre general, del teniente coronel Macdonald, asistente ayudante general del cuerpo que manda sir Juan Hope, y de los oficiales adictos á su persona. La primera división, del mando del mariscal de campo Howard, no entró en acción hasta el 12, en que no fue tan reñida; yero los guardias se conduxeren con…</t>
  </si>
  <si>
    <t>…te como regente del imperio á presencia de los príncipes, grandes dignida des &amp;c-----El 22 se hallaba en Ligny el quartel general del duque de JBellune, y el 16 en Mastrick el del mariscal Macdonald. Los genérales Sebastian» y Arrighi se han retirado á Aquisgran y Juliers. El 22 aun no habían entrado los enemigos en León, antes bien parece que se habían retirado. _Según escriben de Chalons, las avanzadas enemigas han llegado á Toul; y ya está interceptad…</t>
  </si>
  <si>
    <t>…rd Bur&amp;hcrsh fecho en Bar del Sena á 6 de Febrero. Tengo la satisfacción de participar á V. E. que la vanguardia del gene ral D’York. atacó ayer con feliz éxito la retaguardia del mariscal Macdonald cerca de La-Chaussee entre Vitry y Chalons. Los aliados cogieron tres ca ñones, varios centenares de prisioneros, y él enemigo filé perseguido por el camino dé Charioñs. Siento haber de decir á W E. que ayer fue herido el general Colloredo, mientra* estaba re…</t>
  </si>
  <si>
    <t>…riores del feld-mariscal Blucher hasta el día 12 inclusive. ,,E1 5 de este mes el general York aco metió á Chalons, que se rindió por capitulación, después de haberse reti rado el mariscal Macdonald con dirección á Meaux, llevando consigo los cuerpos de Sebastiani y Arrigi, ademas del suyo propio. Él dia 6 el quartel general del feld-mariscal Bíucher estaba en Sandren* El 8 se trasladó de Vertus para Etoges, hallándose entretanto el general Sacken en Mon…</t>
  </si>
  <si>
    <t>…teau-Tierry : el general Kieist se halla en Chalons; y el general Kapsiewitz, con las divisiones del cuerpo del conde de Langeron, viene marchando á teda priesa. Hemos oido que el mariscal Macdonald va retirándose con unas 100 piezas de artillería, tiradas en la mayor parte por caballos de labranza, y hay esperanzas de alcanzarle. El general Winzingerode que, según oímos, avanzaban esta dirección hace algunos dias, ha retrocedido hacia el Bra bante: es p…</t>
  </si>
  <si>
    <t>…bargo, parece que el mariscal francés no cumplió escrupulosamente estas condiciones, porquanto se halló volado el puente del Marne, y rotos todos los barriles de aguar diente. „El mariscal Macdonald tomóla dirección de Meaux: lleva consigo, ademas de su propio cuerpo , que es el undécimo, los de los generales SeSe ha recibido noticia de la llegada del general Kleist a St. Dizier, y de que el general Kapsiewitz , perteneciente al cuerpo del general conde…</t>
  </si>
  <si>
    <t>…e Magni por la izquierda, y en las inmediaciones de Val Suzenay por la derecha. En la tarde, del 27 se recibió aviso del príncipe real de Wurtemberg, reducido á que el cuerpo d.ei mariscal Macdonald estaba en posición en Clairvaux y la Ferié del Aube. No obstante, el príncipe Schwartzemberg mandó al príncipe real que continuase e! movimiento que se le había prescrito en Bar del Sena, y ata case al enemigo en la Ferté, ó en qualquier otro punto donde se h…</t>
  </si>
  <si>
    <t>…és, había el general Firmont establecido su quartel general en Vandoeuvre. El príncipe real de Wurte nberg ha continuado con las ventajas que habia conseguido contra el cuerpo del mariscal Macdonald en la Ferié y en Clairvaux el 28. El i.° se apoderó de Bar del Sena, y el 2 siguió hasta, Maison-Blanche al enemigo que se retiraba. Por un reconocimiento hecho aquel día se vio que el exército francés es taba en posición, extendiéndose al Barce sobre la dere…</t>
  </si>
  <si>
    <t>Macdonald, James</t>
  </si>
  <si>
    <t>James Macdonald</t>
  </si>
  <si>
    <t>ha sufrido el exército con la muerte del teniente coronel Clifton, mandando las Guardias del regimiento i.°, y del teniente coronel James Macdonald , del mismo regimiento. Estos oficiales encontraron su muerte, con otros muchos, peleando en la puerta de Ambéres, conduciéndose con el mayor valor: el teniente coronel Jones, con el resto del destacamento, tuvo que rendirle. El servicio de conducir las colum…</t>
  </si>
  <si>
    <t>Macfarlane</t>
  </si>
  <si>
    <t>…uencia obligada' á retirarse. „Los ataques contra la derecha del enemigo fueron dados en tres colum nas por la división del mayor general'Montresor, sostenido por la del te niente general Macfarlane. Las tropas avanzaron con mucho denuedo ; y aunque el terreno estaba cortado de manera que el enemigo podía defen derse mucho tiempo,'-fué obligado á retirarse precipitadamente á la ciudad, viendo que su izquierda estaba flanqueada. La imposibilidad de hacer…</t>
  </si>
  <si>
    <t>…an consejo de Berna varios individuos habían insistido en que fuesen atendidas las reda maciones de los habitantes del Oberland. GRAN BRETAÑA. Londres /t de Setiembre. El teniente general Macfarlane debe salir de aquí muy en breve para Sici lia, en donde tomará el mando de las tropas inglesas hasta que en él congre so de Viena se decida definitivamente el destino de ellas. Hasta esta época las fuerzas inglesas del Mediterráneo se mantendrán en el mismo p…</t>
  </si>
  <si>
    <t>Macleod</t>
  </si>
  <si>
    <t>…Macdonald dirigidos al conde Bathurst, sus: fechas 11 de Diciembre del año pasado, 8 y 18 de Enero del actual. ‘ 1 ... 1.° Oliva Acerca de Dantzick) t x de Diciembre. „ Milord: el capitán Macleod, portador de estos pliegosinformará á V. E. de las operaciones del sitio, del estado de la artillería &amp;c..• Tengo la satisfacción de participar á V. E. que se ha rendido la fortale za de Modíin, situada en el Vístula, que és bastante fuerte, y de gran con sec…</t>
  </si>
  <si>
    <t>Macnumar, Elena</t>
  </si>
  <si>
    <t>Elena Macnumar</t>
  </si>
  <si>
    <t>…* i dente del concurso de acrcedme* á D. Domingo. Terri y conipañía.^se cjta y enwplaza á qualquiera que se considere ;cqif ^epor rtferecho _que% el jtqtr. dot|i correspondiente á Doña Elena Macnumar^ para qqe se presente a^deducirlo.en de bida forma dentro del térmip.0,que finará ^n.8/de {Eneró del año próximo vinien te de 1815, en que fenece *cl de 12meses asignados en el primer emplazamiento hecho en igual dia de este año; en el concepto de que pasado…</t>
  </si>
  <si>
    <t>Macomb</t>
  </si>
  <si>
    <t>…us víveres, municiones, y los heridos que quedaban en el campo de batalla, calculándose en 62$ libras esterlinas 'el valor de los objetos que abandonó. ' Otra carta escrita por el general Macomb,con fecha del fuerte Moreau, dice que sir Jorge Prevost no ha sacado mas de 1 joo hombres vivos de esta -expedición. AUSTRIA. . . i • Viena 20 de Octubre. S. M. el emperador de Rusia , queriendo por su parte celebrar también la memoria de la memorable batalla…</t>
  </si>
  <si>
    <t>Madrid, Juan Francisco Sastre y</t>
  </si>
  <si>
    <t>Juan Francisco Sastre y Madrid</t>
  </si>
  <si>
    <t>…30 dor, 100: Juan Sanz Sancho.. procurador, 120: D. José Sanz Sancho, abo gado de ■ los ^tribunales nacionales , 120 : D. León Saturnino Laviada, 80: D. Pablo Sanz Sancho, 60: Dr. D. Juan Francisco Sastre y Madrid, 200: IX..,ML. S.JBL, xqo : José, Fructuoso Sanz, 160: Francisco Mejorada Fray le, 100:,María Amtonia Sancho Morago, 50: Isidoro Sanz Valles, .66 y 18 maravedises: José Milano Cadereha ,100: Juan Riaza Riazg, 8.0: Pedro Yepes, 100: Diego Díaz Barranco, 100: A…</t>
  </si>
  <si>
    <t>Madrid, María Joaquina</t>
  </si>
  <si>
    <t>María Joaquina Madrid</t>
  </si>
  <si>
    <t>…noti cia de su paradero desde aquella época, se suplica í qualquiera persona q^e tenga noticia de su existencia, ó de si ha naufragado ó fallecido, se sirva comunicarlo á su muger Doña María Joaquina Madrid, que vive en la calle de! Rollo, casa núm. 4, quarto segundo, ó en la ciudad de Lugo á D. Manuel Valiugera y Nuñez* ofic ial de la administración de Rentas de dicha ciudad. En 1 2 d- Enero de 18 10 se remitieron á Cádiz por el correo disde Valencia quatro val…</t>
  </si>
  <si>
    <t>Maea, José</t>
  </si>
  <si>
    <t>José Maea</t>
  </si>
  <si>
    <t>…rato, el mas propio quizá de quantos han salido al público, está copia do del busto trabajado por D. José Gines, escultor de cámara, cuyo nombre so lo hace su elogio; dibuxado por D. José Maea, y grabado por D. Mariano Brandi. Estos profesores bien conocidos por su mérito no han perdonado gasto alguno para hacer su obra en lo posible digna del augusto objeto que se han propuesto copiar. Se vende á 4 rs. en negro y á 10 iluminadas de un gusto exquis…</t>
  </si>
  <si>
    <t>Maestre, Manuel López</t>
  </si>
  <si>
    <t>Manuel López Maestre</t>
  </si>
  <si>
    <t>…reno. En Soria......... D. Joaquín Tutor Iba Izóla. En S lamanea D. F rancisco de Zúñiga y Barbosa. En Santander. Vial é hijo. En Toledo....... D. Francisco Perez. En Valencia.... D. Manuel López Maestre. En Valtidolid. D. Luis Francisco de Lu¡s¿ En Zaragoza., El Barón de la Torre.' ; En Zamora...... D. Manuel de Umara. En Zmta........ D. Pedro Huguet. En la extracción de la primitiva lotería real, executada en la tarde de boy, han salido por el mismo orden c…</t>
  </si>
  <si>
    <t>2oS4 En Valencia......................» D. Manuel López Maestre. En Va ladolid................ D. Luis Francisco de Luis. En Zaragoza,...,............... El Barón de la Torre. En Zamora................. D. Manuel de Urnara. jEn Zeuta............................. D. Pedro Huguet. Se halla vacante la plaza de médico de la v…</t>
  </si>
  <si>
    <t>Maestri, Juan María</t>
  </si>
  <si>
    <t>Juan María Maestri</t>
  </si>
  <si>
    <t>d;t consejo y cámara de Indias; D. Pedro de Ingaanzo ^canónigo doctoral de la santa iglesia de Oviedo, D. Domingo Moron, racionero de la iglesia colegial de Villafranca; y D. Juan María Maestri, caballero maestfante, y coronel del tercer batallón de línea de la expresada ciudad; el primero de los quales hizo á S. M. la alocución siguiente: ,, Señor: quando 25 millones de españoles, sumidos por la larga y funes tísima ausencia de V. M en un abismo in…</t>
  </si>
  <si>
    <t>Mafure, Juan Perez de</t>
  </si>
  <si>
    <t>Juan Perez de Mafure</t>
  </si>
  <si>
    <t>…edo, vacante por fallecimiento de D. Juan Manuel González, á D. Faus tino García Loredo. , En virtud de despicho requisitorio librado por el juez de letras de la ciudad de Sevilla D. Juan Perez de Mafure , refend.ido por el escribano D. Antonio Domincriif*.7 - V ciimnlim^ntsi-ln r,r\r C. O C--------i * , . , i, pe na en autos, a instancia de Ja oírte do la real casa hospital de la sama Caridad de nuestro Señor Jesucristo, sobre pose! sion de ios bienes, finca…</t>
  </si>
  <si>
    <t>Magnamára, Elena</t>
  </si>
  <si>
    <t>Elena Magnamára</t>
  </si>
  <si>
    <t>…su’ado de comercio de Cádiz, de 10 de Enero próximo pasado, recaída en los incidentes del concurso de acreedo res á D. Domingo Terry y compañía, promovidos y seguidos por parte de Doña Elena Magnamára para el cobro de varios créditos, y entre ellos el dotal consis tente en 287,592 reales de plata y 14 quartos, consiguiente á las pretensiones de los herederos de la Doña Elena, se manda, entre otras cosas, citar y emplazar á qualquiera que se considere con d…</t>
  </si>
  <si>
    <t>Mahamud, Gregorio</t>
  </si>
  <si>
    <t>Gregorio Mahamud</t>
  </si>
  <si>
    <t>…a! chuitre de dicha santa iglesiaéD. Luis Xavier de Garma y Moreno, que en la actualidad re ide en la corte, cafe de’la Montera , nú mero 4, quarto 2.°; y en Jaén á los canónigos D. Gregorio Mahamud y D. Simón Perez de Aguirre, con quienes podrán tratar los que quieran ha cer el indicado servicio ai cabildo y al estado.</t>
  </si>
  <si>
    <t>Mahe-</t>
  </si>
  <si>
    <t>…a que ha habido turbaciones hasta en el misino Gayro; pero añaden que por fortuna se han apaciguado, aunque i,costa de san gre, ;por la vigilancia del caymacan que había dexado el gobernador Mahe-, met-Ali bixá. Esto ha Causado un retardo á las tropas que enviaba laPuerta de refuerzo á la península de Arabia.. l s Se trabaja con mucha actividad en el arsenal de esta capital en armar. Una fragata destinada á ias costas de Africa. También se.••está const…</t>
  </si>
  <si>
    <t>Maire</t>
  </si>
  <si>
    <t>…e las personas que asistieron á este banquete es taban SS A A. RR. los duques de Yorck y de Kent, el lord canciller, y va rios ministros de la cámara Real, el duque de Norfolk, el lord Maire, los jueces &amp;c. &amp;c. , . , ..... A principios de este mes murió en las inmediaciones de esta capitul oí mozo de unos 16 años de edad, cuya muerte ha apurado la ciencia y los recursos de nuestros mejores médicos. Dos dias antes de morir empezó a sentir un movim…</t>
  </si>
  <si>
    <t>Maison</t>
  </si>
  <si>
    <t>tabíecido ya su quartel general en Arras. El. general Bjilow se Interna por la Eioaxdia, en cuya dirección ño hay otra fuerza que le.ptié'da*resistir siao ci pequeño cuerpo del general Maison de 5 á 6© hombres. ‘ \ ’ ‘; a \ •’ "v; f v ' ~v * ■ - ■ -i * •■ ■•--- *■ FRANCIA. ■ * — " ' *■ . Orleans 25 de Febrero* H- , \ 1 ** A las siete de la noche del 17 hubo un combate en Chateauneuf con unos 1600 á 1800 enemigos, todos cosacos., que se adelantaron…</t>
  </si>
  <si>
    <t>Maisson</t>
  </si>
  <si>
    <t>…o puerto. Os tende tenia una débil guarnición de 800 hombres , y Dunkerque tampoco se hallaba en estado de resistir mucho. El exército que cubría aquel pais, y estaba al mando del general Maisson, se había retirado á Ath, Lila y Tournay por disposiciones generales. Por la parte de Ambéres se oia mucho fuego ; la guarnición de aquella plaza se había disminuido mucho, por haberse enviado varios regimientos al interior. Asegúrase que el exército ingles,…</t>
  </si>
  <si>
    <t>Maitland</t>
  </si>
  <si>
    <t>…s fuertes y factorías, y el otro acabar con los piratas que in festan aquellos mares, y causaban muchos perjuicios al comercio. En 8 de Setiembre se publicó en Malta una orden del general Maitland, por la qual, eri virtud de hacer jfeuchos dias que no se padece ninguna epi demia en aquella isla ni en Ja de Gozo, se declaraban libres todas ias comu nicaciones &amp;c.__ El general Srnith, comandante de Gibraltar, á quien ha ido á reemplazar el general Don, h…</t>
  </si>
  <si>
    <t>Maíttand</t>
  </si>
  <si>
    <t>9^6 de Gozo, el general Maíttand había mandado publicar ya el día 2 del mes próximo pagado el bando y proclama de estilo para anunciar solemnemente que se vuelve otra vez á gozar de completa salud. - ................ Se trata seriamente de formar huévbs -reglamentos de comercio, de los quale…</t>
  </si>
  <si>
    <t>MaitUnd</t>
  </si>
  <si>
    <t>…erdeña salió de Cagliari para Génova á bordo de un navio ingles; y que $. A. el duque de Orleans, que se hallaba en Cerdeña, se disponía á seguir en breve á S. M____Las cartas del general MaitUnd, gobernador que fue de esta plaza, con fecha de 4 y 16 de Abril, refieren el fallecimiento de unas 30 personas en la isla de Gozo por causa de la peste; pero el general se li sonjea de que en breve terminará tan funesta calamidad. También se sabe con disgusto…</t>
  </si>
  <si>
    <t>Mal, Juan José</t>
  </si>
  <si>
    <t>Juan José Mal</t>
  </si>
  <si>
    <t>…ay-coa: paira la de Elche á D. Ignacio Sauca: para el corregimiento'de* Gandís ■i E&gt;. Francisca.Antonio Moya; para Já. vaca deóBejar á D. Domingp Colla zo : para la de Archidona á D. Juan José Mal dona dos paca el corregimien to de Coria 4 D• Félix Erizo y Morales: para el de Arcos de ia Frontera á D- José Bravo y Tortees: para la vara de Alberique á D. Ildefonso Gonza lo Moron: para la de Pastrana á D. José Ruiz de Torre Milano % para ia de Torre la V…</t>
  </si>
  <si>
    <t>Malagamba, Carlos Sebastian</t>
  </si>
  <si>
    <t>Carlos Sebastian Malagamba</t>
  </si>
  <si>
    <t>…establecimiento del Crédito púbiico, y en las provincias á los comisionados siguientes: En Avila............................ D. Manuel Palomares. En Badajoz....................... D. Carlos Sebastian Malagamba. En Barcelona.................. D. Ramón Llordella. En Burgos.......................... D. Ramón Martínez Montaos. En Bilbao........................... D. Francisco de la Mata. En Cádiz........................... D. Benito de la Piedra. En Cartagena..........…</t>
  </si>
  <si>
    <t>Malagamba, Cirios Sebaitian</t>
  </si>
  <si>
    <t>Cirios Sebaitian Malagamba</t>
  </si>
  <si>
    <t>…del establecimiento del Crédito público, y en Jas provincias á los comisionados siguientes: En Avila............................ D: Manuel Palomares. En 'Ba&amp;tpz......1............ D. Cirios Sebaitian Malagamba. En Barcelona................* D. Ramón Llordella. En Burgos..................... D. Ramón Martínez Montaos. En Bilbao............. D. Francisco de la Mata: En Cádiz......... ..... D Beiiito de la Piedra. En Cart gena. D. francisco Cliyilles. En C'udad Real..…</t>
  </si>
  <si>
    <t>Malas, Juan</t>
  </si>
  <si>
    <t>Juan Malas</t>
  </si>
  <si>
    <t>…. M.” El 17 del rrismo tuvo igualmente la honra de ser presentado á S. M., besar su real mano y cumplimentarle por su feliz restitución al trono el co ronel de coraceros españoles D. Juan Malas,que en nombre de los regimien tos de caballería acantonados en la ciudad de Xerez de la Frontera &gt; habló' en los términos siguientes; • ; ,, Señor: lo^ cuerpos de caballería acantonados en Xerez de la Frontera, y su digno general el marques de Zambrano, á cuy…</t>
  </si>
  <si>
    <t>Malats, Segismundo</t>
  </si>
  <si>
    <t>Segismundo Malats</t>
  </si>
  <si>
    <t>…l teatro del Príncipe, pintado por Goya, y grabado por Estev^: í 4 rs. En la librería de Matute, calle de las Carretas, se hallan de venta las obras de veterinaria dadas á luz por D. Segismundo Malats, que se compone cada una de diez volúmenes, y son las mismas que de Real orden sirven para la enseñanza de los alumnos de la Real escuela veterinaria de esta corte. EN LA IMPRENTA REAL.</t>
  </si>
  <si>
    <t>Malladas, Josef</t>
  </si>
  <si>
    <t>Josef Malladas</t>
  </si>
  <si>
    <t>…dictada por el Sr. D. Francisco Assin y Domínguez, juez letrado en comisión de esta villa, se ha mandado citar y emplazar á todas y qualesquier personas que tengan parentesco con D. Josef Malladas, que falleció en 18 de Mayo de 181 r, y.también á tocios sus acreedores, por qualquier título ó causa, para que dentro del término ele 15 dias, que por tres, y el último perentorio qtfe les señala, contados desde esta fecha, comparezcan ant-e su señoría, y po…</t>
  </si>
  <si>
    <t>Man, Francisco de Paula</t>
  </si>
  <si>
    <t>Francisco de Paula Man</t>
  </si>
  <si>
    <t>…sia catedral de Ciudad-Rodrigo, y colector general de espolios y vacantes: para una canongía de la iglesia colegial de Antequera, dió cesis de Málaga, vacante por fallecimiento de D. Francisco de Paula Man— silla , á D. José de Miera y Pacheco : para una canongía de la iglesia primada dé Toledo, vacante por tallecí miento de D. Francisco Xavier de Cóntreras, á D. Cayetano de Campos, canciller deja inigne orden del Toyson de Oro y cura del Real palacio: para una…</t>
  </si>
  <si>
    <t>Mane</t>
  </si>
  <si>
    <t>meso En Zamora.....i....:...... . D. Mane el de Uinara. JEn Zeuta........................... D. Pedro Huguet. fi. n~uMitrnta dé ^ pípvidenpíap ¡de la -comisian «nombrada para: la substanciación de ^tfjpaus^ de^E^Udo* forrnaija$ á Ips ¿uget-os que, han atentado contra la, soberanía del Rey nuestro'Señ…</t>
  </si>
  <si>
    <t>Manglanot, Joaquín</t>
  </si>
  <si>
    <t>Joaquín Manglanot</t>
  </si>
  <si>
    <t>…ha servido conceder el gobierno de Llerena al brigadier D. Manuel Iturrigaray, el de Villanueva de los Infantes ai coronel D. Mar cos Nuñez y Abreu, el de Ocaña al de igual clase D. Joaquín Manglanot y e! de Almagro al de la propia clase D. Fernando de Sierra, todos en las ordenes militares. O En atención al distinguido mérito y acendrado patriotismo que en la pa sada guerra con Francia ha acreditado D. Manuel Ximenez Guazo, oficial mayor de la secretaría…</t>
  </si>
  <si>
    <t>Maniel, Miguel</t>
  </si>
  <si>
    <t>Miguel Maniel</t>
  </si>
  <si>
    <t>…ones exte riores, ninguno le excederá á este en amor verdadero, que es el apoyo mas sólido del trono. La orquesta que se dio á S, M. en casa de la condesa de Bureta, dirigi da por D. Miguel Maniel, fué en los términos siguientes: A la entrada se rompió con la sinfonía oriental; luego se cantó un coro; en seguida se cantaron, dos dúos y un terceto italianos; y se concluyó con una marcha dedicada á S. M., y compuesta por dicho D. Miguel Maniel. - ' ' Mad…</t>
  </si>
  <si>
    <t>Manjon, Juan Sánchez</t>
  </si>
  <si>
    <t>Juan Sánchez Manjon</t>
  </si>
  <si>
    <t>…clases. Madrid 15 de Julio. El dia 28 del mes próximo pasado tuvieron la honra de cumplimentar á S. M. en nombre del ayuntamiento de Benavente D. Ramón Gómez, re gidor de ella, y D. Juan Sánchez Manjon, procurador síndico general de la misma; pronunciando el primero el discurso siguiente: „Señor: Benavente fue de los primeros pueblos fieles en Castilla la vieja que se declararon á favor de V. M., la justa causa, y contra el tirano de ambos mundos: la villa…</t>
  </si>
  <si>
    <t>Manrique, Bartolomé</t>
  </si>
  <si>
    <t>Bartolomé Manrique</t>
  </si>
  <si>
    <t>les, presbítero, 12: el diácono D. Bartolomé Manrique i-o: el coronel Don José Menaut 25: el capitán D. Santiago Agesta 25 : D. Cárlos Santos Gon zález 25: el capitán D. Francisco Valdes de Velasco 10: D. Manuel Ages ta y Otamendi 40: D. Diego Ovanguren 12 : D. Juan Baptista Echegaray,, administrador de tabacos,…</t>
  </si>
  <si>
    <t>Manrique, Basilio García</t>
  </si>
  <si>
    <t>Basilio García Manrique</t>
  </si>
  <si>
    <t>…abrica de cigarros de Alicante, ha venido S. M. en concederles los honores de intendente de provincia. El Rey se ha servido nombrar para el corregimiento de la ciudad de Astorga á D. Basilio García Manrique, y para el de la villa de Torrijos á D. Manuel Perez Aransoro; para la vara de lá villa de Elche á D. Ignacio Sauca; para la de Almazañ á D. Gregorio Bárraycoa; para la de SantULua i d J oaquin Paz Merino; para la de Tabara á D. Manuel Xlmenez , y par ra ia d…</t>
  </si>
  <si>
    <t>Manrique, Felipe Martin</t>
  </si>
  <si>
    <t>Felipe Martin Manrique</t>
  </si>
  <si>
    <t>…do de Segovia: para la dignidad de prior curada de la iglesia colegial de ..fielmonte, en la diócesis de Cuenca y vacante por fallecimiento del Dr. X&gt;. Jo sé Manuel de A Ibero , á D. Felipe Martin Manrique, ^calificador del santo oficio de la Inquisición de Valladolid: para el beneficio de la villa de Mondejar en el arzobispado de Toledo , vacante por muerte de D. Eugenio;Ló pez Soldado , á D. Saturnino Legaspi: para ia media prestamera de Baylen, vacante pór m…</t>
  </si>
  <si>
    <t>Manrique, Luis</t>
  </si>
  <si>
    <t>Luis Manrique</t>
  </si>
  <si>
    <t>…tedral de Canaria, vacante por muerte de D. Miguel Mariano de Toledo, á D. Santiago José Benco mo ; y para la dignidad de chantre de la misma iglesia, vacante por fallecimiento de D. Luis Manrique, á D. Pedro José Bencomo: para el benefi cio simple servidero de la iglesia parroquial de Montoro, diócesis de Cór doba j vacante por muerte de D. Manuel Joaquín Condado, á D. Miguel José Escobedo: para la prestamera de Santaeíla, en la misma diócesis dé Cór…</t>
  </si>
  <si>
    <t>Manso</t>
  </si>
  <si>
    <t>…de los coman dantes de división, por cuyo motivo no me es posible dar á V. JE”, una no ticia exacta de nuestra pérdida; pero me han informado extrajudicialmente que la brigada del coronel Manso ha tenido dos oficiales y 40 hombres muer tos y heridos, y la división mallorquína 7 muertos y amos 30 heridos. En tre los prisioneros lo han sido cinco oficiales de los ^regimientos 14.0,' 3° y 44.°, tres de los quales han muerto de sus heridas, Hay varios s…</t>
  </si>
  <si>
    <t>…ntraron las tropas españolas, que fueron co locadas en la forma siguiente: La división Sarsfield guarnece la ciudad, la brigada del coronel Llauder el castillo de Monjuí, y la del coronel Manso la ciudadela. Bermso 31 de Mayo. Ayer, dias de nuestro idolatrado Monarca, en acción de gracias al To dopoderoso por ei suspiradísimo advenimiento de S. M. -al trono, se cantó un solemne Te Deum en la iglesia parroquial de Sta. Eufemia de esta villa, una de l…</t>
  </si>
  <si>
    <t>…sta corte destinado á Zaragoza á las órdenes del ge neral Palafox, en donde según noticias se halló de sargento mayor del regimiento de caballería de la Fuensanta, y de edecán del general Manso en la defensa de dicha ciudad, hasta su rendición en 21 de Febrero de 1809; y no habiéndose tenido mas noticia de él, se suplica á la persona que sepa si existe ó ha fallecido lo avise á D. Pedro M uñoz Merino , vecino de esta corte , calle del Carmen, núm. 6…</t>
  </si>
  <si>
    <t>Manso, José</t>
  </si>
  <si>
    <t>José Manso</t>
  </si>
  <si>
    <t>…asó á embarcarse, quedando Clinton de asiento en lía misma torre. Nadase ha$abido detestareonferencia; pero según las muestras exteriores debechaber.•&gt;ido &gt;dsi jmtpomneias:, . - r Don José Manso está en S. Andrés de Palomar con unos 4® hombres. El</t>
  </si>
  <si>
    <t>Manteca, Fernando</t>
  </si>
  <si>
    <t>Fernando Manteca</t>
  </si>
  <si>
    <t>…almente la honra de felicitar á S. M. una di putación de la ciudad de Toro y pueblos de su tierra, compuesta de los se ñores el Lie. D. Sebastian Antonio de Trias, alcaide primero D. Fernando Manteca, regidor decano; D: Matías Seco, procurador general de la. tierra; D. Antonio Vázquez de Aldana, oficial de la secretaría de Estado y,del despacho de Guerra, secretario de S. M. con exercicio de decretos, y caba-* llero de la real y distinguida orden española…</t>
  </si>
  <si>
    <t>Mantilla, Juan Antonio</t>
  </si>
  <si>
    <t>Juan Antonio Mantilla</t>
  </si>
  <si>
    <t>…alacios á la abadía de Covarrobias, dignidad de la misma iglesia, á D. José Maza Pedrueza ; y en re muneración á los distinguidos servicios que ha hecho á la religión y al esta do D. Juan Antonio Mantilla, capellán mayor del oratorio de S. Felipe Neri de la ciudad de Valladoüd, ha venido S. M. en nombrarle para la canon gía vacante en la catedral de dicha ciudad por promoción de D. José Gar cía Nieto á 1a dignidad de deán de ia misma iglesia, concediéndole igu…</t>
  </si>
  <si>
    <t>Mánuei</t>
  </si>
  <si>
    <t>…anuel Castaño Asemio, capellán del regimiento dé'1 infantería i.° de^líñéa1 de* León ;~y para el beneficio sim ple de Pozaldez, en el óbfcpado dé V^ñadolid, yapante por. muerte de Don Mánuei iguez^RÍbé^ó V ’á Di LMrgñér(5i?fr&lt;Jo'Martínez. .^^Ateadieíxdo S. M—al-i»émo-y dilatados servicios del Ministro del conse jo de las Ordenes tniliíar^p. Jqai* MiguelTPerez Tafolla, se ha servido con cederle la jubilación céti los hondres de Míriisfró1 del'Cons…</t>
  </si>
  <si>
    <t>Manuel</t>
  </si>
  <si>
    <t>…e este partido. Han llegado aquí como unos 50 negros que han podido escapirse, y se esperan‘otros muchos. &gt;' ' " • 1- -- - 1 .. ..¿ ...... ^ar&lt;ll^4-dey/difiembre^ -. &gt; .-.i.«? . ¿ D. Manuel ,de Miedes ha sido: reintegrado en su antiguó gobierno de ésta villa, con cuyo motivo dirigió una proclama á este vecindario, diciéndole que estaba lleno de gratitud por la buena acogida que le habían hecho en aque llos pueblos y hogares, quando con tanto emp…</t>
  </si>
  <si>
    <t>…segundo. Vienen en él dos diputa dos á Cortes por la Puebla de los Angeles, y trae de registro 222© pesos fuertes , too sobornales de grana, unos 300 zurrones de añil y azúcares. D. Manuel;de los Santos, su capitán, dice dio la vela ocho dias después que el nav ío;Miño, en cuya compañía salió la goleta de guerra Galatea, su comandante? »el teniente de navio D. Manuel Martínez? que también acaba</t>
  </si>
  <si>
    <t>…é Maymir y de Román Mancha para entregar les unos vales reales que fueron hallados entre unos papeles que ocuparon y aban donaron las tropas francesas. Los. interesados acudirán á D. Manuel. Maldonado, vecino de Valsee* en» el obispado de.Ségovu. EN LA IMPRENTA REAL.</t>
  </si>
  <si>
    <t>…d de tesorero. El 24 del mes próximo pasado cumplimentó á S. M. por su feliz resti tución al trono el ayuntamiento de la M. N. y L. ciudad de Segovia por medio de sus comisionados D. Manuel de la Fuente, alcalde primero, Don Juan Manuel Cubero, regidor decano, D. Manuel Vázquez Araujo, Don Manuel Rodríguez Ribera, regidores, y D. Pedro Yagiie Delgado, pro curador general de la tierra, quienes tuvieron la honra de presentarse á S. M. y besar su r…</t>
  </si>
  <si>
    <t>de teniente D. Manuel "Vázquez. Pasé también orden á Cuervo pira que con alguna de su tropa se reuniese al referido teniente Barrera, y con toda esta fuerza be mandado á este perseguir á guantas reuniones sepa que exis ten, sin omitir la destrucción de la Mesa de los Coroneles; y…</t>
  </si>
  <si>
    <t>…solemne Te JTeum. Madrid 8 de Junio. El i.° del corriente fue admitida á cumplimentar á S. M. por su feliz restitución al trono una diputación de la. villa de Arenas, compuesta de Don Manuel de la Peña y D. Manuel de Adrada: el primero de los quales, qo&lt;■mo alcalde, dfxo: ' ^ c ... ’ . ,.Señor: la villa de Arenaste S. Pedro, en la provincia de Toledo , que -en el mes de 'Febrero del año)de r8o9 * para acreditar su lealtad y adhesión á la causa de…</t>
  </si>
  <si>
    <t>…en este partido los jugadores D. Ramón de Zuloaga , Don Julián Francisco delbarra, D. Francisco de Zavala y D. José Joaquín Hermoso. Sostuviéronla contra D. Juan Cruz delrigoyen, D. Manuel delturralde, p. Miguel Barcaiztegui, D. Juan Francisco de Elizalde. Hicieron de jueces para la decisión el teniente general D. Pedro Agustin Girón, el con de de Torre-Alta y D. Bernardino Evaña. S. M. manifestó dorante el par. tido un semblante el mas placent…</t>
  </si>
  <si>
    <t>…, auditor de monseñor Nuncio; D. Juan José Barrios, cura de la parroquia de Sta. María; y D. Juan de Lera Cano, cura de S. Salvador: para las siete seculares al duque de Montemar; D. Manuel de la Peña; Don José Manzanilla; D. Cayetano Urbina; D. Pascual Dávila, conde de Ibargrande; D. Antonio Gamiz, y al marques de Perales: y finalmente, para secretario primero á D. Francisco de Villalba, consiliario, secretario se gundo.” De Real orden lo comun…</t>
  </si>
  <si>
    <t>de este, á todas y qualesquíera personas que se conceptúen con derecho á los bienes que ha dexado aquella, como asi bien á los de D. Manuel de las Peñas, vecino que también fué de esta corte, para que al término de 15 dias, contados desde el 2^ del corriente, que por primero, segundo y tercero se les concede, comparezcan a deducirle ante dicho señ*jr, y por la escribanía del número que despacha D…</t>
  </si>
  <si>
    <t>…conservó su fidelidad y su constancia. ¿Y cómo podía dexar de conser varlas? Los exemplos del heroísmo ya multiplicados, la continua vista de la sangre de Velarde en su tío carnal D. Manuel, uno de sus individuos que tiene el honor de presentarse á V. M., y el süelo de Numancia que pisaba, debían mantenerlas , y las mantuvieron. Volvió á su iglesia como V. M. á sus rey nos, dilapidada su hacienda, y desorganizada también su administra ción» sin…</t>
  </si>
  <si>
    <t>…ste estable cimiento. La universidad de Tpledo, restablecida por Real cédula de S M. de 12 de este mes, abrirá su curso el día 18 de Octubre próximo. Se desea saber cf paradero de D. Manuel ¡Ruiz, natura! de la Torre c!c Val de S. Pedro, en Castilla la Vieja, provincia de .Segovia, oficia! del regimiento caba llería de Borbon, que fué hecho prisionero en la toma de Zaragoza, y conducido á Francia al depósito de prisioneros de Nancy , donde perma…</t>
  </si>
  <si>
    <t>…enza. Asimismo se ha servido S. M. nombrar para el priorato de la iglesia co legial de Santilíana, diócesis de Santander, vacante por fallecimiento de Don Luis Ventura Ceballos, á D. Manuel de la Portilla, prebendado de la mis ma iglesia: para una canongía de la iglesia colegial de Xerez de la Frontera, diócesis de Sevilla, vacante por muerte de D. Antonio José de Menchaca, á D. José Lorenzo Berroudez: paTa una ración de la iglesia catedral de C…</t>
  </si>
  <si>
    <t>…n Pamplona.. D. Miguel*D Echarri. ^ En Pías encía.. D. Joan Campo y Oliva. En Sevilla...... D. Nicolás Jo‘é Areipacochaga. En Segovia...... Viuda de Ramiro y Mesa. En Santiago.... D. Manuel de la Riba Moreno. En Soria......... D. Joaquín Tutor Iba Izóla. En S lamanea D. F rancisco de Zúñiga y Barbosa. En Santander. Vial é hijo. En Toledo....... D. Francisco Perez. En Valencia.... D. Manuel López Maestre. En Valtidolid. D. Luis Francisco de Lu¡s¿…</t>
  </si>
  <si>
    <t>…Campo y Oliva. En Sevilla.,......................... D. Nicolás José Areipacochaga» En Segovia,........................ Viuda de Ramiro y Mesa. En Santiago........................ D. Manuel de la Riba Moreno. En Soria............................. D. Joaquín Tutor Ibalzola. En Salamanca................... D. Francisco de Zúñiga y Barbosa. En Santander................. . Vial é hijo. En Toledo....,..................... D. Francisco Perez.</t>
  </si>
  <si>
    <t>…ri, . : ¡ ; Plasencia.i..vi v D. ;Jp4n Campo y Oliva. En Sevilla.. . ¿ D. .Nicolás José Aréipacochaga. En Segovia..*...... Viuda de Ramiro y Mesa. En SantiagOii.i\......i..i...i u D. Manuel de la Riba Moreno, En &gt;Sorjd.¿:.v¿x, 'D.i»Joaquín 'Tutor Ibalzoh. • - Frartói$cbJdé Z uñigaf y Barbosa.ÍEti'.rbántnnc'k..vJ....i;..¿li1 .En Santander...Vial é hijo. ib. fratfeíséoTéiréar'/' • ‘ 'ft Mfátí u el López Maestre.En ifa \ep£ia... i..... EtiValta dol…</t>
  </si>
  <si>
    <t>…. D. Francisco López y su muger Doña Joaquina Perez, vecinos de Rivadeo, obispado de Mondoñedo , $n el reyno de Galicia, enviaron al exércíto á solicitar plaza de cadete á su hijo D. Manuel, el qual después de haber perdido su equipage en la.retirada de Tama mes, se distinguió, y fue agregado á la segunda compa ñía del regimiento de Navarra de línea, y en 30 de Agosto y 7 de Setiembre de 1810 estuvo enfermo de tercianas en los lugares de Oiiva y…</t>
  </si>
  <si>
    <t>Manuel, Francisco Cano</t>
  </si>
  <si>
    <t>Francisco Cano Manuel</t>
  </si>
  <si>
    <t>…a salida del enemigo ; y después de verlo por sí, dispuso que los regimientos segundo de Aragón y Cariñena, al man do de sus gefes el coronel D. Melchor de la Concha y el teniente coronel D. Francisco Cano Manuel, contramarchasen rápidamente para pasar el rio por la barca de Cherta , y sostener la columna de granaderos y cazadores de la misma división, que baxo las órdenes del valiente teniente coronel D. Manuel Lastre se hallaba colocada de antemano en la altura llam…</t>
  </si>
  <si>
    <t>Manuel, José María Barrero y Dort</t>
  </si>
  <si>
    <t>José María Barrero y Dort Manuel</t>
  </si>
  <si>
    <t>…os de recomendación por Iá caridad que han empleado en la asistencia es piritual de los heridos. Mis ayudantes de campo los capitanes D. Manuel del Pozo y D. Antero Henriquez , el teniente D. José María Barrero y Dort Manuel Jáeome llenaron en aquel dia á toda mi satisfacción el cumplimien to de sus deberes, como también el teniente D. Joaquín de Velasco, qué desempeñando iguales funciones qué aqueUos;, fué herido en lo mas acalora do de la acoton; tarhbien me acompañaron en toda…</t>
  </si>
  <si>
    <t>Manuel, Juan</t>
  </si>
  <si>
    <t>Juan Manuel</t>
  </si>
  <si>
    <t>…de Compludo,: dignidad de la iglesia catedral de Astorga; ' para el a'rcediahatb de Valpúestá , dignidad de la santa iglesia metropolitana dé Bureos, vacante por fallecimiento de D. Juan Manuel dei Ajo y Su. Ma ría, á D. Francisco García Sainz, cur;a párroco del.obispado de digu, nza; • ¿ára la ^baála «de Covarrubias,, dignidad de. la santa .ig^sia rtietropohiana de Eureos^. vacante por promopion de D. Joaquín de.Munua y iiu^te a una . canonsía de l…</t>
  </si>
  <si>
    <t>Manuel, Pedro</t>
  </si>
  <si>
    <t>Pedro Manuel</t>
  </si>
  <si>
    <t>…le del León, núm. 14, quarto principal/enJ donde se les enterará de su valor, y mani festarán Jos títulos de legitimidad. , ; Los hijos ó herederos que hayan quedado por muerte d* D. Pedro Manuel de .Folgueras, y el Licu D. Juan José González Palenzuela,'que según noticias falle cieron en esta corte, acudirán á D. Mar#cel de’Velasco, vecino y del comercio de la misma, en su casa sita calle de Bordadores, núm. 16 y 17, quarto principal, pa ra comunicar…</t>
  </si>
  <si>
    <t>Manuel-Valle</t>
  </si>
  <si>
    <t>…ante dél esqüadroa de dragones par tidarios D. Saturnino Castro, el de los mismos de infantería D. Ramón Aquenza, el de cazadores D. Pedro Antonio de Okñeta, el de las guerri llas D. Manuel-Valle, y todos los oficiales hasta el último soldado han cum plido en sus respectivos destinos de una maneta que no hay voces con que elogiarlos. ,,En consecuencia» y para premio de estos dignos militares» he conce dido un escudo de honor á todos desde ios principa…</t>
  </si>
  <si>
    <t>Manzanilla, José</t>
  </si>
  <si>
    <t>José Manzanilla</t>
  </si>
  <si>
    <t>…Nuncio; D. Juan José Barrios, cura de la parroquia de Sta. María; y D. Juan de Lera Cano, cura de S. Salvador: para las siete seculares al duque de Montemar; D. Manuel de la Peña; Don José Manzanilla; D. Cayetano Urbina; D. Pascual Dávila, conde de Ibargrande; D. Antonio Gamiz, y al marques de Perales: y finalmente, para secretario primero á D. Francisco de Villalba, consiliario, secretario se gundo.” De Real orden lo comunico á V. E. para su satisfacción…</t>
  </si>
  <si>
    <t>Map</t>
  </si>
  <si>
    <t>…para otra á D. Santiago Suso y Anda: para una de alcalde nacional á D. Fermín Sanz y López: para otra á D. Manuel Arbizu: para otra á D. Pedro Lapuerta; y para otra no nacional á D. Map riano Rufino González; y para la fiscalía ae dicho consejo,á D. Juan Rar mon de Matute; y para una de ministro togado en la Cámara de Comptos á D. Joaquín Eiio y Jaureguizar: para una de oidor de la chancillería de Valladolid á D. Juan Nicolás Ondaveytia, min…</t>
  </si>
  <si>
    <t>Mar</t>
  </si>
  <si>
    <t>2C r9 para el beneficio simple servidero de la parroquia de Tarascón, diócesis de Cuenca, vacante por muerte de D. Ignacio García del Castillo , á D. Mar cos Ponce de Leen: para el beneficio curado de la villa de Andoain , dióce sis de Pamplona, vacante por fallecimiento de D. Juan Bautista Barberena, á D. José Oyenarte, teniente de cura de la parroquia de S. Vicente de ú ciudad de S. Sebastian. Para el deanat…</t>
  </si>
  <si>
    <t>…e estos á D. Juan Nepomuceno Vela y D, Esteban Moyano. El Rey se ha servido conceder el gobierno de Llerena al brigadier D. Manuel Iturrigaray, el de Villanueva de los Infantes ai coronel D. Mar cos Nuñez y Abreu, el de Ocaña al de igual clase D. Joaquín Manglanot y e! de Almagro al de la propia clase D. Fernando de Sierra, todos en las ordenes militares. O En atención al distinguido mérito y acendrado patriotismo que en la pa sada guerra con Francia…</t>
  </si>
  <si>
    <t>…os ó herederos que hayan quedado por muerte d* D. Pedro Manuel de .Folgueras, y el Licu D. Juan José González Palenzuela,'que según noticias falle cieron en esta corte, acudirán á D. Mar#cel de’Velasco, vecino y del comercio de la misma, en su casa sita calle de Bordadores, núm. 16 y 17, quarto principal, pa ra comunicarles varias noticias interesantes, Se halla vacante la plaza de médico de la villa de Rivadeo, provincia de Mondonedo, en el…</t>
  </si>
  <si>
    <t>…tado por la misma isla á las cortes generales y extraordinarias, se ha servido S. M. nombrarle para la canongía vacante en la.iglesia catedral de dicha ciudad per fallecimiento de D. Mar tin Tous qué la obtenía. El Rey sé ha servido, á consulta del Real consejo de las Ordenes, nom brar para la vara de alcalde mayor de la villa del Quintanar de la Orden, territorio de la de Santiago, á D. Liborio Tudela y Ramos. Atendiendo el Rey nuestro Señor…</t>
  </si>
  <si>
    <t>Mar, Diego</t>
  </si>
  <si>
    <t>Diego Mar</t>
  </si>
  <si>
    <t>…En el de Voluntarios de Madrid , existente en Montevi deo, teniente á D. Manuel Romero, y subteniente á D. Pedro Antonio García. En el de Voluntarios de la misma plaza teniente á D. Diego Mar tín Martínez. En el de infantería ligera Voluntarios de Chiloe subteniente á D. Fermín.Perez. En el regimiento Real de Lima en el Perú subteniente de bandera á D. Juan Urribarri. En las compañías de infantería ligera de Cataluña fixas de la Havana subteniente…</t>
  </si>
  <si>
    <t>Mar, Ignacio</t>
  </si>
  <si>
    <t>Ignacio Mar</t>
  </si>
  <si>
    <t>…mpone. Lo que de orden de S. M. participo á VV. SS. para su inteligencia y cumplimiento. Dios guarde á VV. SS. muchos años. Palacio 28 de Mayo de i8i4- = Pedro de Macanaz. = Sres. D. Ignacio Mar tínez de Villela, D. Francisco Ibañez de Leyva y D. Antonio Alcalá Galiario. Se han extraviado dos vales reales de 150 pesos de la ¿poca de i.9 de Enero de 1808, señalados con los números 338600 y 342485, y pertenecientes á una de las pias fundaciones de la s…</t>
  </si>
  <si>
    <t>Mar, Isidro</t>
  </si>
  <si>
    <t>Isidro Mar</t>
  </si>
  <si>
    <t>…aber muerto D. Juan Mesía, los dos en el obispa*dó dé'Jaén, y el préstamo de Viílace dé la Vega, que lo'está asimismo en la diócesis de León por haber pasado á contraer matrimonio D. Isidro Mar tin Saavedra, á D. Francisco Molíe , capellán de honor de S. M.: para la prestamera de Pradeña enrel obispado de Córdoba, vacante por promoción de D. José María Miera á la dignidad de prepósito de La iglesia colegial de Antequera, diócesis de^Málaga, á D. Joa…</t>
  </si>
  <si>
    <t>Maranao, Luis</t>
  </si>
  <si>
    <t>Luis Maranao</t>
  </si>
  <si>
    <t>…nvié erpbs por ias dos parres, é in- } Formado de lo que había, destaqué 100 fusileros y 30 milicianos con caba llería escogida en dos trozos por igual, mandados por los capitanes D. Luis Maranao y D. Miguel Ceferino Calvo: llegaron á tiempo que pudieron s&lt;sr sorprehendidos, y el resultado ha sido tomarles los dos cañones que traba, una carga y un barril de municiones, t4Ó vacas, 120 caballos, ^00 cabezas de ganado menor, un oficial llamado Caro que venia de ayudante mayor, 13…</t>
  </si>
  <si>
    <t>Maranaz, Pedro</t>
  </si>
  <si>
    <t>Pedro Maranaz</t>
  </si>
  <si>
    <t>…OFICIO, Con fecha de ayer 8 de Noviembre se ha servido S. M. expedir él de creto siguiente: v ,, Habiendo resuelto que mi Secretario de Estado y del Despacho de Gracia y Justicia D. Pedro Maranaz cese en sus funciones, y considerando que toda morosidad en el despacho de los asuntos correspondientes á esta Secretaría seria de grave perjuicio á Vos interesados, he venido en nombrar á D. Tomas Moyano , de mi Consejo Real , para que interinamente se en ca…</t>
  </si>
  <si>
    <t>Marañen, Ramón</t>
  </si>
  <si>
    <t>Ramón Marañen</t>
  </si>
  <si>
    <t>…reco mendar al Gobierno el valor y subordinación de estos beneméritos oficíales y soldados, y principalmente el del comandante del 7.0 D. Antonio Oro, y el del subteniente del 5.0 D. Ramón Marañen, quien habiendo subido ia escala hasta el ultimo peldaño, cayó , y recibió un grande golpe (como se dexa ver por la elevación de la muralla); y despreciándolo, volvió á subir con la mayor bizarría ; el de! capitán D. Simón Perez, los subtenientes Don Pedro Es…</t>
  </si>
  <si>
    <t>Marcelino</t>
  </si>
  <si>
    <t>…ero como ereo.que en esto haría una injuria á V. E., de quien estoy bien persuadido que lo hará, me contento solamente con recomendar á V. E. encarecidamente á los dos comandantes D. Marcelino. Orjká y Don Antonio Oro, para quienes imploro las bondades de nuestro Gdbtierno por medio de V. E., y las de V. E. mismo, bien persuadido de que el asalto de la plaza de Jaca proporcionará la mas pronta rendición de su castillo, de la que deberán seguirse ve…</t>
  </si>
  <si>
    <t>…dadela , y Rey de.M©rainde*,; capitán del io.ch&lt;in« ' fan te ría, de línea. Y el señor general D. Francisco Esp©z y .Mina á. los señoretel cororrd D. fJoaquín Gómez, y ef teniente coronel D. Marcelino¡Oraáp Estosoeificiaies* «reunidos entre la ciudadela y los puestos avalizados de la' dudad!; ¡después: de haber comunicado sus respectivos, poderes, han convenidd- Hoyí Í 7&lt; de Febrero de 18*14 en los-siguientes artículos, salvo la ratifi-c cacion de lcs dos*…</t>
  </si>
  <si>
    <t>2o68 En Oviedo....... D. Rub'ano y Nieto. En Orense....... D. Fernando Rey. En Lugo..i...... D. José María Gayoso.. En Patencia.... D. Marcelino de la Torre. Jim Palma...... D. Lorenzo Gibert. En Pamplona.. D. Miguel*D Echarri. ^ En Pías encía.. D. Joan Campo y Oliva. En Sevilla...... D. Nicolás Jo‘é Areipacochaga. En Segovia...... Viuda de Ramiro y Mesa. En Santiago.... D. Manuel de la Riba Moreno. E…</t>
  </si>
  <si>
    <t>…....... .. D. Rubiano y Nieto. En Orense........................... D. Fernando Rey. En Lugo.............................. D. José María Gay oso. En Palenda....................... D. Marcelino de la Torre. En Palma........................... D. Lorenzo Gibert. En Pamplona..................... D. Miguel Echarri. En Piase neta..................... D. Juan Campo y Oliva. En Sevilla.,......................... D. Nicolás José Areipacochaga» En Segovia,.…</t>
  </si>
  <si>
    <t>…. íosé'Ubacb. * En Oviedo....D. Rubianó y Nieto. 'En Órense......................... D. Fernando Rey. Eii,Lugo'. '..... ...... D. José María Gayoso. jEntPaleficia.rr..,,....r..... D. Marcelino de la Torre* !Éú Palma.................. . D. Lorenzo Gibert. D.. M’guel Echarri, . : ¡ ; Plasencia.i..vi v D. ;Jp4n Campo y Oliva. En Sevilla.. . ¿ D. .Nicolás José Aréipacochaga. En Segovia..*...... Viuda de Ramiro y Mesa. En SantiagOii.i\......i..i...i u D…</t>
  </si>
  <si>
    <t>Marcelo, Joséf</t>
  </si>
  <si>
    <t>Joséf Marcelo</t>
  </si>
  <si>
    <t>…isión y herido en la, misma acción; al capitán de pagadores de* DoyM D. Antonio Martin; al de igual clase de Jaén D. Francisco María Arroquia ; y al teniente de caza dores dé Jaén D. Joséf Marcelo ^qtíé7 fáéch¿fidóígravemeHte.i Asffismo - hace tttk&amp;agO1** ejogipde 4 4#*|Ue: spnd*ic Wfcl fe desudo* mayor üon</t>
  </si>
  <si>
    <t>Marchand</t>
  </si>
  <si>
    <t>…aba ya ea marcha para el Aube y Clairvaux. El duque de Castillone, que tiene baxo su mando un exército de 40® hombres, la mayor parte de tropas escogidas, estaba en movimiento. El general Marchand se hallaba en Chambery; el general Desaix esta ba baxo las murallas de Ginebra, y el general Mitsaíer había entrado en Macón. También estaban en nuestro poder Bourg y Nantua. El general austtiaco Bubna, que había amenazado á León, se retiraba por todas parces…</t>
  </si>
  <si>
    <t>Marchena</t>
  </si>
  <si>
    <t>…e V. S. salí de esta ciudad á las ocho de la noche del viernes 31 del ultimo Diciembre para el pueblo de Calimava, en donde, con los 50 patriotas con que sa^í, se aprehendieron al capitán Marchena y su compañero Mexía, que poco antes de las dos de la mañana habían entrado como lo tenían de costumbre á robar en aquel pueblo, asociados de otros siete que se fugaron validos de la obscuridad de la noche. A las tres de la mañana salí para la Isla, donde cre…</t>
  </si>
  <si>
    <t>MarciÚá-', Antonio Garcés de</t>
  </si>
  <si>
    <t>Antonio Garcés de MarciÚá-'</t>
  </si>
  <si>
    <t>…iente, general D. Manuel Freyre,&lt; del de igual clase D. Ga briel Mendizabal, y del mariscal de campo D? Pedro de la Barcena, dei brigadier Di José Ezpeleta , del mariscal de campo D. Antonio Garcés de MarciÚá-', y del géfe del Estado * mayor1 del quarté-exército D. Estanislao Sanche^ Salvador. Los Oficiales y tropa se;por'taróitr,bien''e« todos los ataques* qtie sucesivamente sé dieron , después dé haberse vuéltb a Tormar¿ No sien do el terreno á propósito para la c…</t>
  </si>
  <si>
    <t>Marco, Baltasar</t>
  </si>
  <si>
    <t>Baltasar Marco</t>
  </si>
  <si>
    <t>…nte, agente del número de las Españas, plazuela del Angel, núm. 19, quien lo agradecerá. Li perdona á quien se le hubiese extraviado un vale real dinero de i.° de Ma yo, acuüi'á á D. Baltasar Marco, procurador del número de esta villa, quien lo entiesará dando las señas. ' Por sentencia de la chancillería de Valladolíd de 22 de Mayo de 1807 está re ser vano en derecho á los hijos, nietos,y biznietos del Líe. D. Bernardo Perez de Herrera, el tyie pueden…</t>
  </si>
  <si>
    <t>Marco, Tiburcio</t>
  </si>
  <si>
    <t>Tiburcio Marco</t>
  </si>
  <si>
    <t>…de Santa María al obis pado de Lugo , á D. Manuel Tarieg^, canónigo doctoral de la de Salamanca; y para una ración de la de Tarazona, vacante por muerte de D. Custodio Lejaide , á D. Tiburcio Marco. ■ * » ¡ ' \, • , El Rey se ha dignado promover en el regimiento, infantería de Pue bla de la isla de Cuba á los sugetos que á continuación se expresan: con la antigüedad de 30 de Octubre de 1810, á capitán de granaderos á D, Anto nio Bienpica, y de fusileros…</t>
  </si>
  <si>
    <t>Marcos, José Navarro y</t>
  </si>
  <si>
    <t>José Navarro y Marcos</t>
  </si>
  <si>
    <t>…de tercianas en los lugares de Oiiva y Aleonehel; y como después nada hayan sabido de él, suplican al que sepa de su paradero ó de su muerte lo avisen á sus padres, ó en Madrid á D. José Navarro y Marcos, en la tienda de géneros ultramarinos de la calle de los Tintes á Puerta Cerrada. Se desea saber ó descubrir por qué casa de giro ó por qué otro conducto se pu sieron en esta corte el año de 1808 unos i82&gt; rs., pertenecientes á D. Joaquin Mercadillo y Castill…</t>
  </si>
  <si>
    <t>Marcos, Juan Manuel</t>
  </si>
  <si>
    <t>Juan Manuel Marcos</t>
  </si>
  <si>
    <t>…persona que supiere del paradero de Doña Agustina AIrarez, natural del lugar de Pinarejos, del obispado de Segovia, ó el de sus hijos Lorenzo y Vicenta Vega, se servirá avisarlo á D. Juan Manuel Marcos, cura párroco del mismo pueblo. Carta segunda al Dr. D. Antonio José Ruiz de Padrón, ex.ministro calificado del extinguido santo oficio, abad de Viilansartin de Vaideorres, y diputado que Tue en las Cortes extraordinarias por las Islas Canarias, sobré varios…</t>
  </si>
  <si>
    <t>Marcos, Miguel</t>
  </si>
  <si>
    <t>Miguel Marcos</t>
  </si>
  <si>
    <t>…rgada por la universidad de Facer e^te homenage á S. M. era compuesta de los Dres. D. Toribio Nuñez Sesíé, su bbiotecario mayor; D. Pedro Tiburcio Gutiérrez, catedrático de leyes; D. Miguel Marcos . catedrático de filosofía, y D. Tomas González, encargado de la de elocuencia. Acompañaban á la diputación los Excmos. Sres. duque de S. Carlos, marques de Cerralbo y marques de Alcañices , co mo conservadores de la univetsidad , y como individuos de su grem…</t>
  </si>
  <si>
    <t>Marcos, Pedrq</t>
  </si>
  <si>
    <t>Pedrq Marcos</t>
  </si>
  <si>
    <t>…nte corregidor de esta heroica villa, se cita , llama y emplaza á todas y qualesquiera personas que se crean con derecho á los bienes quedados por el falleci miento abintestato de D. Pedrq Marcos, Vecino y maestro de coches que fue en esta corte, natural de la villa de Villalínanzo, abadía de Lerma, hijo de Andrés de Marcos y María Andrés, para que en el preciso término de 30 dias, contados dasde esta fecha, que por primero y último se les concede, ac…</t>
  </si>
  <si>
    <t>Mari, José</t>
  </si>
  <si>
    <t>José Mari</t>
  </si>
  <si>
    <t>…ro Señor se ha servido, á consu1ta del Real consejo de las Ordenes, nombrar para las varas de alcalde mayor, de las villas de Fuente del Maestre á D. Leonardo Botella; de U.ciés á D. José Mari s de Eguizabal; de Manzanares á D. Félix González Vizcaíno; de Brozas á Don Agu.tin Lozano; de Ceclavin á D. José Potes y Puig; de Pedro Muñoz á D. León González del Camino y Estefanía; de la Mota del Cuervo á</t>
  </si>
  <si>
    <t>María</t>
  </si>
  <si>
    <t>…o los documentos1 calificativos de sus crédi tos, señalándose para ello el término de 30 días, contados desde 13 del corriente. Habiendo fallecido en Cádiz el 25.de Alarzo de 1811 Doña María de los Do lores Gutiérrez Gayón, esposa de D. Jacinto del Marmol, último corregidor que fué de la villa de Huelva, provincia de Sevilla, la qual poseía unos vínculos en la villa dé Torreláguna, provincia de Toledo; y no habiendo dexado hijos, se avisa al públ…</t>
  </si>
  <si>
    <t>…hijos que parece Fueron de D. Diego Londoño y de Dona Bernarda Matías de los Reyes, ?us hijos ó descendi entes legítimos lla mados á la sucesión del vinculó vacante ppr muerte de Doña María de los Dolores García M»yor dp Londono, á efecto de acreditar los derechos que á dicho vínculo puedan co'réspond:r¡es, acud irán á deducirlos* la ciudad del Puerto de Sta.'Ma ría, ante D. Dionisio Rodríguez González, alcalde mayor de ella, y escribanía de D.…</t>
  </si>
  <si>
    <t>…laza de soldado en el quartel de Su Lorenzo de artilleros de la misma ciudad. Se suplica , pues ,á los gefes militares que sepan de su paradero ó de su muerte, lo avisen á Osuna á Doña María de la Presentación Maldonado. Observaciones sobre la obra del Excmo. Sr. D. Juan Escoiquiz titulada Idea sencilla de las razones que motivaron el viage del Rey Fernando vn á Bayona* dedícalas á sus compatriotas.su autor el Consejero de Ésrado D. Pedro Cevallo…</t>
  </si>
  <si>
    <t>…nes á una de las huérfanas de los militares &lt;5 patriotas que hubieren muerto en defensa de la justa causa de la nación, ha cabido en suerte del primer extracto de la de este dia á Doña María de los Dolores Machín , hija de D. Joaquín , capitaii del regimiento de infantería de Zaragoza, muerto en el campó del honor. Y &lt; 4 " , , , ’ . Se halian vacantes los partidos de médico, cirujano, maestro de primeras letras y maestra de niñas de la villa de A…</t>
  </si>
  <si>
    <t>María', Eugenio</t>
  </si>
  <si>
    <t>Eugenio María'</t>
  </si>
  <si>
    <t>…del corriente tuvo asimismo el honor de cumplimentar á S. M. y A A., y besar su real mano comó comisionado del colegio grpndé de San Anton*^ PortaceÜ dé la ciudad de Sigüenza^ el coronel D. Eugenio María'</t>
  </si>
  <si>
    <t>María, Joaquin</t>
  </si>
  <si>
    <t>Joaquin María</t>
  </si>
  <si>
    <t>…a á quien se tri butaba, El lunes 16 del mes próximo pasado tuvieron el honor de presentarse á cumplimentar á S. M.‘ y AA. el ilustre abad de la iglesia colegial de Medinaceli Dr. D. Joaquin María deElizondo; Dr. D. Francisco Domingo Fer ro, dignidad de arcipreste de la misma, y el canónigo D. Juan José Ló pez , y después de besar la mano á S. M., el primero le dirigió el discurso siguiente: • „ Señor: el abad y cabildo colegial de Medinaceli ofrecen á…</t>
  </si>
  <si>
    <t>María, Joaquiu</t>
  </si>
  <si>
    <t>Joaquiu María</t>
  </si>
  <si>
    <t>…haniz, Doña Francisca Xaviera Galdón», Don Joaquín Diego de Saracoiz, Doña María Concepción Antonia de Umendia, D. Vi cente Joaquín de Barrutia, Doña Josefa Joaquina de Aizolares, D. Joaquiu María ¡BarróeVi , Doña María Teresa Faraudo, Doña María Antonia de Goycneche é Indaburu, con el citado consulado de Cádiz sobre paga de los réditos de los capita les qde le prestaron sus causantes ; y como hallándose estos autos suspensos, hecho ya é impreso el mem…</t>
  </si>
  <si>
    <t>María, José</t>
  </si>
  <si>
    <t>José María</t>
  </si>
  <si>
    <t>…villa de Talavera de ía Reyna, compuesta del Sr D. Ilde fonso Martin Gutiérrez, alcalde primero, délos Sres. D. Manuel Rubio Es cudero y D. Agustín Sobrinos, regidores, y del Dr, D. José María de la Paz Rodríguez, procurador síndico general de su ilustre ayuntamiento, el primero de los quales manifestó á S. M. en un breve y ■ enérgico discurso quan satisfactorio era al ayuntamiento y á los leales vecinos de Talavera ver restituido al trono de Españ…</t>
  </si>
  <si>
    <t>María, Julio</t>
  </si>
  <si>
    <t>Julio María</t>
  </si>
  <si>
    <t>…o la fortaleza de Corfú se entregarán a las tro pas británicas al paso que las francesas se vayan embarcando en la esquadra que ha llegado de Francia. ITALIA. Roma 25 de Junio. El cardenal Julio María de la Somaglia, vicario general , ha publicado un edicto, por el qual manda que todos los eclesiásticos, aun los simples tonsurados, vistan de un modo regular y conforme á las deposiciones de los santos cánones, prohibiendo expresamente, y baxo ciertas penas,…</t>
  </si>
  <si>
    <t>María, Nicanor</t>
  </si>
  <si>
    <t>Nicanor María</t>
  </si>
  <si>
    <t>…alidad de. diputados de lá santa iglesia metropolitana de Sevilla el limo* . Sr. comisario general de cruzada, D. Manuel María Rodríguez de CarasaV D. Nicolás Luis Lezo y Garro, y D. Nicanor María de l&amp;tóry Buruiga,. los dos primeros canónigos, y los segundos racionero* de /a misma santa! iglesia; el primero de los quaíés habló en estos términos: „Señor: el cabildo metropolitano de Sevilla se postra por medio de sil diputación á L. R. P. de V. M., y le…</t>
  </si>
  <si>
    <t>María, Pedro Dávalos Santa</t>
  </si>
  <si>
    <t>Pedro Dávalos Santa María</t>
  </si>
  <si>
    <t>…rre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Francisco D’IIautregard, D. José</t>
  </si>
  <si>
    <t>Mariaca, Jfetuáb'é de</t>
  </si>
  <si>
    <t>Jfetuáb'é de Mariaca</t>
  </si>
  <si>
    <t>…le, situadas en el barrio dq Moljnar, .el rlus.treocabildo eclesiástico y ayuntamiento, precedidos de su alcalde y juez'ordinario ;¿l teniente1 de navio retirado de la real armada D. Jfetuáb'é de Mariaca fy Ansótegui, y acompañados de los principales vecinos asi del valle como de sus inmediaciones. En esta forma, precedidos del síndico procurador general, que conducía el retrato de nuestro anhelado Fernando, se dirigieron á la iglesia parroquial de S. Juan de…</t>
  </si>
  <si>
    <t>Mariano</t>
  </si>
  <si>
    <t>…omer al Excmo. Sr. general Copons, y dispuso que se convidase con el mismo objeto al general barón de Eróles (que no pudo comer con S. M. el día anterior por bailarse aumente), al brigadier Mariano, subinspector de caballería, y á los coroneles Fleyres, Llauder y Ainat, gefes de las dos brigadas de la segunda división, y sub inspector de infantería del exército. En esta noche, como en las anteriores, hubo iluminación general. Laredo £ de Abril. Estado m…</t>
  </si>
  <si>
    <t>Mariano, Isidrói</t>
  </si>
  <si>
    <t>Isidrói Mariano</t>
  </si>
  <si>
    <t>…sacerdotales^ pidiendo incesaíiteifiented. Dios por la salud de V. M., por la de la. Real Familia*, y porda l^liciiad «de toda la monarquía^* ■ : - b* ^ -y y *■ En el misifio dia D. Isidrói Mariano. Sánchez,, comisionado por la villa de •Olivenza en, la provincia de Extremadura*, tuvo: 1*. honra.-de. besar la. Real mai|o^y feáicitar *a.?q ou 3; j^vSeñor r el vhestróoaycttí^miento de^ lal'fviihtvdaiOiivénza e«j}a pmvma «cia, de; Extremad-ur.a'me*'mjnSLor…</t>
  </si>
  <si>
    <t>Mariano, Josef</t>
  </si>
  <si>
    <t>Josef Mariano</t>
  </si>
  <si>
    <t>…mitidos á Cádiz para su renovación, é ignorándose su parade* ro, se suplica ai sugeto en cuyo poder se hallen, ó tenga,noticia de eltos, se sirva avisar en Portugalete á ios Sres. D. Josef Mariano, D. Francisco Severo y Doña Joaquina de Larrea, y en esta corte á D. Paulino Sorzano y Soria, del comercio, portales de Santa Cruz. ^ , Se han extraviado á D. Antonio Fernandez^ presbítero, en la ciudad de Astorga, entre otros papeles y vales reales tres de 3…</t>
  </si>
  <si>
    <t>Marín, Jay'me</t>
  </si>
  <si>
    <t>Jay'me Marín</t>
  </si>
  <si>
    <t>…de Aragón, pensaron 'd^sde luego sus .individuos diputar á -quien-en su nombre felicita sé al Rey nuestro Señor; y habiendo'úómbrado:rál efecto al abóg^tfo^dé fi&amp;s Reales Consejes D. Jay'me Marín /fíle^este admitido á* cúmp limé fita r á S. M. el l¿ de Noviembre último, eoñ "buyo motivo dixO : ' • i-,, Señor: La comunidad dé Dárdca, en el rey no de Aragón, tiene hoy el venturoso día de elev;-aqá los^pies del trono de(V. M. por medio de su comisionado…</t>
  </si>
  <si>
    <t>Marín, Juan Tomas</t>
  </si>
  <si>
    <t>Juan Tomas Marín</t>
  </si>
  <si>
    <t>…cirugía militar del exército ha llenado completamente sus deberes en la asis tencia dé los heridos, y qüe los facultativos que mas se han distinguido á la vista del cirujano mayor D. Juan Tomas Marín son el consultor D. Antonio de Denláfen, el primer ayudante D. Rafael Genebriera, el segundo habili tado5 D. Antonio Briart ,. y el físico del batallón de marina D. Francisco Cas ero. Los capellanes D. José Miranda y D. Francisco Varela son también dig nos de…</t>
  </si>
  <si>
    <t>Marín, Lucas</t>
  </si>
  <si>
    <t>Lucas Marín</t>
  </si>
  <si>
    <t>…muy poca san gre durante el sitio; nabiendo muerto en el asalto de la ciudad el cadete D. JosefOrtuño, el granadero Manuel Porta y el fusilero Sebastian de Mula , y sido herido el capitán D. Lucas Marín. Ademas fue muerto de bala de fusil durante el sitio del castillo el teniente graduado de capitán D. Ma nuel Prino. »La tripulación y oficiales de marina de las fuerzas sutiles, al mando del capitán de fragata D. Juan Merita, han contribuido mucho, estable ci…</t>
  </si>
  <si>
    <t>Marín, Vicente</t>
  </si>
  <si>
    <t>Vicente Marín</t>
  </si>
  <si>
    <t>…su real mano y de los Sres. Infantes á nombre del cabildo de la catedral de Santo Domingo de la Calzada los Sres. Dr. D. Bonifacio de Tosantos y Hur tado de Corctaera, lectoral, y D. Vicente Marín, prebendado de la misma j ti primero de los quales tomando la palabra dixo:</t>
  </si>
  <si>
    <t>Markland</t>
  </si>
  <si>
    <t>…prehendió el enemi go, descubriendo una batería oculta de una pieza de campaña y un obús con tra el Milford , cuya popa estaba vuelta hácia la playa. AI cabo de algunos minutos ei capitán Markland echó el ancla, y abrió un fuego sostenido y bien dirigido contra la batería: al quarto de hora fueron desmontadas laí dos piezas, dos hombres muertos y siete heridos, yen el navio no hubo nin guna desgracia, aunque reventó una granada en el alcázar de popa. E…</t>
  </si>
  <si>
    <t>…e la buena conducta de Mr. Wats, contramaestre del último buque, quien fue gravemente herido, y del capitán Dunn, de la Marmaid , que manifestó muchoi zelo en todas ocasio nes. El capitán Markland mandaba los soldados de marina , y le estoy muy agradecido por el zelo que ha manifestado en todas ocasiones, y sobre toda en la distribución de víveres y de municiones de toda especie. Hemos llega do á tener en tierra 1200 hombres empleados en las baterías y…</t>
  </si>
  <si>
    <t>Marmol, Jacinto del</t>
  </si>
  <si>
    <t>Jacinto del Marmol</t>
  </si>
  <si>
    <t>…lándose para ello el término de 30 días, contados desde 13 del corriente. Habiendo fallecido en Cádiz el 25.de Alarzo de 1811 Doña María de los Do lores Gutiérrez Gayón, esposa de D. Jacinto del Marmol, último corregidor que fué de la villa de Huelva, provincia de Sevilla, la qual poseía unos vínculos en la villa dé Torreláguna, provincia de Toledo; y no habiendo dexado hijos, se avisa al público para que el que se crea con derecho á ellos se presentes acre…</t>
  </si>
  <si>
    <t>Marmont</t>
  </si>
  <si>
    <t>…Kasiewitz había tomado posición en Bergeres.” El 13 estaba en Champ-Aubert el quartel general del feld-mariscal Blu cher, quien había avanzado de Bergeres para atacar en Etoges al mariscal Marmont, que se hallaba allí con 9 á iq© hombres. El enemigo se retiró gradualmente, y se le dieron ataques muy vivos en su retaguardia, principalmente por los cosacos, cuya persecución se con tinuó desde Etoges hasta mas. allá de Champ-Aubert. El enemigo pasó la noc…</t>
  </si>
  <si>
    <t>…ken tenia esta mañana su quartel general en Chateau-Tierry, y el general York en Biffert. Bonaparte, que debia haber vuelto anoche á Montmirail, estuvo al vivac en el campo. ,, El mariscal Marmont se halla en Etoges con el sexto cuerpo. ,,Ei feld-mariscal Blucher, con los cuerpos del general Kieist y el gene ral Kapsiewitz, ha tomado posición en este pueblo. El mariscal Marmont envió un parlamentario esta mañana con una carta para el feld-mariscal, i q…</t>
  </si>
  <si>
    <t>…on sus guardias, á Chateau-Tierry , habiendo antes evacuado aquel pueblo los geperales York y .Saken, retirándose del lado de allá del Mame. . 7 Ayer por la mañana avisaron que el mariscal Marmont se retiraba dél pliegojjdej.^o.rmentierésy en consecuencia,el feld-mariscal Blucher» que h.a¿ia^vivaq^^4P la nqcbe anterior en Chan&gt;paubert, resolvió perseguirle; sedo tenia, á sus. ordenes el cuerpo del general Kleist y la división de! gene ral. Kapsiewitz,…</t>
  </si>
  <si>
    <t>…nemigo adelantó sn’vangúardia con ánimo de atacar, pero fue re chazado hasta la ciudad con pérdida. El mariscal Blucher marchó con su exército hacia Sezanne á atacar al cuerpo del mariscal Marmont, que echó á la otra parte del Marne; y habiendo enviado sus tropas ligeras á Meaux, ^Marmont rezeloso abandonó á Ferte-sous-Jouarre. El mariscal Blucher esta ba en comunicación con el general Winzingerode, y el general Bulow avan zaba á reunírsele. El marisca…</t>
  </si>
  <si>
    <t>' / el ffeld-mariscal BJucher que el enemigo había tomado la dirección de Rebais, y determinó perseguirle alii, habiendo hecho alto aquella noche. El mariscal Marmont continuó su marcha á la Ferté-sous-Jouarre, y según in forme de los paisanos, iban sus tropas en desorden , buscando abrigo en los bosques. En Rebais supimos que el mariscal Mortier con la guardia nueva había salido de Chateau-Thierry para reunirse con el mar…</t>
  </si>
  <si>
    <t>…nzow habían verificado ya su reunión. HOLANDA. Ley den it de Marzo. El gobierno ha recibido noticias de oficio de Laon el 28 de Febrero, y de Soissons el 4 de Mtrzo. El cuerpo del mariscal Marmont fué atacado y re chazado el 25 de Febrero. El exército del general Winzingerode se puso en marcha desde Rheims siguiendo la orilla del Aisnet el general Bulow entró én Laon el i.° de este mes, y ocupó á Soissons el 3. La guarnición,francesa de 1400 hombres ca…</t>
  </si>
  <si>
    <t>…encargado de formar una Constitución para presentarla al Senado; y habiendo sido aprobada, quedó reconocido como Rey de los france ses Luis Estanislao Xavier xviii. Entretanto el mariscal Marmont abandonóá Napoleón el 3 de Abril, lleván dose consigo su exército, que se componía de 10® hombres, y parece que los demas generales han hecho lo mismo. El mariscal Ney y Caulincourt, después de haber conseguido que Napoleón abdicase, trataron de persuadir á l…</t>
  </si>
  <si>
    <t>…s negros dio una carga bri llantísima sobre una columna enemiga, quitándole hasta 20 cañones. Al ir avanzando con ventajas tan decisivas se apareció una bandera par lamentaria del mariscal Marmont, quien manifestó su ánimo de acceder á qualesquiera proposiciones que se hubiera tratado de hacerle por medio de otra bandera parlamentaria que antecedentemente había desechado. Entre tanto propuso un armisticio por dos horas, cediendo desde luego todas las p…</t>
  </si>
  <si>
    <t>…ingles de Francia pasará inmediatamente á los Estados-Unidos para hacer alli la guerra; y que ascienden á 20® hombres los que están para embarcarse en el Garona. Se espera aquí al mariscal Marmont .y al senador Barthelemy como, di putados cerca del rey de Francia para recibir su .aprobación de la acta cons^titucional. . .3 . / ¿ • Lord Wellington ha recibido en Tolosa upá carta de propio pqño del emperador Alexandro , concebida en los términos mas liso…</t>
  </si>
  <si>
    <t>…mariscal Mortier: Señor mariscal 3 quando no éramos amigos tuvisteis con la Rey na mi esposa ciertas consideraciones que me ha hecho presentes, y en el dia me acuerdo de ellas. Al mariscal Marmont le dirigió las siguientes palabras: Sé que fuisteis herido en España 3 y que por poco perdisteis un brazo. Sí,</t>
  </si>
  <si>
    <t>Marquina, Camilo</t>
  </si>
  <si>
    <t>Camilo Marquina</t>
  </si>
  <si>
    <t>…sargento mayor de id. D. Diego Quirós, capitán de id. D. Tomas Pastoriza , teniente de id. D. Gumersindo Muros, subteniente de id. D. Benito Llórente, capitán del de Guadalaxara. D. Camilo Marquina, id. de id. D. Juan de Novoa, id. de id. D Francisco Vega, ayudante primero de id. D. José Guerra, subteniente de id. D. Eduardo Jdosqjuera, capitán de, fragata. Dora</t>
  </si>
  <si>
    <t>Marrisson</t>
  </si>
  <si>
    <t>…os del exército del mayor ge neral Wiikinson luego que se certificasen que se dirigían hacia este lado. „Tengo la satisfacción de remitir á V. S. una copia del oficio del teniente coronel Marrisson para el mayor general Rotrenberg, que contiene las cifcircunstancias del ataque dado contra el cuerpo de obervacion de su mando por usía parte de las fuerzas americanas mandadas por el brigadier general Boyd , que ascendían á 40 hombres, el qual terminó en un…</t>
  </si>
  <si>
    <t>Marrón, Ignacio de</t>
  </si>
  <si>
    <t>Ignacio de Marrón</t>
  </si>
  <si>
    <t>…Car los y D. Antonio. El 28 del mismo tuvieron igualmente la honra de cumplimentar á S. M. en nombre de la sociedad patriótica de la Rioja los Sres. conde de Murillo y de Bornos, D. Ignacio de Marrón, D. joaquin de Osma y D. Pedro Gon zález Robles; diciendo el primero de ellos: „Señor: la sociedad de la Rioja castellana, representada por su diputa ción , que tiene la inexplicable satisfacción de felicitar á V. M. por la debi da restitución al trono de sus…</t>
  </si>
  <si>
    <t>Marrón, José</t>
  </si>
  <si>
    <t>José Marrón</t>
  </si>
  <si>
    <t>…mancg, . vacante por muerte de D. Agustin de los Arcos y Enema, a i&gt;. Alexo.üui- Hen;'para él arcédianato titular de la santa iglesia metropolitana de hurgo, vacante por muerte de D. José Marrón, y por haber fallecido D. Ignacio ■ Aíóñ'sóBügedo J nombrado para él, artes de tomar posesión, a:D. Atexardro • Izquierdo í abad de Compludo,: dignidad de la iglesia catedral de Astorga; ' para el a'rcediahatb de Valpúestá , dignidad de la santa iglesia metro…</t>
  </si>
  <si>
    <t>Marta</t>
  </si>
  <si>
    <t>…ltas de la retención de un vale Real hecha en la oficina dé renovación á solicitud de Dona Marta de Mieres, por lo que el mismo señor juez ha mandado emplazar y se emplaza á dicha Doña Marta, para que dentro de 15 dias, en que se incluyen tres términos y el último perentorio, comparezca por me dio de procurador ante dicho señor á exponer y usar de su derecho e-n razón de los motivos que haya tenido para la expresada reclamación; con apercibimient…</t>
  </si>
  <si>
    <t>Martelo, Manuel</t>
  </si>
  <si>
    <t>Manuel Martelo</t>
  </si>
  <si>
    <t>…D. Benito Arias de Prada, ministro del consejo Real , y gobernador de la Sala de alcaldes de casa y corte, D. Miguel Antonio Blanes, oidor de la Real audiencia de dicha ciudad, y D. Manuel Martelo, cura de S. Pedro de Vi ¡lar y arcipreste de Pru zas; el primero de los quales arengó á S. M. en la forma siguiente : ,, Señor: el ayuntamiento de la ciudad dé la Coruña , enagenado del mas puro y sublime gozo por el triunfante regreso de V. M. al excelso tro…</t>
  </si>
  <si>
    <t>Martí, Bernardo</t>
  </si>
  <si>
    <t>Bernardo Martí</t>
  </si>
  <si>
    <t>…D. IBlas Joaquín Alvsrcz de Palma, obispo -de Jferuel, para la dignidad de arcediano de Huete en la iglesia catedral de Cuenca, vacante per muerte de D. José de las Casas Maán, á D. Bernardo Martí nez, c nónigo de la de Orense ; para una canongía de la iglesia catedral de Oviedo, vacante por fallecimiento de D. Remigio Navamuel, á D. Joaquín M&lt;: rtin Renayas \ y para una capellanía de la Real carilla de Sres. Reyes nuevos de Toledo, vacante por muerte…</t>
  </si>
  <si>
    <t>Martí, Francisco de Pau la</t>
  </si>
  <si>
    <t>Francisco de Pau la Martí</t>
  </si>
  <si>
    <t>…•Guardias Españolas, muejrto en el campo del honor. La junta de dirección y gobierno del Real colegio de sordo- mudos, por renuncia que ha hecho de la plaza de secretario de ella D. Francisco de Pau la Martí, ha nombrado para sucederle al Lie. D. Josef María Celas y Mu ñoz, que vive calle del Humilladero, esquina á la del Relox, núm. 4.0, qnarto principal; lo que se avisa al público para que se le dirijan todas las pretensiones y papeles que digan relación con el…</t>
  </si>
  <si>
    <t>Martí, Francisco de Paula</t>
  </si>
  <si>
    <t>Francisco de Paula Martí</t>
  </si>
  <si>
    <t>…a escritura común-, cuyo método se enseña en Madrid de orden y á expensas del Gobierno. Segunda edición, corregida y aumentada con varias observaciones hechas por su mismo autor y profesor D. Francisco de Paula Martí desde el principio de este establecimiento. Un tomo-en 4.0 con varias lá minas. Se hallará á 30 reales en las librerías de Castillo, frente á las gradas de San Felipe el Real, y en la de Quiroga, cálle de las Carretas. Lecciones sobre la retórica y Tas bellas…</t>
  </si>
  <si>
    <t>…o para que puedan ios padres ó encargados de los niños sordo mudos solicitar estas plazas, dirigiendo sus pretensiones al secretario de la junta de gobierno del mencionado colegio D. Francisco de Paula Martí, que vive en la calle del Turco, en la real escuela de taquigrafía. Las clases de colegiales y discípulos, conforme al regí mentó aprobado por S. M. en 10 de Diciembre de 1803, son: seis colegiales ó alumnos no contribuyentes, que deben ser pobres, y estar en…</t>
  </si>
  <si>
    <t>…s preguntas, y que escribiesen al encerado quantas cuestio nes tuvo á bien proponerles con las explicaciones convenientes; ye! Excmo. Sr. director les dio gracias, como también al catedrático D. Francisco de Paula Martí por su esmero en la enseñanza , y animó á los discípulos á la continuación de sus tareas en beneficio público. ARTICULO DE OFICIO. Se ha expedido la Real Cédula siguiente de S. M. y Señores del Consejo. Don Fernando vil por la gracia de Dios, Rey.de Castilla,…</t>
  </si>
  <si>
    <t>…laridad que la escritura común r cuya ense ñanza está por orden del Rey nuestro Señor baxo la protección de la Real sociedad económica de Amigos del pais de Madrid , y á cargo ucl profesor D. Francisco de Paula Martí. Las personas que deseen instruirse en este arte convendrá que sepan la gramática castellana ó latina , y leer y escribir de corrido; y para matricularse acudirán hasta dicho dia. á la Real er-cuela. de este nombre,,sita en la calle del Turco,.casa que fué al…</t>
  </si>
  <si>
    <t>Martin</t>
  </si>
  <si>
    <t>…López Enguádanos, profesores conocidos por su distinguido mérito: contiene el primer quaderno que se da al público los retratos del marques de la Romana, D. José Palafox y Melcy, D. Martin de la Carrera, el Empecina do , D. Juan Palarea, el Médico, y D# Juan de Tapia , el Cura, con sus correspon dientes epígrafes, cuya obra se ha hecho con el mayor esmero, como obra que en todo tiempo honrará la nación. Se hallarán de venta este y los demas que…</t>
  </si>
  <si>
    <t>Martin, Antonio</t>
  </si>
  <si>
    <t>Antonio Martin</t>
  </si>
  <si>
    <t>…osé Magia £reyreal ten¡en,t,e(4.elj¥lgimieuto de Doy le D. Nicolás Minussir, agregado al estado mayor de la división y herido en la, misma acción; al capitán de pagadores de* DoyM D. Antonio Martin; al de igual clase de Jaén D. Francisco María Arroquia ; y al teniente de caza dores dé Jaén D. Joséf Marcelo ^qtíé7 fáéch¿fidóígravemeHte.i Asffismo - hace tttk&amp;agO1** ejogipde 4 4#*|Ue: spnd*ic Wfcl fe desudo* mayor üon</t>
  </si>
  <si>
    <t>Martin, Domingo de San</t>
  </si>
  <si>
    <t>Domingo de San Martin</t>
  </si>
  <si>
    <t>…s crecidos daños que han ocasionado las rentas provinciales, y lás grandes ventajas que se siguen de su abolición, con otros puntos concernientes al objeto de la contestación: por D. Domingo de San Martin, abogado eii la ciudad de Santo Domingo de la Calzada: un tomo en 4.* á la rústica. Se hallará á 6 rs. en las librerías de Fuentes, calle de la Almudena; de Castillo, enfrente de las Covachuelas; y en la deQuirós, calle de Atocha. Taquigrafía castellana, ó ar…</t>
  </si>
  <si>
    <t>Martin, Fernando San</t>
  </si>
  <si>
    <t>Fernando San Martin</t>
  </si>
  <si>
    <t>…sé Morales y Carrero, canónigo de la iglesia catedral de Mondoñedo: para una canoagía de la iglesia catedral de Calahorra , vacante por fallecimiento de D. Manuel Roiz de Bravo, á D. Fernando San Martin: para una ración de la misma iglesia , vacante por muerte de D. Diego Landivar, á D. Juan Bautista de Avendaño y Eloregui: para una canongh de la iglesia catedral de Cádiz, vacante por fallecimiento de D. Antonio Lade ro, á D. Manuel de Cos, medio racionero d…</t>
  </si>
  <si>
    <t>Martin, José Martínez de San</t>
  </si>
  <si>
    <t>José Martínez de San Martin</t>
  </si>
  <si>
    <t>…ulgencio, D. Estéban Poriier, D- Antonio María de Mendoza, y Don Mariano de Peñafiel. A 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t>
  </si>
  <si>
    <t>Martin, Juan</t>
  </si>
  <si>
    <t>Juan Martin</t>
  </si>
  <si>
    <t>…qual se podía contener al enemigo, en el caso de haber forzado la posición del pueblo, hasta que hubiesen pasado el rio el resto de la segunda división y la quinta, del mando del brigadier D. Juan Martin, que se hallaban dis puestas á executarlo.-El batallón de Molina quedó en Cherta al cargo de su coronel D. Fa cu fleta- Afarcon, y también el coronel ayudante general de ntado-mayor D. Manuel Rodríguez Fito, con objeto de disponer el bre te paso del ri&amp;podás'…</t>
  </si>
  <si>
    <t>Martín, Juan</t>
  </si>
  <si>
    <t>Juan Martín</t>
  </si>
  <si>
    <t>…litar no ca be tener seis piezas de batalla en cada puerta de Tortosa , hacer una salida general, y no hevnr ninguna; y conforme en esta idea el brigadier, Sauz con el de su clase D. Juan Martín , que le acompañó en la acción, pidió á este un batallón, que llegó a! instante, para perseguir,al,enemigo. Este coTitiidió pór alguna^ horas sufriendo el fuego d'e* nuestra *artiiierí'r y batallcne-: se presentó en Tibens, adonde fue también e! regimiento de…</t>
  </si>
  <si>
    <t>…Exento. Se ñor duque de Ciudad-Rodrigo.” . * '■ , , . Valencia j de Febrero. Manuel Suare-z, natural de Madrid, soldado en los voluntan s de aque lla capital, de' la división del brigadier D. Juan Martin., el Empecinado, vestido de paisano se presentó á la; avanzada.francesa de la plaza* de Peñíscola con un cántaro de aguardiente, logró engañarla*, y. embriagándola to da recogió 700 cabezas de ganado; y habiéndolas .puesto en salvo, dio aviso á. las avanzadas…</t>
  </si>
  <si>
    <t>…emas fueron ¿ la costa, siendo 11 de ellos transportes ingleses cargados de víveres. ESPAÑA. j ; Valencia 2 de Marzo. Se ha recibido aqui copia del parte siguiente. Excmo. Sr.: el brigadier D. Juan Martin , el Empecina Jo, comandante general de la quinta división, con fecha de ayer me dice lo que á la letra copio: ,, Apenas sentí en el dia de ayer que se empeñaba demasiado el fue go por el punto del molino del Prior , me dirigí á él con el objeto de infor marm…</t>
  </si>
  <si>
    <t>a$2 Tarragona g de Marzo, El 27 desembarcó aquí el general Miians procedente de Mallorca. Esta mañana ha llegado á esta el brigadier D. Juan Martin el Empeci nado ; la vista de este y otros beneméritos patriotas¿renovará siempre la me moria de nuestra gloriosa insurrección. Idem 8, El 2 de Febrero se aseguró en Narbona que en el dia inmediato , ó á mas tardar‘el 4 pasaría por allí S. S. No se dio asenso…</t>
  </si>
  <si>
    <t>…le de las Carretas, casa de la fonda , se hallarán Iojs retratos á caballo, que formarán colección: c) teniente general D. Pedro Villacampa, D. Juan de Tapia,, el barón de Eróles, D. Juan Martin el Empecinado, D. Julián Sánchez, D. Juan Palarea (el Médico), D. Francisco Abad (Chaleco), á 8 rs. iluminados y á 4 en negro. Se irán publicando los restantes heroes que mas se han distinguido en. defensa de la patria. MADRID EN LA IMPRENTA NACIONAL.</t>
  </si>
  <si>
    <t>…ar parte en la alegría y entusiasmo que en todos se notaba. ' •• • '7 En el dia siguiente se hicieronrhoriraS con ia mkyor solemnidad por los difuntos españoles dé la división del brigadier D. Juan Martin que murieron en el id de Abril dé 1813 en el ataque que dieron á los enemigos en la er mita de la Soledad y población de esta- villa, de que resultó el destrozo ge neral de todos los franceses que se presentaron. , ,_ . jiranjuez \ig de Mayo. . í ; Antes de a…</t>
  </si>
  <si>
    <t>…en el referido tribunal. Se desea saber el paradero de D. José Castellanos, natural de Valdeolivas, sol dado distinguido del batallón voluntarios de Guadalaxara, de la división de Don Juan Martin (alias el Empecinad©), que fué hecho prisionero el año de 18 11 en e! robledal de Siguenza , y conducido á Francia, donde quedcS enfermo en el hos pital de Langrés, en la_Champaña, á fines de Mayo del mismo año; é ignoiándose su paradero desde este tiempo, se…</t>
  </si>
  <si>
    <t>…n las librerías de Campo, calle de Alcalá, y en la de Perez, calle de las Carretas. , Retrato de D. Francisco Xavier Mina á caballo en medio pliego, que hace co lección con los de D. Juan Martin (el Empecinado), el barón de Eróles, D. Juan de Tapia, D. Pedro Yiilscampa, D. Julián Sánchez, D. Juan Palarea (el Médi co) y D. Francisco Abad y Moreno. Se continúa grabando los demas patriotas que mas se han distinguido en defensa de la patria. Se venden en…</t>
  </si>
  <si>
    <t>…scriba á S. M. Enterado el Rey de esta representación, de la notoriedad en que está apoyada, y bien informado del zelo, activa constancia y utilidad de los ser vicios que contraxo D. Juan Martin, valiéndose desde el principio de la glo riosa revolución española del título expresado, y queriendo se trasmita á la posteridad la memoria de su mérito, se ha servido concederle que en la fir ma, después de su nombre y apellido, use D. Juan Martin del sobren…</t>
  </si>
  <si>
    <t>…guárde á V. muchos años. Madrid 14 de Noviembre de 1814.= Nicolás ÍLa Miel y Benages. • El Rey riuestró Señor se ha servido promover á mariscal de campo de sus Reales exércitos al brigadier D. Juan Martin, el Empecinado, en atin gió n á los distinguidos servicios, fidelidad y constante amor á su Real Perque ha manifestado este ilustre héroe de la nación española, cuyo preípjo verá pon .placer todo español, bendiciendo la benéfica mano que se ha dignado, confer…</t>
  </si>
  <si>
    <t>Martín, Pedro</t>
  </si>
  <si>
    <t>Pedro Martín</t>
  </si>
  <si>
    <t>…mo Soberano»’* En este mismo dia fue igualmente admitida á cumplimentar á S. M. la diputación de la villa de Sta. María la Real de Nieva, patronato de S. M., compuesta del regidor D. Pedro Martín, del diputado D. Ramón Martin, y de su procurador síndico D. Juan de S. Miguel de la Peña; el quai aren gó á S. M. en los términos siguientes; Señor: el ayuntamiento de la villa de Sta. María la Real de Nieva, patronato de V. M., lleno siempre de amor á vuest…</t>
  </si>
  <si>
    <t>Martin, Ramón</t>
  </si>
  <si>
    <t>Ramón Martin</t>
  </si>
  <si>
    <t>…e mismo dia fue igualmente admitida á cumplimentar á S. M. la diputación de la villa de Sta. María la Real de Nieva, patronato de S. M., compuesta del regidor D. Pedro Martín, del diputado D. Ramón Martin, y de su procurador síndico D. Juan de S. Miguel de la Peña; el quai aren gó á S. M. en los términos siguientes; Señor: el ayuntamiento de la villa de Sta. María la Real de Nieva, patronato de V. M., lleno siempre de amor á vuestra real persona, tiene Ja glor…</t>
  </si>
  <si>
    <t>Martínez, Antonio</t>
  </si>
  <si>
    <t>Antonio Martínez</t>
  </si>
  <si>
    <t>…que marcharon para Caracas. En los Teques, con el mismo destino, la división de Charayave de i® hombres, fuera de los muchos que se les han unido. Sobre Barcelona 2®, al mando de D. Antonio Martínez. Sobre Valencia el exército del Sr. Cagigal de 3®. Otro cuerpo considerable en Barquhimeto al mando del Sr. Ceballos. En S. Fernando de Apure hay una fuerte reserva, y otras divisiones en Barinas. En la batalla de la Puerta ademas de los oficiales muertos en…</t>
  </si>
  <si>
    <t>Martínez, Benito</t>
  </si>
  <si>
    <t>Benito Martínez</t>
  </si>
  <si>
    <t>…, id de id D. José Villamil, subteniente de id. D. Manuel Uznia, id. de id. D. Pedro Ovalle&gt; id. de id., D. Juan Canal, capitán del de Santiago. D. Juan de Castro, teniente de Id. D. Benito Martínez, id. de Id. D. Juan Guillen, subteniente de id. D. Francisco Quiroga, id. de id. D. Juan Cancela, id- de id. D. Bernabé de las Pallas, id. de id. D. Martafio Castell, teniente coronel, sargento mayor de la Corona. D. Tomas Noriega, teniente de id D. Mariano C…</t>
  </si>
  <si>
    <t>Martínez, Cristóbal</t>
  </si>
  <si>
    <t>Cristóbal Martínez</t>
  </si>
  <si>
    <t>…ta el tambor» reservándome proponer á V. E. aquellos á quieres algún accidente feliz ha ya puesto en proporción de distinguirse; entre los quales lograrán una men ción especial el capitán D. Cristóbal Martínez y el subteniente D. Pascual Diaz » ambos del cuerpo de partidarios» que casi imposibilitados por sus he ridas recibidas en la batalla de Vilcápugtó» se empeñaron en ocupar en esta última acción sus respectivos destinos* „ Nuestra pérdida es Ja siguiente: muer…</t>
  </si>
  <si>
    <t>Martínez, Ignacio</t>
  </si>
  <si>
    <t>Ignacio Martínez</t>
  </si>
  <si>
    <t>618 sio Sánchez, quedándose él con la tropa que juzgó suficiente para operar por tres partes distintas. Salieron también de sus parapetos los patriotas del mismo Ixhuatlan con su capitán D. Ignacio Martínez, y por todos rumbos los persiguieron, hiriéndoles muchos, y teniendo solo la desgracia de un in dio muerto y un sargento herido de bala. No pudieron calcular la total pér dida del enemigo, porque los montes son muy espesos; pero la sangre daba á entender que…</t>
  </si>
  <si>
    <t>…nde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t>
  </si>
  <si>
    <t>Martínez, IgnacioCv</t>
  </si>
  <si>
    <t>IgnacioCv Martínez</t>
  </si>
  <si>
    <t>…de 181*. = YO EL REY. = Yo D. Juan Ignacio de Ayestarán, Secretario del Rey nuestro Señor, lo hice escribir por su mandado. = El Duque del In fantado. =D.• S-bistian de Torres. = D. IgnacioCv Martínez___de Villela.__ = Don Antonio Ignacio de Cortabarría. = D. Luis Melendez y Bruna. = Registra da , Fernando de Iturmendi. =sTeniente de Canciller mayor, Femando de Iturmendi. Habiendo tenido el Rey á bien determinar que se restablezcan en la Peninsu'a los regi…</t>
  </si>
  <si>
    <t>Martínez, José</t>
  </si>
  <si>
    <t>José Martínez</t>
  </si>
  <si>
    <t>…urante los últimos meses del sitio de Cádiz arrojaban los franceses á aquella plaza» que el mismo Vallejo le pre sentó. ; i 7 _ • Asimismo en este dia se presentaron á S. M. y AA. D. José Martínez, D. José Tavira y Vindel y D. Manuel Ortega, regidores y procurador sín dico de la ciudad de Molina, comisionados por su ilustre ayuntamiento para felicitar á S. M. ; y después de haber tenido la honra de besar su real mano, pronuncio el primero el discurso s…</t>
  </si>
  <si>
    <t>…su Real mano, y de-, xando á unos y otros llenos del mas profundo reconocimiento y admiración por la benignidad con que escuchó á todos. En 23 de Julio ultimo el auditor de Marina D. José Martínez de la Pe drera, dipu ado por Yucatán, tuvo el honor de besar la mano á S. M., y felicitar e á nombre de aquella provincia en los términos siguientes: ,,S ñor: la provincia de Yucatán, fiel y generosa en vuestro cautiverio, no puede mirar sin transportes de jú…</t>
  </si>
  <si>
    <t>…or muerte dé D. Francisco Porquerizos, á D. Felipe Do mínguez : para el téróió beneficio de S. Pedro de Garmona, en el arzobis pado de Sevilla , que ha vacado por fallecimiento de D. José Martínez, ¿ D. Jasé Ferraz: para el beneficio simple de Sta. Colonia de Vez de Marban , en el obispado de Zamora, vacante por muerte de D. Jo é Pando, á D. Lucas Tadeo Delgado: para el beneficio préstamo de Castillejo de Azava , vacanfe en ej!obispado de Ciudad-Rodrig…</t>
  </si>
  <si>
    <t>Martínez, José Ignacio</t>
  </si>
  <si>
    <t>José Ignacio Martínez</t>
  </si>
  <si>
    <t>…apitán D. Juan Antonio Cuervo salía para Tlachichilco, y por estar muy fatigada su tropa permaneció en aquel punto hasta que la necesidad en que se hallaba el capitán de Ixhuatlan D. José Ignacio Martínez le cbligó á dirigirse allá, habiendo llegado á dicho pueblo después de concluida la acción sostenida por Martinez desde las seis de la ma ñana hasta las qoatro de la tarde, y decidida la victoria por el capitán Cuervo. Las reuniones de bandidos en aquellas in…</t>
  </si>
  <si>
    <t>Martínez, Manuel</t>
  </si>
  <si>
    <t>Manuel Martínez</t>
  </si>
  <si>
    <t>…. Manuel;de los Santos, su capitán, dice dio la vela ocho dias después que el nav ío;Miño, en cuya compañía salió la goleta de guerra Galatea, su comandante? »el teniente de navio D. Manuel Martínez? que también acaba</t>
  </si>
  <si>
    <t>…rarla acudirá á su administrador D. Pedro López Paliza, residente en Trucios, en di— ch as inmediaciones de Laredo, quien dará de todo las noticias convenientes, y en esta corte á D. Manuel Martínez, que vive en la calle de S. Isidro á S. Francisco, liúm. 25, quarto principa!. Doña Josefa Aznar, muger del administrador de correos de la ciudad de Segorve, se ausentó de ella por la entrada de los enemigos; ignorándose adonde fue, y necesitándose saber su e…</t>
  </si>
  <si>
    <t>Martínez, Narciso</t>
  </si>
  <si>
    <t>Narciso Martínez</t>
  </si>
  <si>
    <t>…tos el teniente del regimiento nú mero i.° D. Francisco Morales» el ayudante mayor dél de caballería de lí nea D. Ildefonso Udave, y 40 soldados. Heridos el cápitan/ de artillería D. Narciso Martínez» el de infantería D. Francisco Udacta » los tenientes D. Manuel Almonte» D. Felipe Velando y D. Silverio Mogrovejo^ y los subtenientes D. Dionisio Delgadillo y D. Miguel Sclís, 3 sargentos, 13 ca bos y 88 soldados; no pudiendo especificar los muertos y hetido…</t>
  </si>
  <si>
    <t>Martínez, Nicolás Escudero y</t>
  </si>
  <si>
    <t>Nicolás Escudero y Martínez</t>
  </si>
  <si>
    <t>…a ó á la Cerdaña. Madrid 26de Enero. Una comisión del cabildo eclesiástico de la santa iglesia magistral de la ciudad de Alcalá de Henares, compuesta de los dignidades y canónigos Don Nicolás Escudero y Martínez, D. GerónAno López de Bartolomé, D. José Pedro Atienzay D. Alfonso Sánchez, se presentó el 12 del corriente á cum plimentar á la Regencia del Reyno por su feliz arribo á esta capital, y me reció de S. A. el mas obsequioso recibimiento, que demostró con tierna…</t>
  </si>
  <si>
    <t>Martínez, Rafael</t>
  </si>
  <si>
    <t>Rafael Martínez</t>
  </si>
  <si>
    <t>…n de A zas, D. Loren zo Villegas, D. Josef Pumarejo y I). Carlos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-igual nombre D. Toaquin González -de Mench…</t>
  </si>
  <si>
    <t>…ria. Contusos. D. Angel Vallejo, ayudante segundo de estado mayor. D. José Ruiz, subteniente del 2.° de Asturias. D. Antonio Ruiz Alvarez, id de id. D. Jacobo Saavedfa, id. de id. D. Rafael Martínez, ayudante de Marina. D. Alexandró: Larrüa, teniente de id. D. Manuel Rodríguez, subteniente de vo luntarios de Asturias. D. Ramón Solís, teniente de la Corona. D. Antonio María de Castro, id. de id. D. Manuel Ramón Castell, id. de id. D. An drés Gayoso,, subt…</t>
  </si>
  <si>
    <t>Martínez, Sinforiano Blanco y</t>
  </si>
  <si>
    <t>Sinforiano Blanco y Martínez</t>
  </si>
  <si>
    <t>…leza, y actualmente de-Tá parroquia de S.ÍPedro dé esta corte; y. para el arcedianato titular de la ígltesia catedral de Ositiay vacante por muerte de D. Simón Aparicio y Torre, á D. Sinforiano Blanco y Martínez, canónigo más antiguo de }a misma catedral/</t>
  </si>
  <si>
    <t>Martínezad, Gonzalo</t>
  </si>
  <si>
    <t>Gonzalo Martínezad</t>
  </si>
  <si>
    <t>2 ¿21 2 El Rey nuestro Señor en consideración á los buenos rservicios y constan^ te adhesión á. su Real Persona que ha acreditado D. Gonzalo Martínezad ministrador de la imprenta Real, ha venido en concederle honores de comi sario ordenador de los Reales exércitos. v [-‘f 'En virtud de requisitoria librada por el.Sr. D. Juan Pcrez de Marure, alcalde mayor y juez de letras de la ciudad de Sevilla, cumplimenta…</t>
  </si>
  <si>
    <t>Martos, Rafael de</t>
  </si>
  <si>
    <t>Rafael de Martos</t>
  </si>
  <si>
    <t>…o, ya por el compendio del abad Fleury, como de la urbanidad y cortesía, dán dolas una perfecta inteligencia.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t>
  </si>
  <si>
    <t>Marure, Juan Pcrez de</t>
  </si>
  <si>
    <t>Juan Pcrez de Marure</t>
  </si>
  <si>
    <t>…nzalo Martínezad ministrador de la imprenta Real, ha venido en concederle honores de comi sario ordenador de los Reales exércitos. v [-‘f 'En virtud de requisitoria librada por el.Sr. D. Juan Pcrez de Marure, alcalde mayor y juez de letras de la ciudad de Sevilla, cumplimentada por el Sr. D. Fran cisco Assin, del consejo de S. M., teniente corregidor de esta villa, por la escri banía del número de D. Francisco Alcázar, se llama, cita y emplaza nuevamente á todos…</t>
  </si>
  <si>
    <t>Mas, Francisco</t>
  </si>
  <si>
    <t>Francisco Mas</t>
  </si>
  <si>
    <t>…diócesis de Cartagena, vacante por muerte de D, Ignacio Benedicto Ibañez, á D. Pedro Fernando Tavira: para una ración dé la igieóa catedral de Ceuta, vacante por fallecimiento de D. Francisco Mas de la Torre, á D. Diego José Llinas de Valencia: para el beneficio simple servidero de la parroquia de las Peñas de S. Pedro, diócesis de Cartagena, vacante por muerte de D. Lorenzo de Roxas, á D. Cayetano Puerta: para el de la igle sia parroquial de Cañete,…</t>
  </si>
  <si>
    <t>Masas, Rafael</t>
  </si>
  <si>
    <t>Rafael Masas</t>
  </si>
  <si>
    <t>…á S. M. una di putación del ayuntamiento de la ciudad de Vailadolid, compuesta del alcal de D. José de Cartagena, del regidor D. Frambco Fernandez Santos, y del procurador síndico D. Rafael Masas; el primero de los quafes arengó á S. M. en los términos siguientes: ,, Señor: fe ciudad de Vailadolid , representada .por ia diputación de su ayuntamiento tiene la satisfacción de llegar á L R P. de V. M á ofrecer sus mas sinceros votos de amor, respeto y fi…</t>
  </si>
  <si>
    <t>Masdcu, Juan Francisco</t>
  </si>
  <si>
    <t>Juan Francisco Masdcu</t>
  </si>
  <si>
    <t>…s, ó de su suerte, lo avi lará en esta corte á Francisco Fernandez Soto, su marido, que vive calle de Luzon, frente el almacén del conde de Aranda. : Cartas del célebre barcelonés D. Juan Francisco Masdcu á un republicano ro mano acerca del detestable juramento de los republicanos franceses:^ odio á la monarquía, ó bien yo juro odio al gobierno de los Reyes. Obra inédita, que ofrece al público español .un amigo del autor: un tomo en 8.° Se vende en la librería…</t>
  </si>
  <si>
    <t>Masi, Alfonso</t>
  </si>
  <si>
    <t>Alfonso Masi</t>
  </si>
  <si>
    <t>…, se les avisa acudan á D. José Díaz Valdés, residente en el real sitio de Aranjuez, el qual tiene que comunicarles asuntos que les interesa. La persona qHe supiese el paradero de D. Alfonso Masi, que se ausentó en el faño de 1809 de la villa de Escalona de Alberche, provincia de Toledo con el objeto de incorporarse en Taíávera de la Reyna, ó donde pudiese, á las tropas es« pañolas, se servirá avisarlo en Madrid á D. Manuel Lucas de Riaza, portería de…</t>
  </si>
  <si>
    <t>Mata, Ana de</t>
  </si>
  <si>
    <t>Ana de Mata</t>
  </si>
  <si>
    <t>…creedores, y en virtud de providencia dél Sr. D. Francisco A^sin, teniente de corregidor de esta villa, se ha mandado sacar á pública subasta una casa perteneciente ai concurso de Doña Ana de Mata, sita en la cabe de Mira él Rio aita á la del Bastero, señalada con el número 16 de la man runa 97, tasada en 19 1920 rs. La persona que quisiese hacer postura acuda ante dicho señor por ia escribanía de D, Alrxandro Gutiérrez, donde se le enterara de la- car…</t>
  </si>
  <si>
    <t>Mata, Basilio de</t>
  </si>
  <si>
    <t>Basilio de Mata</t>
  </si>
  <si>
    <t>…e; y la del sangrador y barbero, que debe tener tres mancebos, es de p® rs. vn. Los pretendientes presentarán sus memoriales y relaciones de méritos al ayuntamiento por mano de su secretario D. Basilio de Mata. En el lugar de Montejo de Liceras, tierra de Ayllon, se halla vacante la plaza de médico, que está dotada en unas. 250 fanegas de trigo, ademas del producto de las visitas de otros pueblos inmediatos, que probablemente se le agregarán. Los pretendientes diri…</t>
  </si>
  <si>
    <t>Matamoros</t>
  </si>
  <si>
    <t>Está prisionero el ^teniente general Matamoros (segundo de Morelos), de cuya sumaria está encargado mi ayudante el capitán D. Alexandro de Arana. Con Matamoros fueron hechos prisioneros muchos de so plana mayor, entre ellos 18 coroneles, tenientes coroneles y capitanes, que han sido pasa dos por las armas…</t>
  </si>
  <si>
    <t>Mate, Tomas</t>
  </si>
  <si>
    <t>Tomas Mate</t>
  </si>
  <si>
    <t>…se suplica á la persona que tenga noticia de él se •irva avisarlo á su muger Antonia Fernandez del Campo, que reside en el mismo sitio del Escorial con tienda de comestibles, ó á D. Tomas Mate, dependiente de la compañía de Filipinas en Madrid. La persona que supiere del paradero de D. Francisco Macho de Quevedo, que fué á Francia hecho prisionero en la batalla de Bascara, se servirá avisarlo, por me dio del correo, en Madrid á D. Nicolás Macho de…</t>
  </si>
  <si>
    <t>Mateo</t>
  </si>
  <si>
    <t>…....................... D. Francisco de la Mata. En Cádiz.................... . D. Benito de la Piedra. * *J$nCartagena:’V.»...B. Francisco Clivilles.1 En; Ciudad-Real.i*.".:..... D. Mateo‘Casaó yRomero. ' ¡En Córdoba...... .......D. Rafael de Mofatis. En la Coruña....... D. Felipe Elorz. En Cuencal..................... D. José Escolar y Nbriega. En Canarias.................... D. Francisco María de Herrera* En Gfañada..;.'..?.^... ... D. Franc…</t>
  </si>
  <si>
    <t>Mateos, José</t>
  </si>
  <si>
    <t>José Mateos</t>
  </si>
  <si>
    <t>…se proveerán ei 24 del próximo Diciembre. En la acción de guerra dada por el exércíto español de Cataluña el dia 15 de Julio de 18 to en los campos de Tivisa, fue hecho prisionero D. José Mateos, car pitan de infintería del regimiento de Liberta, ya extinguido. Se suplica á los ca balleros oficiales españoles prisioneros que hayan estado en Francia comuniquen ú su madre Doña Polonia de los Santos, vecina de Málaga, la noticia efectiva de su existenci…</t>
  </si>
  <si>
    <t>Matianda, Josef Antonio</t>
  </si>
  <si>
    <t>Josef Antonio Matianda</t>
  </si>
  <si>
    <t>vir: se había fugado desde el momento que se avistó mí tropa desde el pue blo, y solo pude aprehender dos baúles de su equipaje. ,, Él subteniente de Santo Domingo D. Josef Antonio Matianda, y el co mandante del piquete de caballería D. Cristóbal Huver, que me han acom pañado en esta expedición , se han portado con honor-, y á su exemplo to da la tropa que he teñid » el honor de mandar. Reconocido el campo he-' mos encontrado n muertos.” Este of…</t>
  </si>
  <si>
    <t>Matías</t>
  </si>
  <si>
    <t>…siones h.jsta el dia go del presente mes de Noviembre, las que se di rigirán p r Guadarrama a la secretaría de ayuntamiehío de dicha villa. Se desea* saber el paradero ó suerte He D. Matías dé la Sala Váldés, capital que fue de la sexta compañía dal regimiento de infantería de Gijori, el quál fue he cho prisionero en las;inmediaciones dé Comillas por un regimitnto f auces al man* do del general Bcnnety y luego conducido: 4 Santander y Bayona con…</t>
  </si>
  <si>
    <t>Matos, Fermín</t>
  </si>
  <si>
    <t>Fermín Matos</t>
  </si>
  <si>
    <t>…ración de salinas del Peñón blanco en la intendencia de S. Luis de Potosí. S. M. se ha servido Conferir en el regimiento de milicias urbanas de ca ballería de Truxillo compañía al teniente D. Fermín Matos: empleo de al férez al cadete D. Francisco Rodríguez Osorio; y de portaestandartes á los cadetes D. Jo.ié María Lizarzaburu* D. Manuel María Muñoz y al soldado distinguido D. José Francisco de Leca. En ei de Luya y Chillaos el empleo de coronel al sargento ma…</t>
  </si>
  <si>
    <t>Matos, Joaquín</t>
  </si>
  <si>
    <t>Joaquín Matos</t>
  </si>
  <si>
    <t>…frente de él, en mediode los repeti dos vivas y cordiales afectos de un inmenso pueblo. Madrid 1$ de Junio. El 17 del mes próximo pasado tuvieron la honra:de cumplimentar á S. M. D. Joaquín Matos y D. Gregorio Rodríguez, diputados por. el ayun tamiento y vecinos de la villa de Mombeltran, del obispado de Avila; el primero de los qnales manifestó en un breve y enérgico discurso, que diri gió á S. M., la indecible satisfacción con que los vecinos todcs de la villa que represen…</t>
  </si>
  <si>
    <t>Matrmont</t>
  </si>
  <si>
    <t>…ones de este pueblo, y probablemente se volverá mañana hacia Sezane. Se han recibido avisos de haberse presentado el enemigo en fuerza que se cree de 10® hombres á las ordenes del mariscal Matrmont» marchan do desde Sezane á Chaions , .cuyo movimiento se ha calculado para el plan de operaciones. Tengo la honra &amp;c. Quartel general del exército^ de Silesia en AngLure 24 de Febrero. =. Lowe. [Se continuará.) ESPAÑA. Vtch 10 de Marzo-. PRIMER EXERCITO____ES…</t>
  </si>
  <si>
    <t>Mattel</t>
  </si>
  <si>
    <t>…general de división conde de Hammerstein, detenido en eLcastülo de Saumur, El mayor Lutzow y los demas prusianos prisioneros de guerra en el castillo de Saumur, S. Erna. Monseñor cardenal Mattel, decano del sacro colegio, detenido en Alais, y otros muchos cardenales que lo están en diversas ciudades de Francia, Los seminaristas de la diócesis de Gante, en número de 236, entre ellos 40 diáconos ó $ubdiácondsr condúcidos á Weseil en Abril de 1813 para…</t>
  </si>
  <si>
    <t>Mauri</t>
  </si>
  <si>
    <t>…ción, entre las quales se contaba un número considerable de extrangeros. Placía mucho tiempo que no se había visto aqui una festividad tan so lemne. El 23 del pasado llegó aqui el cardenal Mauri, y apenas1 se tuVo noticia de su llegada , se le comunicó orden para no presentarse en palacio; pero como ésta orden no fue' pública, ihúchos dudaron de ella;* mas al fin habien do tfistb que el día dé S. Pedro y S. Pablo había sido este cardenal el único que…</t>
  </si>
  <si>
    <t>Maurinr</t>
  </si>
  <si>
    <t>…o sa y respetable concurrencia manifestó el mayor júbilo y complacencia, sé dio principio á un bayle, que duró hasta las ocho de ia mañana. FRANCIA. París s&gt; de Junio. El teniente general Maurinr, comisionado por el rey para la tenida dé los prisioneros que hay en Rusia, ha llegado ya á Petersburgo.</t>
  </si>
  <si>
    <t>Mauriz, Manuel Martin</t>
  </si>
  <si>
    <t>Manuel Martin Mauriz</t>
  </si>
  <si>
    <t>…iller mayor, Eernando de Iturmendi. El Rey se ha servido nombrar para una canongía de la iglesia catedral de Segovia, vacante por fallecimiento de D. Ignacio García del Castigo, á D. Manuel Martin Mauriz, racionero mas antiguo de la misma catedral: pa ra la ración que resultará vacante "por promoción de dicho Mauriz a Don Laureano González Mendizabal: para el arcedianato de Madrid, dignidad de la santa iglesia primada de Toledo, vacante por fallecimiento del…</t>
  </si>
  <si>
    <t>Maurucza, Miguel.de</t>
  </si>
  <si>
    <t>Miguel.de Maurucza</t>
  </si>
  <si>
    <t>…uien quisiere hacer postura á dicha casa acuda á la escribanía del número de D. José Antonio Ca nosa , que se admitirán las que se hicieren siendo arregladas. Por fallecimiento de D. Miguel.de Maurucza, vecinp que fue de esta corte, líscogió ío's papeles que obraban en su poder su hijo D, Lucas, abogado de los, Reales consejos, que vivia en la misma en el año de 1800; ¿ interesando saber su paradero, se suplica al que lo sepa se sirva avisarlo en Madrid ¿ P…</t>
  </si>
  <si>
    <t>Maury</t>
  </si>
  <si>
    <t>…celebrado capítu lo el 9 del corriente, y ha declarado vacante la silla arzobispal, mandando que se notificase su determinación al cardenal Miury que la ocupaba. Se asegura que el cardenal Maury se ausentó el io de París. El general Dessolles recibió orden del gobierno provisional para que la guardia nacional de París se pusiese escarapela blanca. ARTICULO DE OFICIO. Habiendo procedido las Cortes ordinarias á la elección de presidente, vi ce-presiden…</t>
  </si>
  <si>
    <t>Maximiliano</t>
  </si>
  <si>
    <t>…Maximiliano, que es el hermano mas joven del rey de Sa xonia , permanece en Praga con su esposa. El rey de Saxonia ha nombrado últimamente al general Watzdorf'ayo de los hijos del príncipe Maximiliano. ' El general Bismark, nuevo comandante de Leipsick, hace quanto está de su parte para ser estimado de aquel vecindario; no solo ha mandado que toddS las tropas prusianas que forin.n en ei dia la guarnición de Leipsick fuesen alojadas en ios arrabales, y que…</t>
  </si>
  <si>
    <t>May, Tomas</t>
  </si>
  <si>
    <t>Tomas May</t>
  </si>
  <si>
    <t>…ado por la provincia de Valencia; Don Tadeo Gárate, suplente por el Perú; D. Mariano Rodríguez Olmedo, su plente ípor las provincias del Rio de la Plata; y en clase de suplentes á Don Tomas May ano Rodríguez, diputado por la provincia de Valladolid, y á D. Angel Alonso de ia Pántiga, que lo es por la provincia de Mérida de Yucatán. Extractó del parte dado aí Exento. Sr. comandante general del aposta dero de la Havanápor los tenientes de navio de la…</t>
  </si>
  <si>
    <t>Mayoral, Joaquín Carrillo</t>
  </si>
  <si>
    <t>Joaquín Carrillo Mayoral</t>
  </si>
  <si>
    <t>…sagrada teología, árbitro y secretario general de la congregación española de Clérigos Reglares Ministros de los enfermos; para el de Zamora, vacan te por fallecimiento del limo. Sr. D. Joaquín Carrillo Mayoral, á D. Pedro Inguanzo, canónigo doctoral de la iglesia catedral de Oviedo; para el de Osma, vacante por fallecimiento del limo. Sr. D. José Antonio Garnica, á D. Juan de Cavia, canónigo Iectoral de la santa iglesia metropolitana de Toledo; y para el de Segorve…</t>
  </si>
  <si>
    <t>Mayquez, Isidoro</t>
  </si>
  <si>
    <t>Isidoro Mayquez</t>
  </si>
  <si>
    <t>…las Carretas, y en el almacén de estampas de la calle Mayor, frente á la casa del conde de Oñate, á 6 rs. iluminada y á 4 en negro. En dichas casas se vende también el retrato del Sr. Isidoro Mayquez, primer actor del teatro del Príncipe, pintado por Goya, y grabado por Estev^: í 4 rs. En la librería de Matute, calle de las Carretas, se hallan de venta las obras de veterinaria dadas á luz por D. Segismundo Malats, que se compone cada una de diez volúmenes…</t>
  </si>
  <si>
    <t>Me', Diego</t>
  </si>
  <si>
    <t>Diego Me'</t>
  </si>
  <si>
    <t>…, y pasó á tierra con el mismo. Begoña, llevando la'correspondencia, la tropa sin fusiles, y quatro marineros ;, y puso en libertad los rehenes.-.j El comandante de la; expedición D. Diego Me' ¡Prieto mandó-seguidamen te tomar el puerto :.al convoy, y. él Mió fondo con la fragata de guerra de&gt; su mando muy cerca de Jos fuertes ; pero, en disposicion.de' poder ponerse en vela fácilmente enr todo evento. Los buques del convoy fondearon por la popa de…</t>
  </si>
  <si>
    <t>Me, Cárlos</t>
  </si>
  <si>
    <t>Cárlos Me</t>
  </si>
  <si>
    <t>…e D. Joaquín Fita, á D. Miguel Sebastian y Ra mos: para la prestamera de la parroquia de la villa de Requena, diócesis de Cuenca, vacante por fallecimiento de D. Gervasio Verde, á D. Cárlos Me ras; y para otra prestamera de la parroquia de la villa de Ventosa, en la misma diócesis, á D. Pió Sebastian de Salcedo, vice-rector del seminario con ciliar de S. Julián de Cuenca. Por oficio del comandante general del apostadero de la Ha vana (que in serta…</t>
  </si>
  <si>
    <t>Mecklenburgo, Cirios de</t>
  </si>
  <si>
    <t>Cirios de Mecklenburgo</t>
  </si>
  <si>
    <t>…ncipe real de Baviera, el príncipe heredero de Orange, el príncipe de Oldenburgo, el duque y la duquesa de Yorck, los duques de Kent y Cam bridge, la princesa Carlota de Gáles, el príncipe Cirios de Mecklenburgo, y ia princesa Sofía de Gloucester. Se iluminó con todo primor la columnata del palacio: representaba la fachada una hilera de palmeras con festones ver des, y en intervalos se veían las iniciales de las palabras Austria, Rusia, Prusia y Francia. Ay er por la…</t>
  </si>
  <si>
    <t>MecktonbourgStrelitz, Carlos de</t>
  </si>
  <si>
    <t>Carlos de MecktonbourgStrelitz</t>
  </si>
  <si>
    <t>…e dispone en Portsmouth la casa del gobierno para recibir al Príncipe Regente , que debe ir á aquel puerto á recibir á tos soberanos extrangeros. El día 2 desembarcó en Harwich el príncipe Carlos de MecktonbourgStrelitz, sobrino de S. M. la reyna; viene acompañado del lord Aberdeen y de sir Tomas Thirwhitt. El príncipe está enteramente curado de todas las heridas que recibió en la batalla de Leipsick. El príncipe de Orange hizo ayer una visita á la princesa Carlota.^—Pa rece…</t>
  </si>
  <si>
    <t>Mediavilla, Francisco</t>
  </si>
  <si>
    <t>Francisco Mediavilla</t>
  </si>
  <si>
    <t>…. D. José Ordoñez, id. de id. D. Pedro Mateo Olorn, sargento mayor del i.° Cántabro. Don Juan Suarez, capitán de id. D. Vicente Carvajal, id. de id. D. Juan Piñal, teniente de id. D. Francisco Mediavilla, id de id. D. Ramón de Arribas, subteniente de id. D. Silvestre Hidalgo, teniente coronel del de Laredo. D. Bernardino García, capitán de id. D. Antonio González Villamil, ayu dante de id. D. José Alfonso, teniente de id. D. Félix del Arenal, subte niente de…</t>
  </si>
  <si>
    <t>Medina, José Luis de</t>
  </si>
  <si>
    <t>José Luis de Medina</t>
  </si>
  <si>
    <t>…ntes: * «Compañía de granaderos al capitán de fusileros D. José Rafael Caraveo; esta resulta. aL ayudante D. José Villanueva ; la ayudantía que este dexa al teniente de granaderos D. José Luis de Medina; esta vacante al de fusile ros D, Narciso Arascct; tenencia de fusileros ai subteniente de granaderos ' D. Francisco Rodríguez; esta resulta al subteniente de fusileros D. José Oiruytiner; y la subtenencia de bandera al cadete D. Castulo Guerra. * • • * • ■ ■…</t>
  </si>
  <si>
    <t>Medrano, José Ribero y</t>
  </si>
  <si>
    <t>José Ribero y Medrano</t>
  </si>
  <si>
    <t>…ilustre personage, que tan íntimamente pertenece á nuestro suspirado Monarca. El día anterior había salido á prestar el debido obsequio á S. A. el go bernador de este arzobispado D. José Ribero y Medrano: al acercarse á la. ciudad salieron á recibirle el Excmo. Sr. capitán general, el comandante de la plaza, el muy ilustre cabildo eclesiástico, representado por los canónigos D. Tomas Naudin, D. José Soto y D. Juan Bautista Perez Caballero, y la comisión de lo…</t>
  </si>
  <si>
    <t>Medrano, Juan.de la Peña</t>
  </si>
  <si>
    <t>Juan.de la Peña Medrano</t>
  </si>
  <si>
    <t>…para el de -orea á D. José Guillen de Toledo: para el de Alcaudete á D. Zacaríasf Romero: para la vara segunda de Córdoba á D. Manuel Berríardino Perez y López: para la de León á D. Juan.de la Peña Medrano: para la de Sala manca á D. Vicente Calvo: para el corregimiento de G.uadix á í&gt;. Agamia Tosamos y Labrada: para el de Cuenca á B* Dionisio Gatalan; para el de Talavera de la Rey na á D. Agustín de Quadros: par í la de Burgos á Boa Melchor Gómez de Celaya: pa…</t>
  </si>
  <si>
    <t>Medrano, Manuel Ros y</t>
  </si>
  <si>
    <t>Manuel Ros y Medrano</t>
  </si>
  <si>
    <t>…erma, para el obispado de Solson2, va cante por fallecimiento del limo. Sr. D. Fr. Pedro Nolasco Mora; y para el de Tortosa, vacante por fallecimiento de D. Fr. Antonio Salinas, á Don Manuel Ros y Medrano, canónigo doctoral de la metropolitana de Santiago. Asimismo ha nombrado S. M. á D. Valentín Zorrilla de Velasco para la canongía de la metropolitana de Valencia , por muerte de D. Vicente Blasco; y para el arcedianato de S. Felipe de Xátiva, dignidad de la m…</t>
  </si>
  <si>
    <t>Meerfeldt</t>
  </si>
  <si>
    <t>…Constantino gobernará aquel país con el título de virey. No habiendo tenido por conveniente el emperador de Austria venir á Inglaterra, ha encargado al príncipe de Metternich y al conde Meerfeldt, su ministro en esta corte, manifestar su alta consideración y su estimación hacia su fiel aliado el Principe Regente. Idem j$. Nunca se ha visto tanta gente reunida como en Oxford y en todos los caminos que se dirigen á aquella ciudad. Lá universidad en cuer…</t>
  </si>
  <si>
    <t>Melchor</t>
  </si>
  <si>
    <t>…stando en este movimiento tuvo Sanz aviso de la salida del enemigo ; y después de verlo por sí, dispuso que los regimientos segundo de Aragón y Cariñena, al man do de sus gefes el coronel D. Melchor de la Concha y el teniente coronel D. Francisco Cano Manuel, contramarchasen rápidamente para pasar el rio por la barca de Cherta , y sostener la columna de granaderos y cazadores de la misma división, que baxo las órdenes del valiente teniente coronel D. Man…</t>
  </si>
  <si>
    <t>Melcy, José Palafox y</t>
  </si>
  <si>
    <t>José Palafox y Melcy</t>
  </si>
  <si>
    <t>…. Blas Ameller y D. Tomas López Enguádanos, profesores conocidos por su distinguido mérito: contiene el primer quaderno que se da al público los retratos del marques de la Romana, D. José Palafox y Melcy, D. Martin de la Carrera, el Empecina do , D. Juan Palarea, el Médico, y D# Juan de Tapia , el Cura, con sus correspon dientes epígrafes, cuya obra se ha hecho con el mayor esmero, como obra que en todo tiempo honrará la nación. Se hallarán de venta este y lo…</t>
  </si>
  <si>
    <t>Melgar, Francisco</t>
  </si>
  <si>
    <t>Francisco Melgar</t>
  </si>
  <si>
    <t>…imo tuvieron la honra de felicitar á S. M. por su res titución al trono en nombre de la villa de Consuegra, del partido de Tole do, D. Ramón de Figueroa, D. Baltasar:"Vrilíarejo y D. Francisco Melgar; de los quales el primero dixo: ,, Señor: el ayuntamiento y villa de Consuegra, una de las del gran pricrafb déla orden de S. Juan, tiene la honra en este dia de felicitar á V. M. con él mas sincero respeto y amor por la feliz restitución á su trono, con tánd…</t>
  </si>
  <si>
    <t>Melgarejo, Ramón de</t>
  </si>
  <si>
    <t>Ramón de Melgarejo</t>
  </si>
  <si>
    <t>…del Reyno promover á capitán de cazadores al de fusileros D. Lope de Mesa; á capitán de fusileros al primer teniente D. Ignacio de Lardizabal; á pri mer ayudante mayor al segundo D. Ramón de Melgarejo; á primeros te nientes á D. Mariano López, de cazadores; y de fusileros á D. Manuel Menendez Vaídes, D. Pedro Zuíoaga y D. José González de Ribera; á segundo ayudante mayor á D. Antonio Romero; á segundos tenientes á D. José Joaquín de la Mata, de granaderos,…</t>
  </si>
  <si>
    <t>Melgares, Minuel Antonio</t>
  </si>
  <si>
    <t>Minuel Antonio Melgares</t>
  </si>
  <si>
    <t>…u muger, ó sea viuda Doña Ramona Montero, tener noticias positivas de su paradero ó muerte, se suplica á 1a persona que las tuviere se sirva comunicarlas en la ciudad de Badajoz á D. Minuel Antonio Melgares. Juicio crítico de la marina militar de España: quaderno ó.°, que comprende las cartas 15, 16 y 17. Véndese con los anteriores en la librería de Sojo, calle de las Carretas. Tratado histórico y práctico de la vacuna; por J. L. Moreau de la Sarre, pro fesor de…</t>
  </si>
  <si>
    <t>Mellado, Antonio Pimentel y</t>
  </si>
  <si>
    <t>Antonio Pimentel y Mellado</t>
  </si>
  <si>
    <t>ESPAÑA. Madrid 8 de Julio. El 20 del mes próximo pasado tuvieron el honor de presentarse á $. M. D. Antonio Pimentel y Valenzuela, el teniente de infantería D. Antonio Pimentel y Mellado y D. Bernabé Ruiz, hijos legítimo y político del mis mo, vecinos de la villa de Santa Cruz de Múdela, comisionados por su ilus tre ayuntamiento, cabildo eclesiástico y demas naturales para felicitarle por. su feliz restitución al trono; y después de haber tenido todos la honra…</t>
  </si>
  <si>
    <t>Men, Vicente Ámat y</t>
  </si>
  <si>
    <t>Vicente Ámat y Men</t>
  </si>
  <si>
    <t>…ente coronel al comandante de esqua dron D. Gregorio de la Torre; y esta resulta á D; Manuel Bernal, sargen to mayor del propio cuerpo. En el de Andahüaylaí compañíasf al ayudante D. Vicente Ámat y Men doza, á ios tenieiités D. Francisco Xavier Arévalo y D. Pedro Nolascó .Teilo, y al marques de Mozobamba: y tenencias á los alféreces D. Juan Crisóstomo Altamirano, D. Eusebio Arandia, D. Silverio Antonio del Pdao y D. José Sarmiento. En el esquadron de Pacasm…</t>
  </si>
  <si>
    <t>Menaut, José</t>
  </si>
  <si>
    <t>José Menaut</t>
  </si>
  <si>
    <t>les, presbítero, 12: el diácono D. Bartolomé Manrique i-o: el coronel Don José Menaut 25: el capitán D. Santiago Agesta 25 : D. Cárlos Santos Gon zález 25: el capitán D. Francisco Valdes de Velasco 10: D. Manuel Ages ta y Otamendi 40: D. Diego Ovanguren 12 : D. Juan Baptista Echegaray,, administrador de tabacos, 6: D. José Ncdar 12: D. Santiag…</t>
  </si>
  <si>
    <t>Menchaca, Antonio José de</t>
  </si>
  <si>
    <t>Antonio José de Menchaca</t>
  </si>
  <si>
    <t>…Ceballos, á D. Manuel de la Portilla, prebendado de la mis ma iglesia: para una canongía de la iglesia colegial de Xerez de la Frontera, diócesis de Sevilla, vacante por muerte de D. Antonio José de Menchaca, á D. José Lorenzo Berroudez: paTa una ración de la iglesia catedral de Cádiz, vacante pot muerte de D. José María Roo , á D. Juan José Díaz Franco: para el beneficio simple de la parroquia de la villa de Arcos de la Frontera, diócesis de Sevilla, vacante por…</t>
  </si>
  <si>
    <t>Mendez, Agustín</t>
  </si>
  <si>
    <t>Agustín Mendez</t>
  </si>
  <si>
    <t>…tos y servicios del presbítero D. Alexandro Riquelmé, teniente de cura de la catedral de Ceu ta, ha venido en nombrarle para una radon de la misma iglesia, vacante por remoción de D. Agustín Mendez. El Rey se ha dignado conceder los honores de intendente de provincia á D. Antonio Hidalgoy Calvo, administrador general y subdelegado de las salinas de ia Mata y Torrevieja, en consideración á.los distinguidos méritos y servicios contraídos en los 42 años qu…</t>
  </si>
  <si>
    <t>Mendez, Casimiro</t>
  </si>
  <si>
    <t>Casimiro Mendez</t>
  </si>
  <si>
    <t>…día 14 del mismo mes, acompañados del Excmo. Sr. marques de ViUafranca, tuvieron el honor de ser'admitidos á besar la Real ma¿ o y las de los Sermos. Sres. Infantes el presbítero D. Casimiro Mendez, racionero de la metropolitana iglesia de Burgos, y el Dr. D. Francisco Villegas, dipu tados por la villa y ayuntamiento de Villafranca del Bierzo; y tomando el primero la palabra dixo asi: „Señor: la villa de Villafranca del Bierzo, en vuestro reyno de León,</t>
  </si>
  <si>
    <t>Mendia, Domingo Hugarte</t>
  </si>
  <si>
    <t>Domingo Hugarte Mendia</t>
  </si>
  <si>
    <t>…stas mismas señoras fueron las que en el año de 811, rodeadas de tro pas enemigas, vistieron el batallón de nacionales que se hallaba en aquella villa al mando de su comandante el coronel D. Domingo Hugarte Mendia. ARTICULO DE OFICIO. La Regencia del Reyns se ha servido expedir los decretos siguientes: D. Fernando vil, por la gracia de Dios y por la Constitución de la mo narquía española, rey de las España*, y en su ausencia y cautividad la</t>
  </si>
  <si>
    <t>Mendieta, Jayme Aivarez de</t>
  </si>
  <si>
    <t>Jayme Aivarez de Mendieta</t>
  </si>
  <si>
    <t>…esta fecha. Ministros Togados. D. Josef Perez Caballero; D. Josef de Ibarra ; D. Sancho de Llamas;D. Pedro Nicolás del Aballe; O. Tadeo Segundo Gómez; D. Antonio Al calá Galiano; D. Jayme Aivarez de Mendieta,y D. Juan Antonia Fernan dez de Quesada. Ministros de Capa y Espada■. D. Pantalecn de Beramendi; Conde de Lereua; D. Víctor Rascón .Cor nejo, Contador general de Valores; D. Luis Gacel, Contador general de la D ¡stribucion; D. Josef Martínez de Bustos; D. Fel…</t>
  </si>
  <si>
    <t>Mendieta, Jayme Alvarez</t>
  </si>
  <si>
    <t>Jayme Alvarez Mendieta</t>
  </si>
  <si>
    <t>625 D. Gerónimo Antonio Diez. D. Francisco Ibañez Leiba. D. Jayme Alvarez Mendieta. D. Andrés Oller.,. D. Diego María Badillos. Se revoca como injusta la sentencia pronunciada por el tribunal especial creado por las Cortes generales y extraordinarias contra el señor D. Miguel de Lardizabal y Uribe; y en conformidad á la calificación de la j…</t>
  </si>
  <si>
    <t>Mendinueta, Pedro de</t>
  </si>
  <si>
    <t>Pedro de Mendinueta</t>
  </si>
  <si>
    <t>…ié véliTdo en nombrar por Minis tros de las clases de Generales, Rogados* Políticos, Fiscales y Secretario á los sugetps siguientes.: o ■■ ■ ’ Sala de Gobierne. ‘ ¿ :’ A1 Teniente general D. Pedro de Mendinueta , Decano». ÍAl Mariscal de Campo D..Félix Colon. Por lá Infantería..^ Al Teniente general ;D.. Antonio: de A rcb. x ' ; \ Al de igual clase D.^Gabriel ¿Je «Mendiziabal. . * CAI Mariscal de Campo D. Pedro Ignacio Correa. . ¡; í/ . .-y ^ r 77. ^ fAl Teniente ge…</t>
  </si>
  <si>
    <t>Mendíoia, Mariano</t>
  </si>
  <si>
    <t>Mariano Mendíoia</t>
  </si>
  <si>
    <t>…a presidente el Sr. D. Antonio Joaquín Perez, diputado por Nueva- Españ ; pura vice presidente elSr. D. Tomas Moyano, diputado por la provincia de Valladolid, y para secretario al Sr. D. Mariano Mendíoia, diputado por Nueva-España. El conde de Fernan-Nuñez, embaxador de S. M. en la corte de Lon dres. ha participado á la Regencia del Rey no que por decreto del Príncipe R egente de Inglaterra quedan libres de bloqueo todos los puertos y plazas de Francia que es…</t>
  </si>
  <si>
    <t>Mendiola, Mariano</t>
  </si>
  <si>
    <t>Mariano Mendiola</t>
  </si>
  <si>
    <t>…Indias á D. José Domingo Sán chez, D. Diego de Aranda y D. José Miguel Ramírez, curas párrocos del mismo obispado: y para una plaza de oidor de la Real audiencia de Guadalaxara á D. Mariano Mendiola , auditor que fué de milicias de aquella pro vincia. El Rey se ha servido nombrar al Dr. D. Juan de Lera y Cano, cura párroco de la iglesia de S. Salvador 8e esta corte, para el obispado de Barbastro, vacante por fallecimiento del limo. Sr. D. Fr. Agustín Iñi…</t>
  </si>
  <si>
    <t>Mendiola, Miguel de León y</t>
  </si>
  <si>
    <t>Miguel de León y Mendiola</t>
  </si>
  <si>
    <t>2277</t>
  </si>
  <si>
    <t>…tación, que en su nom bre y en el de los particulares de Ciuáadela cumplimentasen á S. M.; y ha biéndose con este objeto presentado al Rey nuestro Señor el 29 de Setiem bre último D. Miguel de León y Mendiola, presbítero, paborde, peniten ciario de su santa iglesia catedral, y D. Faustino Beltran del Rey, vecino de esta corte, pronunció el primero el discurso siguiente: „Señor: la antigua municipalidad de la isla de Menorca y particular de Ciudadela, que ha sido e…</t>
  </si>
  <si>
    <t>Mendizabal, Gabriel de</t>
  </si>
  <si>
    <t>Gabriel de Mendizabal</t>
  </si>
  <si>
    <t>…ciales y soldados que vertieron su sangre y sarerificaron sus vidas cubiertos de gloria. Ei estado adjunto informará á V. E. de su número y de sus apreciables nombres. El teniente general D. Gabriel de Mendizabal fué herido en el ataque de la mañana, quando quedó encar gado de dirigir el de nuestra izquierda; y por mas instancias que le hice no pude lograr que se retirase en todo el dia , dando con esto un exemplo dig no de admiración. Debo muyr particulares elogios a…</t>
  </si>
  <si>
    <t>…Gómez, s.uStjménte.;dé Laredo. D. Leonardo Sicilia, coronel de tiradores de Cantabria. .©..Pascual Perez Lazarraga, teniente de id. - , . , . r3 ' ... ■ . Heridos. ' \ El teniente general D. Gabriel de Mendizabal. D.. José | ,co&lt;r mandante general de la quarta división, brigadier, del e$j:adpr;mayor. ©on Pedro.Mendez de Vigo, gefe de la primera brigada de ]a división,proyisig^ nal, coronel de.Oviedo. D. José María Carrillo, gefe de ¡a primpra¡ j}rig^||£ de la quarta d…</t>
  </si>
  <si>
    <t>Mendizabal, Laureano González</t>
  </si>
  <si>
    <t>Laureano González Mendizabal</t>
  </si>
  <si>
    <t>…nto de D. Ignacio García del Castigo, á D. Manuel Martin Mauriz, racionero mas antiguo de la misma catedral: pa ra la ración que resultará vacante "por promoción de dicho Mauriz a Don Laureano González Mendizabal: para el arcedianato de Madrid, dignidad de la santa iglesia primada de Toledo, vacante por fallecimiento del Excmo. Sr, D. José E11 staquio Moreno, á D. Tomas Aparicio Sanrin,dean y canó nigo de la iglesia catedral de Ciudad-Rodrigo, y colector general de es…</t>
  </si>
  <si>
    <t>Mendo, Romualdo</t>
  </si>
  <si>
    <t>Romualdo Mendo</t>
  </si>
  <si>
    <t>…gobernador del obispado sede vacante y del cabildo de la santa iglesia catedral de Calahorra D. Pedro Vengoa, arcediano de Náxera, dignidad y canónigo de aquella santa iglesia, y D. Romualdo Mendo za, canónigo de la misma, el primero de los quales dirigió á S. M. el dis curso siguiente: „Señor: feliz el momento en que tengo el honor de poner en vuestras reales manos la manifestación de los ardientes votos y de los sinceros deseos que vuestra ciudad de…</t>
  </si>
  <si>
    <t>Mendoza, Antonio Dávalos y</t>
  </si>
  <si>
    <t>Antonio Dávalos y Mendoza</t>
  </si>
  <si>
    <t>…n y otra qualquiera carga. Los pretendientes dirigirán sus memoriales á D. Miguel Azana dentro del término de 20 dias, contados desde hoy dia de la fecha de esta gaceta de Madrid. D. Antonio Dávalos y Mendoza, vecino del lugar de Aljucen, del partido de Mérida, en la provincia de Extremadura, hace saber al público que hallándose de alcalde de este pueblo en la acción de guerra que hubo en él al 31 de Agosto de 1809, recogió de la maleta de un oficial francés, muer…</t>
  </si>
  <si>
    <t>Mendoza, Juan de Palafox y</t>
  </si>
  <si>
    <t>Juan de Palafox y Mendoza</t>
  </si>
  <si>
    <t>…rpetuamente en el mío y en los de quantos en aquel pais remoto tengamos la dicha de ser españoles. El seminario conciliar, erigido baxo el real patronato por el inmortal venerable obispo D. Juan de Palafox y Mendoza; esa casa de virtud, en cuyo dulce seno recibí yo mi educación primera, que ama á V. M. constante, y ha perpetuado so amor por medio del precioso busto que desde el año de 1808 llevan todos sus in dividuos al cuello como la mas honrosa divisa; el M. I. y Real…</t>
  </si>
  <si>
    <t>Mendoza, María Sanz de</t>
  </si>
  <si>
    <t>María Sanz de Mendoza</t>
  </si>
  <si>
    <t>…distingui da orden de Cárlos m. r •- t \ Igualmente el Rey 'nuestro Señor se ha servido conceder sobre el fondo / general de Espolios y Vacantes una pensión de 5 rs. vnl diarios á Doña María Sanz de Mendoza , viuda de' D. Lorenzo Barreda, vecina de esta cor te, en virtud de los méritos "qué .ella y su marido hait contraído durante J*i última guerra, sirviendo de^confidentes del gobierno español todo el tiempo que el enemigo ocupó la capital* , ‘ .. * D. Juan Jos…</t>
  </si>
  <si>
    <t>Menendez, José Cauz</t>
  </si>
  <si>
    <t>José Cauz Menendez</t>
  </si>
  <si>
    <t>…debido homenage, y extender el brazo de vuestra real demen cia á los humildes vecinos de Cadahalso, que dirigen al cielo sus ruegos por la importante salud de V. M.” El mismo día D. José Cauz Menendez, juez primero de la ciudad de Oviedo, D. Manuel de V.illaverde, regidor, y D. Joaquín Antonio Sán chez, procurador general, comisionados por su ayuntamiento, tuvieron igualmente el honor de besar la mano á S. M. y AA., y de felicitarle á nom bre de él y de lo…</t>
  </si>
  <si>
    <t>Menoyo, José Joaquín de</t>
  </si>
  <si>
    <t>José Joaquín de Menoyo</t>
  </si>
  <si>
    <t>…de la Fuente, á Don Diego de la Pedrosa, cura párroco de la misma diócesis; y para el benefi cio mayor de la villa de Pozaldtz, en el obispado de Valladolid, vacante por muerte de D. José Joaquín de Menoyo, a D. Francisco Toribio Her nández. En América El Rey sé ha servido nombrar para el obispado de Cuenca en el Perú, vacante por fallecimiento del limo. Sr. D. Andrés Quintian, á D. José Ignacio Cortázar, cura propio de la iglesia matriz de Guayaquil. El Rey nu…</t>
  </si>
  <si>
    <t>Mentes</t>
  </si>
  <si>
    <t>…nzan hasta el 3 de Julio último, hemos sabido que las quadrilias de insur gentes dei Sur habian sido derrotadas cerca de Popayan por las tropas del rey de España á las órdenes del general Mentes; qbe los habitantes de Po-</t>
  </si>
  <si>
    <t>Mer.dieta, Jayme Aivarez de</t>
  </si>
  <si>
    <t>Jayme Aivarez de Mer.dieta</t>
  </si>
  <si>
    <t>…D. Anto nio Aivarez de Contreras y D. Antonio Ignacio de Cortabarría, del coa¿se jo Real; D. Franchco Ibaáez de Ley va, dei de Indias; D. Francisco Xa vier Adeü, del de Ordenes, y D. Jayme Aivarez de Mer.dieta, del de Ha cienda; y para fiscal al Sr. D. M muel Vicente de Torres Cónsul , que ío es mas antiguo de dicho consejo Real. Y habiéndose instilado la citada jun ta suprema, y señalado por ahora para sus sesiones los miércoles y sábados títi'es de cada semana en…</t>
  </si>
  <si>
    <t>Mercadillo, Inocente</t>
  </si>
  <si>
    <t>Inocente Mercadillo</t>
  </si>
  <si>
    <t>…osé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yetano Ortega, en atención á su constante aplicación al estudio , aprove chami…</t>
  </si>
  <si>
    <t>Merfeldt</t>
  </si>
  <si>
    <t>…ESP ANAS DEL MARTES 4 DE ENERO de 1814. PRUSIA. Berlín 28 de octubre de 1813. Hemos recibido del quartel general algunos pormenores sobre la confe rencia que tuvo Napoleón con el conde Merfeldt. Los siguientes vienen por conducto auténtico. Napoleón dixo al conde que esperaba que las potencias aliadas tuvie sen la generosidad de entregarle al general Yandamme en cange del mismo conde Merfeldt. "Sé, continuó, que Vandamme no goza de la mejor reputa c…</t>
  </si>
  <si>
    <t>Merino, Gerónimo</t>
  </si>
  <si>
    <t>Gerónimo Merino</t>
  </si>
  <si>
    <t>…erial de la misma catedral, va cante por muerte de D. Félix Rabal: á D. Francisco Sepulcro para una ración de !a catedral de Orihuela, vacante por muerte de D. Gabriel Andu ez2: á D. Gerónimo Merino para una canongía de la metropolitana de Valencia, vacante por fallecimiento de D. José Faustino Alcedo: á D. Luis de Exarque para otra de la misma, vacante por muerte de D. Francisco Vailejo: á D. Manuel de Roa para otra de la misma iglesia, vacante por fa l…</t>
  </si>
  <si>
    <t>Merino, José López</t>
  </si>
  <si>
    <t>José López Merino</t>
  </si>
  <si>
    <t>…sé Martínez de Pinillos: el de teniente coronel á D. Pedro José Cacho; el de comandante del tercer esquadton á D. Nicolás Bracamente, marques de-Herrera , y el de sargento mayor á D. José López Merino, En el deCumaná, de la propia arma, el empleo de coronel á D. Feli pe Antonio de La-Torre. Y en el de dragones urbanos de Celendin igual empleo de coronel á I&gt;. Mariano de Castro y Tabeada. CREDITO PUBLICO. En cumplimiento del decreto de las Cortes generales…</t>
  </si>
  <si>
    <t>Merita, Joaquina</t>
  </si>
  <si>
    <t>Joaquina Merita</t>
  </si>
  <si>
    <t>…s por la señora baronesa de Uxola , y uno por la señora baronesa de Antelia , y los restantes 47 por la sociedad; habiendo cedido la parte pecuniaria del premio Doña Tomasa Bonet, Doña Joaquina Merita, Doña Visitación Cebrian y Doña María Desamparados Artaiejo. Concluida la repartición, el joven premiado D. Antonio Nas-Ji recitó una oda, dando gracias á nombre de todos sus compañeros, y D ñ* Tomasa Bonet dixo otra á nombre de las niñas. Continuó el P. Rafa…</t>
  </si>
  <si>
    <t>Merita, Juan</t>
  </si>
  <si>
    <t>Juan Merita</t>
  </si>
  <si>
    <t>…fusil durante el sitio del castillo el teniente graduado de capitán D. Ma nuel Prino. »La tripulación y oficiales de marina de las fuerzas sutiles, al mando del capitán de fragata D. Juan Merita, han contribuido mucho, estable ciendo con su artillería una batería, y sirviéndola con valor y acierto. &gt;’La artillería y la tropa de infantería del regimiento de América, al mando de su gefe D. Matías de Torres, ha llenado su deber á mi satisfac ción; y tod…</t>
  </si>
  <si>
    <t>Merle</t>
  </si>
  <si>
    <t>…o de los puntos militares ma^ interesantes, y que como tal llamó la primera atención del enemigo. En Junio de 808 concibió la atrevida resolución de hacer frente á la división dei general Merle á su paso para S. ntander , y sin mas fuerzas que las que presta el amor y el patriotismo, logró hacer prisionera una avan zada á costa de la vida de tres de sus valerosos habitantes. Sucumbió al fin, qual era de enerar en tan desigual lucha; pero desde aquel…</t>
  </si>
  <si>
    <t>Merville</t>
  </si>
  <si>
    <t>…ando pasar el 8 aquel rio por Valleggio. Hechos todos los prepa rativos, la división Radivojevich avanzó hacia valleggio, y el general Vescay á Pozzolo sin encontrar oposición. El general Merville se quedó con su tropa en Pozzolo para dirigirse al punto que fuese amenazado. En breve encontró el general Radivojevich al enemigo, y se siguió un vivo fuego en nuestro favor. La izquierda ganó una posición en un espacio so terreno, y se apoderó de todas las…</t>
  </si>
  <si>
    <t>Mesa, Lope de</t>
  </si>
  <si>
    <t>Lope de Mesa</t>
  </si>
  <si>
    <t>…de Va lencia , le ha conferido la contaduría del mismo. En el real cuerpo de Guardias Españolas se ha servido la Regencia del Reyno promover á capitán de cazadores al de fusileros D. Lope de Mesa; á capitán de fusileros al primer teniente D. Ignacio de Lardizabal; á pri mer ayudante mayor al segundo D. Ramón de Melgarejo; á primeros te nientes á D. Mariano López, de cazadores; y de fusileros á D. Manuel Menendez Vaídes, D. Pedro Zuíoaga y D. José Gonz…</t>
  </si>
  <si>
    <t>Mesclop</t>
  </si>
  <si>
    <t>…s, brigadas de este, primer exército- con artillería y caballería: amenazando ia plaza de Gerona; y teniéndose noticia á las 11 ae la noche: que la di visión francesa que manda el general Mesclop había llegado- á Olor» salió inmediatamente de A me r la segunda- brigada de la segunda división, ai mando de su digno gefe el. coronel D. Manuel Llaud.er, y ayer mañana á las 7 y media » después de haber forzado extraordináíiarhentíe fa marcha al traVéVde 'l…</t>
  </si>
  <si>
    <t>Mesía, Ignacio Osorio y</t>
  </si>
  <si>
    <t>Ignacio Osorio y Mesía</t>
  </si>
  <si>
    <t>:¿2sj i de confirmador* ó suplemento'qüe se expidan, previas (¿s forúialidaJesr^tqae están acordadas. ' ’ j, * f D. Ignacio Osorio y Mesía, dignidad de prior y canónigo de la¡ santa iglesia catedral de Coria, mandó fundar sobre sus propios bienes ipna pscuelagratuita de primeras letras con la advocación de S. Fernando , dotándola porahoracon 300, ducados, pagados mensual mente, y casa suficiente…</t>
  </si>
  <si>
    <t>Mesía, Juan</t>
  </si>
  <si>
    <t>Juan Mesía</t>
  </si>
  <si>
    <t>…e lá°Mota: para el beneficio préstamo de Fuente el Rey, vacante por fa llecimiento de Di Antonio Rbfcó Cajoneé, y la media prestamera de Sabiote, vacante también por liaber muerto D. Juan Mesía, los dos en el obispa*dó dé'Jaén, y el préstamo de Viílace dé la Vega, que lo'está asimismo en la diócesis de León por haber pasado á contraer matrimonio D. Isidro Mar tin Saavedra, á D. Francisco Molíe , capellán de honor de S. M.: para la prestamera de Prad…</t>
  </si>
  <si>
    <t>Mesonero, Agustín</t>
  </si>
  <si>
    <t>Agustín Mesonero</t>
  </si>
  <si>
    <t>…, y el segundo á D. Ramón de Dueñas. Se declaró el accessit á D. Tadeo Briceño, á quien se acordó darle certificación que expresase heberse acercado inas á los premiados, y que de D. Agustín Mesonero se hiciese mención honorí fica en la gaceta, por la aplicación que había manifestado en estos cxercicios públicos, dándole también certificación por secretaría. La sociedad tuvo la mayor satisfacción en que el concurso hiciese á los opositores varias pregunta…</t>
  </si>
  <si>
    <t>Metfer</t>
  </si>
  <si>
    <t>…qúe'él asunto de la Saxonia debe considerarse «omolenteramente concluido; pero algunos ministros de fas grandes poten cias no son del mismo dictámen , entre; los qnales se cita al príncipe Metfer*nich. La Baviera es la potencia que mas abiertamente se opone,' á sus pre tensiones ; pero la Prusia ptor su parte procura obtener la influencia en los asontos de Alemania, &lt;5 á lo menos neutralizar la que tiene el Austria -h pero</t>
  </si>
  <si>
    <t>Metieses, Francisco</t>
  </si>
  <si>
    <t>Francisco Metieses</t>
  </si>
  <si>
    <t>…aradero ó de su muerte se servirá avi sarlo en esta corte á Doña Josefa Hernández, que vive en la calle del Príncipe, Uum. 14, en la cerería* Quien tuviere noticia del paradero de D. Francisco Metieses, natural de Si sante, y casado en Vara de Rey, ambos pueblos de la provincia de Cuenca, que se hallaba de subteniente de caballería de voluntarios de Madrid en 1809, y en el misino grado en 1811 en el de dragones de Sagunto en Andalucía, se servirá avisarlo a…</t>
  </si>
  <si>
    <t>Metternich</t>
  </si>
  <si>
    <t>…e S. M. el Rey de España. Asistieron á esta función las prin cipales personas d¿ la corté; á saber, el príncipe de Benevento, conde de la Foret &amp;c., todo el cuerpo diplomático, el príncipe Metternich, lord Castlereagh, los condes Nesselrode, Funchal, Pálmela, Rosamousky, lord Aberdeen, sir C. Stewart, el canciller de Prusia, los condes Hardenberg y Munster Meinhovel, los caballeros Pizarro y Humboldt, ios-generales'Lacken, España, St.-Simón, y otras mucha…</t>
  </si>
  <si>
    <t>…conde de Ruppin : se ha alojado en el palacio Breteuil en la calle de Rívoli. Sus dos hijos se han quedado en Inglaterra para aca bar sus estudios en la universidad de Oxford. El príncipe Metternich, ministro de Relaciones exteriores en Austria, está de vuelta de Londres para esta capital. Se alojará en los campos Eüseos en el palacio de M. de Marescalchi, que acaba de comprar el emperador de Austria. Según las noticias recibidas últimamente de Italia se…</t>
  </si>
  <si>
    <t>022 AUSTRIA. Vietta 18 de Julio* Por fin se ha verificado ya la llegada á esta capital que todos deseaban tanto del príncipe Metternich, ministro de Relaciones exteriores. Este prín cipe, después de haber visitado al emperador Alexandro enBruchsal, se di rigió por Stuttgardt y Munich para trasladarse aquí, en donde no se ha de tenido, pues inmediatamente después de su llegada salió para ir á…</t>
  </si>
  <si>
    <t>…ramente estas las únicas. Augsburgo 29 de Julio. Se tiene ya por cierto que el congreso de Viena se abrirá antes del mes de Octubre, por haberse removido con las negociaciones del príncipe Metternich quantas dificultades hacían temer que no pudiese verificarse ^an pronto. Francfort gt de Julio. El rey de Prusia y la princesa de Latour y Taxis partieron ayer, el Rey para Berlín, y la Princesa para Ratisbona. Según todas las noticias que se han recibido aqu…</t>
  </si>
  <si>
    <t>…uos de ella para que lleven las insignias. Se asegura que lord Castlereagh debe llegar al fin det mes a esta capital» y que después de haber pasado en ella algunos días irá con el príncipe Metternich á Varsovia, donde se espera para mediados de Setiembre aí em perador de Rusia y al rey de Prusia. Se. había divulgado la noticia de la próxima venida i esta corte del rey de Saxonia para tener parte en el congreso j pero hoy se desmiente esta, voz,, y se aseg…</t>
  </si>
  <si>
    <t>…entre el príncipe T^lleyrand Perigord y el lord Ca tlreagh están enteramente arregladas; con lo qual po drá este ocupare enteramente en las negociaciones que existen entre él y el príncipe Metternich, que según se cree son de suma importancia. Se dice que el elector de Hesse había solicitado el título de Rey ; pero que como tan solamente era elector desde el tratado de Loneville, se le ha concedido solo ei título de Gran Duque. Entre los planes que circul…</t>
  </si>
  <si>
    <t>MetternichWínneburgo-Oclisenh, Clemente-Wenceslao-Lothario de</t>
  </si>
  <si>
    <t>Clemente-Wenceslao-Lothario de MetternichWínneburgo-Oclisenh</t>
  </si>
  <si>
    <t>658</t>
  </si>
  <si>
    <t>…uila Negra y del Agui la Roxa de Prusia &amp;c., su ministro y secretario de Estado de negocios extrangeros; y S. M. el emperador de Austria, rey de Hungría y de Bohe mia, á los Sres. príncipe Clemente-Wenceslao-Lothario de MetternichWínneburgo-Oclisenhauseiv, caballero del Toyson de oro, gran cruz de la orden de S. Esteban; gran águila de la legión de Honor, caballero de las órdenes de S. Andrés , de S. Alexandro-Newsky y de Sta.'Ana de la pri mera clase de Rusia, caballero gran cruz de las órdenes del Agui…</t>
  </si>
  <si>
    <t>Metternieh</t>
  </si>
  <si>
    <t>…es la primera vez que un emperador de Rusia-ha estado en Inglaterra, y la segunda que vemos en nuestro territorio á un rey de Prusia. £1 mismo día habían llegado por la mañana el príncipe Metternieh y los generales Biudhery Plitow y Barclay de Tolly, y á las dos de la tarde el príncipe Hénrique do Prusia . ’El emperador de Rusta llego al palacio de Pulteney , en donde qntró sin ser conocido , hasta que el príncipe G igarino dixo quien era: entonces la gr…</t>
  </si>
  <si>
    <t>Mettlereamp</t>
  </si>
  <si>
    <t>…renciar entre sí, y preparar trabados para el congreso general. S. M. el erhperádor de Rusia ha condecorado con la orden de S. Wladimiro á nuestro apreciabie ciudadano el teniente coronel Mettlereamp, gefe de la guardia cívica anseática que acaba de licenciarse. Las tropas rusas signen marchando para el Holstein , y el quartei gene ral del general Benningsen se trasladará á Neumunster, sobre el Stachr, ea donde se espera también por momentos un cuerpo de…</t>
  </si>
  <si>
    <t>Mexía, Joaquin</t>
  </si>
  <si>
    <t>Joaquin Mexía</t>
  </si>
  <si>
    <t>…no y de la nación entera/’ Asimismo tuvo en este día la honra de presentarse á S. M. una comisión militar de la provincia de Zamora, compuesta del sargento mayor de aque lla plaza D. Joaquin Mexía, del capitán D. Juan Aldea y del subteniente D. José Piñeyro, del regimiento infantería de Compostela; quienes, des pués de haber tenido el honor de cumplimentar á S. M., entregaron en sti real mano varios documentos concernientes á su provincia. El dia 22 de…</t>
  </si>
  <si>
    <t>Mexía, L. M.</t>
  </si>
  <si>
    <t>L. M. Mexía</t>
  </si>
  <si>
    <t>…la diputación. Tratado teórico-práctico de las enfermedades de los ojos, ó de las experien cias , observaciones y operaciones sobre las enfermedades que afligen este, órgano: por D. L. M. Mexía, profesor de cirugía en la ciudad de Valladolid: dos tomos en 8.° Se hallarán á 20 rs. vai. en la librería de Orea, calle de la Montera; en Valladolid en la de los hermanos Santander; en Búrgos en la de Atvarez, y en Sala manca en la de Barco. Tratado de agri…</t>
  </si>
  <si>
    <t>Meyer</t>
  </si>
  <si>
    <t>…r estas alturas, recibió aviso el general Merville de que una fuerte columna de caballería enemiga habia vuelto á pasar el Mincio por Goito, y se dirigía á colocarse entre él y el general Meyer, quien al mismo tiempo habia sido atacado en Royabella, cerca de Mantua, y se habia retirado á Villafranca. El objeto del enemigo no admitia duda, y parecía que el virey en per sona habia vuelto el 7 desde Castellucio y Marcoria con la división Quesnel, la ca…</t>
  </si>
  <si>
    <t>Meza, José de</t>
  </si>
  <si>
    <t>José de Meza</t>
  </si>
  <si>
    <t>…e fusileros á los tenientes D. Manuel Anto nio de la Mata y D. José Jorge Duran: tenencia de granaderos al de fusi leros D. Vicente Caballero: tenencia de fusileros al subteniente D. José de Meza ; y subtenencias á D. José Viiaurrizaga y D. Santiago Villar. En el de Huanta el empleo de teniente coronel al sargento mayor del propio cuerpo D. Nicolás Terres: compañías de granaderos á los capitanes de fusileros D. Andrés Cabrera y D. Manuel Valdivia: com…</t>
  </si>
  <si>
    <t>Mezquito, José Chueca y</t>
  </si>
  <si>
    <t>José Chueca y Mezquito</t>
  </si>
  <si>
    <t>…s de algunos de sus decretos: su precio 4 rs. Versión parafrástica del oficio y misa de la festividad del Santísimo Sacramen to y su octava, según el breviario y misal romano, por D. José Chueca y Mezquito: un tomo en 8.° con dos estampas. Se hallará en la librería de Escribano, cali® de ias Carretas, y de IIleseas, calle ancha de Majaderitos, á n rs. en pasta. EN LA IMPRENTA REAL.</t>
  </si>
  <si>
    <t>Mi</t>
  </si>
  <si>
    <t>…José María Falcon, sargento mayor del de Ri bero. D. Ramón de Castro, capitán de id. D. Pedro Neyra, teniente de id. XX Ruperto Otero, id. de id. D. José Sousa, subteniente de id. D. Mi guel Santos, id. de id. D. Tomas Nogueyra, id. de id. D. Francisco Villariño, id. de id. D&gt; Francisco Rúa, teniente del de Oviedo. D. Ramón Gastellá; id. de id. D. Ramón Collast, subteniente de id. D. José Ordoñez, id. de id. D. Pedro Mateo Olorn, sargento ma…</t>
  </si>
  <si>
    <t>…ncia pronunciada por la sala segunda de este síupremo tribunal, en quanto revocó como injusta la del tribunal espe cial creado por las Cortes generales y extraordinarias contra el Sr. D. Mi guel Lardizabal y Uribe; declarándose ademas todos procedimientos abusi vas en su origen, é ilegales en su progreso. Se confirma igualmente en' quan to absuelve al expresado señor Lardizabal libremente de tos cargos que se le han hecho en razón del objeto que…</t>
  </si>
  <si>
    <t>…en Madrid á 25 de Junio de 1814. = YO JE L REY. = Yo D. Juan Ignacio de Ay estarán, secretario del Rey nuestro Señor, lo hice escribir por su mandado. = El duque del Infantado. = D. Mi guel Alfonso Viilagomez. D. Gerónimo Antonio Diez. r= D. Nicolás Ma ría de Sierra. = D&lt;. Luis Melendez y Bruna. = Registrada, Fernando de Icurmendi. =: Teniente de canciller mayor, Fernando de Iturmendi. Circulares del ministerio de Hacienda. 1. a- Habiendo l…</t>
  </si>
  <si>
    <t>…ción se componía de un piquete del bata llón de Guanaxuato, al mando del teniente D. Antonio López y cadete Don Joaquin Miranda, la compañía de infantería de Puebla al del alférez D. Mi guel Calderón, 40 dragones de Ayacapistla y Janacate al del capitán D. Six to Manso y teniente D. Pedro Dávalos, igual número de Izucar y Chetla al del teniente D. Mariano Comoforte y D. Ignacio Adorno, y una guerri lla de dragones fieles del Potosí al cargo…</t>
  </si>
  <si>
    <t>…mé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Francisco D…</t>
  </si>
  <si>
    <t>…Agosto ultimó por medio de sus diputa dos D. Manuel Tariégo, caballero de la-Real orden de Carlos iii, doctoral que fue de dicha santa iglesia, y actualmente de la de Salamanca, y D. Mi guel Fernandez Herreruelo, canónigo lectoral de aquella; el primero de los quales dixo: ,,Señor: el cabildo de la santa iglesia de Santander ha tenido la dulce satisfa'Ccion de ver realizados sus ardientes votos por el restablecimiento de seado de V. M. al tr…</t>
  </si>
  <si>
    <t>…bre y concepto, me mandaS. M. que inmedia tamente lo ponga en noticia de V. E., para que cuide tengan cumplido efecto las Reales resoluciones, haciéndolo saber sin demora al dicho D. Mi guel Ricardo de Alava para su inteligencia y satisfacción. Dios guarde á V. S. muchos años. Madrid 24 de Noviembre de 1814. = Francisco Eguía* El Rey nuestro Sr. se ha servido conceder á D. José Victoriano Gallar do Pacheco el permiso de poder llevar la cruz…</t>
  </si>
  <si>
    <t>Mi, Luis</t>
  </si>
  <si>
    <t>Luis Mi</t>
  </si>
  <si>
    <t>…o promover en el regimiento provincial de la La gunaú capitán de granaderos á D. José Guezala, y de fu-ñeros á D. Fran cisco Díaz y D, Francisco Peraza; á teniente de granaderos á D. Luis Mi randa, y de cazadores á D. Domingo Viejobueno ; á segundo ayudante á D. Tomas de Vargas; á tenientes de fusileros á D. Valentín Baudet, D. Garlos Fernandez y D. Miguel Manrique.; á subteniente de granaderos á D. Bernabé García Ábreu , y de cazadores á D. Salv…</t>
  </si>
  <si>
    <t>Mi, Martin</t>
  </si>
  <si>
    <t>Martin Mi</t>
  </si>
  <si>
    <t>…hachapoyas, de igual 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 Pinillos: el de teniente coronel á D. Pedro José Cacho; el de comandante del tercer esquadton á D. Nicolás Bracamente, marques de-Herrera…</t>
  </si>
  <si>
    <t>Mi, Pablo</t>
  </si>
  <si>
    <t>Pablo Mi</t>
  </si>
  <si>
    <t>…e 1809: escrito en alema-a, y publicado en Leipsick en el de 1812; y traducido al español por el brigadier de los Reales exércitot y teniente coronel del Real.cuerpo de Artillería D. Pablo Mi randa. Véndese en la librería de Calleja, calle de las Carretas, frente á la impren ta real, á 2 rs. en rústica. ■ r Representación y manifiesto que uno de los diputados de las Cortes ordinarias presentó al Sr. D. Fernando vn en Valencia al volver S. M. á su…</t>
  </si>
  <si>
    <t>Michelena, Ignacio de</t>
  </si>
  <si>
    <t>Ignacio de Michelena</t>
  </si>
  <si>
    <t>…á en la librería de la viuda de Barco López. Manejo real ó tratado de Equitación, compuesto por el Excmo. Sr. conde de Grajal, que nuevamente publica, aumentado con algunas notas, D. Ignacio de Michelena, maestrante de ía real de Ronda: un tomo en 8.° Se hallará en la librería de la viuda de Illescas, calle ancha de Majaderitos, á 12 rs. en pasta. Nota. E11 la gaceta número 52, pág. 380, donde dice; „ pero el no sa berlo de oficio obliga á darle entero crédit…</t>
  </si>
  <si>
    <t>Mier, Francisco de</t>
  </si>
  <si>
    <t>Francisco de Mier</t>
  </si>
  <si>
    <t>…Excmo. Sr. D. Pedro Cevallos, del consejo de Estado y caballero gran cruz de la orden de Carlos m; del Excmo. Sr. D José Colon, ex rector y honorario del mismo consejo ; del limo. Sr. D. Francisco de Mier, ex-cafedrático y obispo de Almería , del consejo de S. M.; del limo. Sr. Don Bernardo de Riega , ex-catedrático y del suprimido consejo y cámara de Castilla; del Sr. D. Tomas Moyano, ex-catedrático y del propio consejo; del Sr. D. Manuel María de Junco, ex-c…</t>
  </si>
  <si>
    <t>Mier, Vicente José</t>
  </si>
  <si>
    <t>Vicente José Mier</t>
  </si>
  <si>
    <t>…iversidad!de Granada, D. Antonio Alcalá Galianó, ministro dei Consejo, y juez, conservador de la real lotería moderna ; D. Diego María Vadillos, alcalde de la real casa y corte, y D. Vicente José Mier , canóni go de AÍbarracin r como individuos de dicho cuerpo; y. en cuyo acto pro nunció el primero un discurso análogo á las circunstancias, concluyendo con poner en las; reales manos la carta que servia dé credencial. Si. M. ló oyó con la bondad: que le es c…</t>
  </si>
  <si>
    <t>Miera, José María</t>
  </si>
  <si>
    <t>José María Miera</t>
  </si>
  <si>
    <t>…ontraer matrimonio D. Isidro Mar tin Saavedra, á D. Francisco Molíe , capellán de honor de S. M.: para la prestamera de Pradeña enrel obispado de Córdoba, vacante por promoción de D. José María Miera á la dignidad de prepósito de La iglesia colegial de Antequera, diócesis de^Málaga, á D. Joaquín Ustarroz; para los»dos prés tamos de Castillejo y Cerralbo , diócesis de Ciudad-Rodrigo, vacantes por muerte de D. Angel Tellez, y el de Sepulcro Hilario ,1 vacan…</t>
  </si>
  <si>
    <t>Miera, José María de</t>
  </si>
  <si>
    <t>José María de Miera</t>
  </si>
  <si>
    <t>…y se ha servido nombrar para la dignidad de prepósito de la igle sia colegial de Antequera, en el obispado de Malaga, vacante por falleci-!miento de D. Gaspar Carrasco y Alcoba, á D. José María de Miera , ca&lt;r pellan primero de la Real capilla parroquial del Real palacio de Aranjuez: para el arcedianato titular de la iglesia catedral de Segovia, que resultará vacante por promoción de D. José Azpey tia y Saenz de Santa María al obis pado de Lugo , á D. Manuel…</t>
  </si>
  <si>
    <t>Migu</t>
  </si>
  <si>
    <t>…, y el de] de Lena á D. Miguel-Perez Mozun, coronel en comisión del mismo. La Regencia del Reyno se ha servido nombrar para cinco plazas de ma gistrados dé la audiencia’de Quito á D. Migu^Otermin, D. Manuel Galeano, D. Pedro López Seg'ovia, D. Santiago Corbalan y D&gt; Antonio María Izquierdo de la Torreé y para'fiscales de la misma á D. Juan Josef del Campo y D. Manuel Antonio de Noriega Domínguez. Relación de los buques de nuestro comercio que…</t>
  </si>
  <si>
    <t>Migue</t>
  </si>
  <si>
    <t>…27 de Mayo. El tónes 16 del corriente besaron Ja mano y cumplimentaron á S. M. en nombre de su obispo y cabildo D. Agustín de los Arcos, D. Manuel de Espejo y Pinar, canónigos, y D. Migue! de Testa, prebendado de la santa iglesia de Córdoba, el primero de los quales arengó á S. M. en los términos siguientes: ,,Señor: el obispo de Córdoba, que hasta obtener el permiso y licencia de V. M. no puede ofrecer personalmente el tributo de su obedienci…</t>
  </si>
  <si>
    <t>2076 D. Migue! de Orozco, D. Antón ib Gómez de Barreda, í).; Alonso de Tor res y Guerra, D. Manuel de Posada, y D. José Melendez Bruna. El Rey se ha servido nombrar para la dignidad de deán de la iglesia ca tedral de Cartagena, vacante por fallecimiento de D. Ignacio Ofañe…</t>
  </si>
  <si>
    <t>MiguebTacon</t>
  </si>
  <si>
    <t>…uieron hasta las ocho de la noche. ' - „Mi segundo el mariscal de campo D. Juan Ramírez, que mandaba la ' derecha, el de la misma clase D. Francisco de Picoaga, el mayor general -•brigadier D. MiguebTacon, que mandaba la izquierda, el brigadier y co— * rónfcl del 2.® regimiento D- Gerónimo Lombera, que sin embargo del ba lazo recibido en Vilcapugio, y con su herida abierta, estuvo á la cabeza dé</t>
  </si>
  <si>
    <t>Miguel</t>
  </si>
  <si>
    <t>624</t>
  </si>
  <si>
    <t>…en la noche de 24 de Setiembre de 1810, de la qual resulta serlo el mismo señor; y teniendo presente lo expuesto y pedido por el señor fiscal, y las defensas hechas por el propio señor D. Miguel, dixeron: que administrando justicia lo debían de condenar y condenaron á que salga expulso de todos los pueblos y dominios de España en el continente, islas adyacentes y pro vincias de Ultramar, y al pago de las costas del proceso, y mandaren que los exempla…</t>
  </si>
  <si>
    <t>…a de este decreto para lo que les pertenece á las demas secretarías de Estado y del despacho universal. = Señalado de la real mano de S. M. = £n Palacio á ¿8 de Junio de 1814. = A D. Miguel de jLardizabal y Uribe. 3.0 Tehiendo en consideración los distinguidos méritos, talento y servi cios de mi consejero de Estado D. Miguel de Lardizabal y Uribe, he venido en nombrarle secretario de Estado y del despacho universal de Indias. Tfendreislo entendi…</t>
  </si>
  <si>
    <t>…ante por jubilación? de D. Ventura de Elorduy, que la obte nía , á D. Nicolás Lavaggi, 'tesorero que era; del exército y principado de Cataluña, y nombrar pata suceder á Lavaggi á.D. Miguel. Prats y Vilalba,, tesorero que fué del exéircito de Castilla la Vieja.</t>
  </si>
  <si>
    <t>…cantidades á que puedan ser responsables dichos bienes, y proceder en su vista en las diligencias del juicio segur» corresponda. Doña Manuela Zubillaga y Cácerts, soltera, hija de D. Miguel y Doña Bár bara, administrador aquel de rentas, y vecino de ia villa de Sahagun de Campos,</t>
  </si>
  <si>
    <t>…y á subteniente de bandera a! sargento primero D. Al fonso Diaz. Con la de i.° de Noviembres del mismo año, á sargento mayor á D. José Ignacio Urquidi; á teniente de granaderos á D. Miguel de la Ve ga ; ídem de fusileros á D. José Tellez y D. Matías de la Torre ; á subte nientes dé granaderos á D. Evaristo del Castillo y D. Martin Salazar, y á subtenientes de bandera á los cadetes D. Santiago de Castro , D. Manuel García y D. Francisco Geltz de…</t>
  </si>
  <si>
    <t>…b'ano y Nieto. En Orense....... D. Fernando Rey. En Lugo..i...... D. José María Gayoso.. En Patencia.... D. Marcelino de la Torre. Jim Palma...... D. Lorenzo Gibert. En Pamplona.. D. Miguel*D Echarri. ^ En Pías encía.. D. Joan Campo y Oliva. En Sevilla...... D. Nicolás Jo‘é Areipacochaga. En Segovia...... Viuda de Ramiro y Mesa. En Santiago.... D. Manuel de la Riba Moreno. En Soria......... D. Joaquín Tutor Iba Izóla. En S lamanea D. F rancisco…</t>
  </si>
  <si>
    <t>…, D. José María de Alós , D. Felipe de Paz, Príncipe de Anglona, D. Juan Senen de Coimeras, D. Felipe KeatingRoche, y D. Francisco Cabrera. A mariscales de campo á los brigadieres D. Miguel de los Ríos , D. Car los de Gunchi, D. Bartolomé Georget, el barón de la Barre , D. José Fal ques, D. Manuel María Prosterla, D. José Bucareli, D. Nazario de Fguía, I). Raymundo Ferrer, D. Isidoro del Saso, D. Pedro de Oiedo, D. Mi guel Ignacio Mari mon, D. P…</t>
  </si>
  <si>
    <t>…á' D. Satrirriíno Peal y Diazr; yapara él beneficio simple servidero dé Ja iglesia parroquial de S. Miguel de la ciudad de Andujar, vacante poír muerte de í). Pedro Izquierdo , á ,D. Miguel, Antonio de Antuñano, cura párroco de Gordejuela. Asimismo se ha dignado S. M. nombrar para el beneficio de Santo Do mingo de la villa de Muía,.diócesis de Cartagena, que vacó por. muerte de D. Francisco Rodríguez Campománes, á D. Mateo Obregon ; y para otro…</t>
  </si>
  <si>
    <t>Miguel, Di</t>
  </si>
  <si>
    <t>Di Miguel</t>
  </si>
  <si>
    <t>…an Antonio Pendaríes, dicípulos de la. academia pu blica de matemáticas,; que con iare atiprobácio ti^hageoch p años se, halla .esta blecida en está corte baxo la dirección de su 'catedrático Di Miguel;Dqlz, se presentaron á examen público en el salón de la diputación provincial de todo lo correspondiente al primer año de matemáticas; en el qual no tan so]agente dieron una prueba de su grande aplicación ., respondiendo á quantas preguntas se les hicieron á.…</t>
  </si>
  <si>
    <t>Miguel, Juan de S.</t>
  </si>
  <si>
    <t>Juan de S. Miguel</t>
  </si>
  <si>
    <t>…S. M. la diputación de la villa de Sta. María la Real de Nieva, patronato de S. M., compuesta del regidor D. Pedro Martín, del diputado D. Ramón Martin, y de su procurador síndico D. Juan de S. Miguel de la Peña; el quai aren gó á S. M. en los términos siguientes; Señor: el ayuntamiento de la villa de Sta. María la Real de Nieva, patronato de V. M., lleno siempre de amor á vuestra real persona, tiene Ja gloria de presentarse con el mayor jubilo á felicitar…</t>
  </si>
  <si>
    <t>Miguel, Manuel de</t>
  </si>
  <si>
    <t>Manuel de Miguel</t>
  </si>
  <si>
    <t>…te por muerte de D. Tomas González de Iturralde, á D. To mas de Simón Saez; y para una ración de la iglesia colegial de Briviesca, diócesis de Burgos, vacante por fallecimiento de D. Manuel de Miguel, á D. Apolinar Angulo. En atención á los distinguidos méritos y circunstancias de D. Tomas Arias Leiza de Eraso, canónigo de la iglesia metropolitana de Zaragoza , se ha servido S. M. nombrarle para la plaza del tribunal de la Rota de la Nun ciatura apostólic…</t>
  </si>
  <si>
    <t>Miguel, Santos San</t>
  </si>
  <si>
    <t>Santos San Miguel</t>
  </si>
  <si>
    <t>…rnando.^e;J.a^enríat.gapitagi de ingenieros. D. José. Ortega, teniente coronel , ayudare ¡ .secundo,fju/,es-j tado mayor. D. José Cieofuegos, id. de id. D. Ramón Gqqzajez^J^pe i3. D. Santos San Miguel, teniente coronel deí 2.0 de Asturias. D. Jos&amp;M^íía Noroa , sargento mayor de id. D. Diego Quirós, capitán de id. D. Tomas Pastoriza , teniente de id. D. Gumersindo Muros, subteniente de id. D. Benito Llórente, capitán del de Guadalaxara. D. Camilo Marquina,…</t>
  </si>
  <si>
    <t>Miians</t>
  </si>
  <si>
    <t>a$2 Tarragona g de Marzo, El 27 desembarcó aquí el general Miians procedente de Mallorca. Esta mañana ha llegado á esta el brigadier D. Juan Martin el Empeci nado ; la vista de este y otros beneméritos patriotas¿renovará siempre la me moria de nuestra gloriosa insurrección. Idem 8, El 2 de Febrero se aseguró en Narbona que…</t>
  </si>
  <si>
    <t>Miíhaud</t>
  </si>
  <si>
    <t>…l pueblo de Chames. El 23 el príncipe Wenzel Lichténstein llegó al quartel general de par lamentario, enviado por el príncipe Schwartzenberg para proponer» i&amp;u ar misticio. , , El general Miíhaud, que manda la caballería del quinto cuerpo, hizo 500 prisioneros de caballería entre Pavillon y Troyes. El ge neral Girard salió de Sens, y marchando por VilIenéuVe» Archevegne, Villemont y St. Lievant, díó con la retaguardia d:i príncipe .Mau ricio Lichtenst…</t>
  </si>
  <si>
    <t>Milano, Diego</t>
  </si>
  <si>
    <t>Diego Milano</t>
  </si>
  <si>
    <t>…García Zurrique, 20: Juan de Caz, 30: Mariano Riaza, 20: Clemente Majoleto, 20: Francisco García Hernández, 120: Dr. D. Tomas Aranguren, 100: D. Fernando Milano, presbítero, 100: D. Diego Milano, 30: D. José de'Olmo, presbítero regu lar, 10: Félix Riaza*', 3°: Marcos Riaza, 20: Francisco Riaza, 20: Manuel Reguera , 8 : Mimiíiél; Erranz , i i ?: Jorge García, 2ó : Estanislao de la Cáíi— tilla , 10: Julián Fernajidez, i.j .Xomas„. Moreno... jo : José G…</t>
  </si>
  <si>
    <t>Milano, Fernando</t>
  </si>
  <si>
    <t>Fernando Milano</t>
  </si>
  <si>
    <t>…isco Djaz, 2&lt;p:, José Reyes, 10: José García Zurrique, 20: Juan de Caz, 30: Mariano Riaza, 20: Clemente Majoleto, 20: Francisco García Hernández, 120: Dr. D. Tomas Aranguren, 100: D. Fernando Milano, presbítero, 100: D. Diego Milano, 30: D. José de'Olmo, presbítero regu lar, 10: Félix Riaza*', 3°: Marcos Riaza, 20: Francisco Riaza, 20: Manuel Reguera , 8 : Mimiíiél; Erranz , i i ?: Jorge García, 2ó : Estanislao de la Cáíi— tilla , 10: Julián Fernajidez,…</t>
  </si>
  <si>
    <t>Milano, Jacinto</t>
  </si>
  <si>
    <t>Jacinto Milano</t>
  </si>
  <si>
    <t>…y 18 maravedises: José Milano Cadereha ,100: Juan Riaza Riazg, 8.0: Pedro Yepes, 100: Diego Díaz Barranco, 100: Antonia Milano , 100: Pablo Rin conada, 50: José Milano Yepes, 40: D. Jacinto Milano, presbítero, 66 y 18 maravedises : Narciso Orejón, 40: Juan Orejón j 40: Ramón Blanco, 40: Feiipe Verde, 40: D. Francisco del Castillo, presbítero, una fanega de trigo: Feliciano Sastre seis arrobas de aguardiente: Tomas García Benito, 60 reales: Pablo Riaza…</t>
  </si>
  <si>
    <t>Milano, José Ruiz de Torre</t>
  </si>
  <si>
    <t>José Ruiz de Torre Milano</t>
  </si>
  <si>
    <t>…n to de Coria 4 D• Félix Erizo y Morales: para el de Arcos de ia Frontera á D- José Bravo y Tortees: para la vara de Alberique á D. Ildefonso Gonza lo Moron: para la de Pastrana á D. José Ruiz de Torre Milano % para ia de Torre la Vega á B. Vicente Manuel de la Hoz: para el corregimiento de Aranda de Duero a D. Sebastian Muñoz de Perlacia: para las plazas d,e oidores de ta chancillería de Valladojid, vacantes por haber sido ascendidos á regentes de Galicia y Canar…</t>
  </si>
  <si>
    <t>Milhaud</t>
  </si>
  <si>
    <t>…e por los cosacos, exceden á toda ponderación. la El 28 avanzó el emperador á Montierender. _ El 29 á las ocho de mañana el general Grouchy, que manda la caballería , avisó que el general Milhaud con el quinto cuerpo de caballería estaba' entre Maizieres y Brien ne en presencia del exército enemigo, mandado por el general Blucher, y reculado en 40© hombres entre rusos y prusianos, estando los primeros á las órdenes del general Sacken. A las quatro de…</t>
  </si>
  <si>
    <t>…general Wrede y el príncipe de Wurtemberg contra las fuerzas francesas. El general De-Roí, que mandaba la vanguardia del cuerpo de Wrede, fué acometido el 10 en S. Diez por la del general Milhaud, que ocupaba hace poco á Colmar. De-Roi se vió precisado á retirarse á espaldas de San ta Margarita , donde reuniendo las fuerzas de su mando, acometió á los fran ceses , aunque tenían mas tropas, y los arrojó á Roon í’Ettappe, habiéndo les herido y muerto mu…</t>
  </si>
  <si>
    <t>…e la gendarmería, conde Lagrange. El general comandante del sexto cuerpo de caballería, conde de Valmy. El general comandante en gefe del quinto cuerpo de exército de caba llería, conde Milhaud. El general de brigada Gruyer. x CUERPO LEGISLATIVO. Lista por orden alfabético de los miembros del cuerpo legislativo que se han adherido al asta constitucional. El conde Henrique de Montesquiou, vice-presidente. El caballero Bouchet, ídem. El caballero Féli…</t>
  </si>
  <si>
    <t>Milligan</t>
  </si>
  <si>
    <t>…r. Adam están nombrados para tra tar con los cinco comisionados americanos ; á saber, los señores Adams, Bayard, Gallatin, Clay Russel. Mr. Hughes, secretario de la legación, y el coronel Milligan, secretario de Mr. Bayard, llegaron de Gottemburgo la semana pajada. Todavía no se ha fíxadp el pueblo donde han de hacerse las negociaciones; pero se cree que probablemente será la Haya. ESPAÑA. México 22 de Enero. El teniente coronel T&gt;. Alexahdro Alvarez d…</t>
  </si>
  <si>
    <t>Milnes</t>
  </si>
  <si>
    <t>Num. 84.. [5 quartos. ] 637 GACETA DE MADRID DEL SABADO n DE JUNIO DE 1814. GRAN BRETAÑA, Londres 20 de Mayo. SECRETARIA DE GUERRA. El capitán Milnes, ayudante de campo del teniente general lord Guiller mo Bentinck, ha entregado un pliego de su general al conde Bathurst, cuya copia es Ja siguiente: Génova 20 de Abril de 1814. Milord: por mi oficio de 6 del corriente hablé á V. E. de la ocupación de Spezzia…</t>
  </si>
  <si>
    <t>Milo</t>
  </si>
  <si>
    <t>…lados los generales y oficiales superiores rusos y prusianos presentaban la imagen de una Union verdadera n«. en te fra ternal. El Rey brindó á la salud del emperador de Rusia: el general Milo— radowitch correspondió con un brindis á la salud del Rey, y.otro á la Fa milia real- Entouccs el Rey brindó por la gloria del exército ruso; y el ge neral Miloradowitch, después de haber hecho un corto pero lisonjero elo^gio del exército prusiano, brindó por…</t>
  </si>
  <si>
    <t>Milutinovich</t>
  </si>
  <si>
    <t>…imia. En nuestra gaceta de ayer se ha publicado el siguiente parte oficial. ,,El teniente feld-mariscal barón de Tómasich ha participado por un correo llegado ayer de Zara, que el general Milutinovich se apodero el 9 y 10 de este mes de aquella ciudad y de las bocas de Cátaro, como tam bién de todos los fuertes existentes en aquel distrito. ,, Esta provincia debiera haber sido conquistada por las tropas austría cas al mismo tiempo que la Dalmacia, de que f…</t>
  </si>
  <si>
    <t>Mina</t>
  </si>
  <si>
    <t>…nada, y la consideración particular del que actualmente lo manda = Francisco de Cojponsy Navia. Tudda 16'de Enero. La segunda división del quarto exército ha pasado á Francia. El general Mina está en Pamplona. Nada de nuevo en la línea. . Córdoba 16 de Enero. El día 4 del corriente mes se celebraron exámenes públicos de educación en las escuelas nacionales gratuitas de primeras letras de esta ciudad, funda das en el colegio de la Compañía , de las…</t>
  </si>
  <si>
    <t>…de herido y curado, volvió al fuego. 1 Acaba de recibir el Exorno. Sr. general en gefe la lisonjera noticia de la importante rendición del castillo de Jaca el 17 á Jas trepas del general Mina, que lo bloqueaban, teniendo 64 piezas en batería, y siendo el total 84 en el mejor estado de servicio, quedando su guarnición prisionera, cuyos de talles no pueden darse ahora por la premura del tiempo.= El general gefe en comisión de estado mayor del exérci…</t>
  </si>
  <si>
    <t>…ltimo parte que dirigí á V. E. no tengo noticia alguna de Cataluña ; pero he recibido hoy un parte del gobernador de Pamplona, par ticipándome la rendición del castillo de Jaca al general Mina por capitula ción el dia 17 de este. Ignoro sin embargo las particularidades de este acon tecimiento, y solo sé que la plaza contenía 84 piezas de artillería de bron— be. Dios guarde á V. E. muchos años. Quartel general de S. Juan de Luz á 20 de Febrero de 18…</t>
  </si>
  <si>
    <t>Mina, Espoz</t>
  </si>
  <si>
    <t>Espoz Mina</t>
  </si>
  <si>
    <t>…5 cidos por sn coronel Gorrlz con toda la tropa en la noche anterior hasta las inmediaciones de Pamplona, llevando escalas para asaltarla, ofreciéndo les qoatro pagas de parte del general Espoz Mina; pero este cuerpo, reves* tido de honor, no queriendo obscurecer la gloria tan dignamente adquiri da en defensa de su Soberano, despreció la oferta, y frustró el plan pro yectado por Mina de acuerdo con Asura, coronel del quarto regimiento, que se hallaba de…</t>
  </si>
  <si>
    <t>Mina, Francisco Espoz y</t>
  </si>
  <si>
    <t>Francisco Espoz y Mina</t>
  </si>
  <si>
    <t>*36 muchos años. Banaguás 14 de Setiembre de 1813. = Antonio Oro.=:Señor D. Francisco Espoz y Mina. = Y yo lo traslado á V. E. para los efectos convenientes. Nuestro Señor guarde á V. E. muchos años. Quartel gene ral de Sangüesa 20 de Setiembre de 1813. =s Francisco Espoz y Mina.s Exorno. Sr. duque de Ciudad-Rodrigo.” 2.0 ,, Excmo. Sr.: con fecha 30 de Set…</t>
  </si>
  <si>
    <t>…a por todos los puntos. Todo lo que pongo en noticia de V. S. para que lo eleve á la del Gobierno. =r Dios guarde á V- S. muchos años. = Jaca 8 de Diciembre r8i— Marcelino Orad. = Sr. D. Francisco Espoz y Mina. ,,Si V\ E. no conociese el mérito de una acción tan distinguida, que envuelve en sí no pequeñas dificultades, que han sido superadas y vencidas por solos dos regimientos, me atreveria á suplicar á V. E. los recomendase al Gobierno; pero como ereo.que en esto…</t>
  </si>
  <si>
    <t>…Peni. = Gregorio Antonio de, Posadas. = Manuel Moreno, secretario interino. = Excmo. Gobierno de Chile.” Baygorri 24 de Enero de 1814, i Concluyen los partes del mariscal de campo D. Francisco Espoz y Mina. 5.0 „ Excmo-1 Sr.: continúa el comandante desbloqueo de Jaca escar mentando á los enemigos de aquel fuerte , como verá V. E. por lo que me dice.=Mi general : el 11 del corriente salieron unos: 500 enemigos con el pro posité de desalojarme de este pueblo , po…</t>
  </si>
  <si>
    <t>…V. S. para que le sirva de satisfacción una tan buena «onducta de sus beneméritos soldados. Dios guarde á V. S. muchos años. Banaguás 16 de Noviembre de 1813. == Antonio Oro.rrSr. D. Francisco Espoz y Mina. = Y yo en virtud de mis deberes, conociendo el mérito de tstos valientes, para quienes parece que no hay fatigas ni trabajos en medio délas escaseces que padecen, los creo merecedores de las atenciones del Gobierno^, que espero les proporcione V. E. por su r…</t>
  </si>
  <si>
    <t>…o ver la necesidad y utilidad de estos establecimientos , que tanto aborrecen! el fanatismo y la ignorancia} . - . Jaca, %’o de Febrero» Concluyen los partes del mariscal de campo D. Francisco Espoz y Mina. Excmo. Sr.: el coronel comandante encargado de la brigada que ocupan ba á Baygorry me dice lo siguiente: Mi general: Harispe, que en el silencio dé la noche del 11 había llegado á S. Juan, se presentó en la mañana del 12 con fuerzas muy considerables á ataca…</t>
  </si>
  <si>
    <t>…14 soldados heridos. Lo comunico á V. S. para su inteligencia y efectos que correcpondan. Dms guarde á V. S. muchos años. San Juan el Viejo Febrero 20 de 1814. = José Gorriz.— Sr. general D. Francisco Espoz y Mina. 2° Los franceses del reducto de Piajturi, reforzados por una columna de S. Juan, que compondrían como unos 200 hombres, me han atacado con el objeto sin duda de reconocer las fuerzas, y reconquistar el reducto de Aizpuru, y habiendo destacado la compañía de…</t>
  </si>
  <si>
    <t>…Bubna, y el cuerpo del general Bíanchi ha recibido orden de marchar hacia Dijon. r Los plenipotenciarios siguen en Chatillón. ESPAÑA. Jaca jo de Marzo. Parte del mariscal de campo D. Francisco Espoz y Mina al Excmo. Se~ : ñor duque de Ciudad- Rodrigo. „ Excmo. Sr.: el bloqueo de Monzon comenzó el 27 de Setiembre últi mo, y se ha finalizado con la rendición de este fuerte él 15 de Febrero. El comandante encargado de verificarlo me ha dirigido el siguiente parte:…</t>
  </si>
  <si>
    <t>…buena calidad, 45 empezado á per derse, 7j de centeno, 165 de ceb-.da y 60 quintales de harina.-Dios guarde á V. S. muchos años. Monzon 6 de Marzo de .1814. ^.Fermín Esandi.zz Sr. general D. Francisco Espoz y Mina___ Todo lo que participo á V. E. para su satisfacción é inteligencia. = Nuestro Señor guarde á V. E. muchos años. Quartel general de Jaca 10.de Marzo de 1814. = Francisco Espoz y Mina. = Excmo. Sr. duque de Ciuda’J-Rodrigo.” Zaragoza 12 de Marzo. La sociedad…</t>
  </si>
  <si>
    <t>…mientos 3.0, 4.0, 5.°, 9.0 39.°, 58.°, 88.° y otros, comprendiendo la flor del exército del duque de Wellíngton. ESPAÑA. Huarte *0 de Mayo. Parte dirigido por el mariscal de campo D. Francisco Espoz y Mina al Excmo. Sr. duque de Ciudad-Rodrigo. Excmo. Sr.: el coronel del 5.0 regimiento de Voluntarios de Navarra Don Sebastian Fernandez, encargado del sitio del castillo de Benasque, me dá parte con fecha 2 del corriente de haber conseguido la rendición de dicho f…</t>
  </si>
  <si>
    <t>…4 rs. en rústica y 6 en pasta. Se hallará en las librerías de Escribano, calle de las Carretas, y de Villa, plazuela de Sto. Domingo. Puede ir en carta. Zaragoza reconquistada por D. Francisco Espoz y Mina : comedia en tres ac tos. Se hallará en las librerías de Perez, calle de las Carretas; de Novillo, calle de la Concepción gerónima, y en la de Villa, plazuela de Sto. Domingo. Nota. La felicitación á S. M. por el comisionado del pueblo de Víanos, que en la pá…</t>
  </si>
  <si>
    <t>Mina, Francisco Esyoz y</t>
  </si>
  <si>
    <t>Francisco Esyoz y Mina</t>
  </si>
  <si>
    <t>…n esta expedición son los mencionados de caballería* y los de infantería D. Marcial de Arechavala y D. Alexandro del Paso*1* Baygorri a 4 de Enero. Partes que el mariscal de campo D. Francisco Esyoz y Mina ha dirigido al Exento. ir. duque de Ciudad-Rodrigo* El comandante del 7.° regimiento que bloquea á Jaca me dioe lo que copio: „ Mi general: anoche baxé á este pueblo con quatro compañías» dexando las restantes en Abay. Esta mañana he mandado avanzar la compa…</t>
  </si>
  <si>
    <t>Mina, Francisco Xavier</t>
  </si>
  <si>
    <t>Francisco Xavier Mina</t>
  </si>
  <si>
    <t>…tro So berano pacificando á la monarquía en el hecho de tomar el cetro Se hallará en las librerías de Campo, calle de Alcalá, y en la de Perez, calle de las Carretas. , Retrato de D. Francisco Xavier Mina á caballo en medio pliego, que hace co lección con los de D. Juan Martin (el Empecinado), el barón de Eróles, D. Juan de Tapia, D. Pedro Yiilscampa, D. Julián Sánchez, D. Juan Palarea (el Médi co) y D. Francisco Abad y Moreno. Se continúa grabando los demas p…</t>
  </si>
  <si>
    <t>Miñano, Martin Sancho</t>
  </si>
  <si>
    <t>Martin Sancho Miñano</t>
  </si>
  <si>
    <t>…. = Teniente de Canciller mayor, Fernando de Iturmendi. El Rey se ha servido nombrar para el priorato, dignidad de la iglesia ca tedral de Valladolid, vacante por fallecimiento de D. Martin Sancho Miñano , á D. José Berdonces, con retención de la canongía que obtiene en la misma iglesia, y dimisión del empleo de primer bibliotecario de aquella uni versidad: para una canongía de la iglesia catedral de Cartagena, vacante por muerte de D. Pascual de Churruca, á…</t>
  </si>
  <si>
    <t>Ministro</t>
  </si>
  <si>
    <t>…nios:, en lo qual he trabaja-» do con todo el zeLo y esmero de que soy capaz. = Dios guarde ¿ V. E. muchos años. México 16 de Junio de i8i4. = Excmo. Sr.=s Félix Calleja. = Excmo. Sr. Ministro de la Guerra.” ■ . - i S ■ * » % J 1 ' * t ■ . , • r 4 - . » Asimismo el Excmo. Sr. Secretario universal de Indias ha reci bido ln siguiente felicitación que hace á S. M. por su exaltación af</t>
  </si>
  <si>
    <t>Mintegui, José</t>
  </si>
  <si>
    <t>José Mintegui</t>
  </si>
  <si>
    <t>…D. Fr. Gerardo Vázquez, obispo de Salamanca, catedrático que fué de sagrada teología, y D. Fr. Veremundo Arias, obispo de Pamplona, catedrático que fué también de teología: el Dr. D. José Mintegui, catedrá tico jubilado de cánones; el Dr. D. Nicolás María de Sierra, del consejo Real, catedrático que fué de elocuencia; el Dr. D. Diego Antonio Ramos Aparicio, catedrático actual de historia eclesiástica ; los Dres. D. Andies Aransai, D, Agustín Librero y…</t>
  </si>
  <si>
    <t>Minussir, Nicolás</t>
  </si>
  <si>
    <t>Nicolás Minussir</t>
  </si>
  <si>
    <t>…teniente coronel D&gt; Miguel de la Torre; al capitán de la legión Extremeña D. Augusto Varón Quistorp , y aí de la Union D.) José Magia £reyreal ten¡en,t,e(4.elj¥lgimieuto de Doy le D. Nicolás Minussir, agregado al estado mayor de la división y herido en la, misma acción; al capitán de pagadores de* DoyM D. Antonio Martin; al de igual clase de Jaén D. Francisco María Arroquia ; y al teniente de caza dores dé Jaén D. Joséf Marcelo ^qtíé7 fáéch¿fidóígravemeHt…</t>
  </si>
  <si>
    <t>Miralles, José</t>
  </si>
  <si>
    <t>José Miralles</t>
  </si>
  <si>
    <t>…o para la del exército fíe!. También con la de V. S. ha entregado el capitán de la goleta española Diligencia D. Agustín Iturraeta, según me da parte el comandante de Para¿uaña el coronel D. José Miralles, 17 caxones mexicanos, que contienen 2&gt; quinta les y medio de pólvora, y 8o® balas de fusil en 80 caxones, que V?S. me remite; por lo qual, y por el momento en que recibo esté auxilio,' doy á V. S. las mas expresivas gracias, pues me ha llegado quando estaba…</t>
  </si>
  <si>
    <t>Miranda, Joaquin</t>
  </si>
  <si>
    <t>Joaquin Miranda</t>
  </si>
  <si>
    <t>8ó8 La tropa que concurrió á la acción se componía de un piquete del bata llón de Guanaxuato, al mando del teniente D. Antonio López y cadete Don Joaquin Miranda, la compañía de infantería de Puebla al del alférez D. Mi guel Calderón, 40 dragones de Ayacapistla y Janacate al del capitán D. Six to Manso y teniente D. Pedro Dávalos, igual número de Izucar y Chetla al del teniente D. Mariano Comoforte y D. Ignacio Adorno…</t>
  </si>
  <si>
    <t>Miranda, José</t>
  </si>
  <si>
    <t>José Miranda</t>
  </si>
  <si>
    <t>…oche del 12 ai 13 del actual, sin embargo de no ser la época que me había propuesto para su ataque; cuya operación conlié al teoiente coronel comandante del regimiento de Monterey D. José Miranda, con el qual debía cxecutarlo: efectivamente, á la una de la noche baxo la di rección de este gefe fue tomado por asalto el Puntal con el mayor orden y arrojo por Ja compañía de cazadores de dicho regimiento de Monterey, al mando de su capitán D. Antonio Nico…</t>
  </si>
  <si>
    <t>…s y tropa que tengo el honor de mandar en este blo queo; pero por la ocasión que ha cabido de operar al regimiento de Mon terey debo recomendar á V. E. á su comandante el teniente coronel Don José Miranda, al capitán D. Antonio Nicolao, al sargento segundo Juan Antonio'González, y á los soldados Benito Alonso José Aguiar» José de Lamas y Torquato San Mamed, que fueron los cinco primeros individuos que escalaron el fuerte. Debo llamar la atención de V. E. hacia…</t>
  </si>
  <si>
    <t>…Antonio de Denláfen, el primer ayudante D. Rafael Genebriera, el segundo habili tado5 D. Antonio Briart ,. y el físico del batallón de marina D. Francisco Cas ero. Los capellanes D. José Miranda y D. Francisco Varela son también dig nos de recomendación por Iá caridad que han empleado en la asistencia es piritual de los heridos. Mis ayudantes de campo los capitanes D. Manuel del Pozo y D. Antero Henriquez , el teniente D. José María Barrero y Dort Manuel Jáeome llenaron e…</t>
  </si>
  <si>
    <t>Miravalles, Francisco</t>
  </si>
  <si>
    <t>Francisco Miravalles</t>
  </si>
  <si>
    <t>…n la tarde del dia 20 del pasado conduxeron por las principales calles del pueblo el retrato de S. M., qive llevaban el coronel Don Pedro de Peón Heredia y los tenientes coroneles D. Francisco Miravalles linquerk y D. Bernardino de Peón, y llegados^ la iglesia de S. Francisco, de donde salió á recibirle la comunidad, se cantó en ella un solemne Te Deum\ y concluido, fue conducido de nuevo el retrato á la plaza principal del pueblo; y habiéndolo colocado debax…</t>
  </si>
  <si>
    <t>Miró, Cristóbal</t>
  </si>
  <si>
    <t>Cristóbal Miró</t>
  </si>
  <si>
    <t>…y subdelegado de las salinas de ia Mata y Torrevieja, en consideración á.los distinguidos méritos y servicios contraídos en los 42 años que lleva de empleado en Real hacienda. El coronel D. Cristóbal Miró, comandante de las partidas destinadas en Castilla la Vieja á la persecución de malhechores, manifestó al capitán ge neral-marques de Lazan qué observando el vecindario de la villa de Cande lario el estado de la tropa, y deseando aliviarla en lo que fuese pos…</t>
  </si>
  <si>
    <t>Mirón, Pió</t>
  </si>
  <si>
    <t>Pió Mirón</t>
  </si>
  <si>
    <t>…L. villa de Briones.” Asimismo en este dia tuvieron la honra de felicitar á S. M. una dipu tación de la real cabaña de carreteros, compuesta de sus comisionados Don Luis Chapera, D. Pió Mirón y D. Cosme de Miguel García; el primero de los quales dirigió á S. M. el discurso siguiente: „Señor: la real cabaña de carreteros del reyno, situada en la sierra que divide las dos provincias de Burgos y Soria, aunque casi anonadada por las crueles y continuas persecuciones que ha sufri…</t>
  </si>
  <si>
    <t>Mitcheli</t>
  </si>
  <si>
    <t>…lería, que ofre ció voluntariamente sus servicios, á la del centro, llevando cada uno ua destacamento de zapadores á sus órdenes. El teniente Abbey fué herido peligrosamente, y el capitán Mitcheli ha sido cubierto de heridas escalando la muralla de la escarpa de la .plaza; per® espero que podrá, restablecido, continuar el servicio. Tengo el honor &amp;c. Quarteí general de Calmhout io de Marzo. =71»mas Graham. Parte del mayor Cooke al general sir Tomas Gra…</t>
  </si>
  <si>
    <t>Mitcheli, Eduardo</t>
  </si>
  <si>
    <t>Eduardo Mitcheli</t>
  </si>
  <si>
    <t>…ha biendo agregado á las columnas á varios oficiales de.su cuerpo, á saber ; al capitán sir George y al teniente Abbey á la izquierdaal teniente Sparling á la de la derecha , y al capitán Eduardo Mitcheli, de artillería, que ofre ció voluntariamente sus servicios, á la del centro, llevando cada uno ua destacamento de zapadores á sus órdenes. El teniente Abbey fué herido peligrosamente, y el capitán Mitcheli ha sido cubierto de heridas escalando la muralla de l…</t>
  </si>
  <si>
    <t>Mitsaíer</t>
  </si>
  <si>
    <t>…de 40® hombres, la mayor parte de tropas escogidas, estaba en movimiento. El general Marchand se hallaba en Chambery; el general Desaix esta ba baxo las murallas de Ginebra, y el general Mitsaíer había entrado en Macón. También estaban en nuestro poder Bourg y Nantua. El general austtiaco Bubna, que había amenazado á León, se retiraba por todas parces. El 28 se regulaba su pérdida en 1500 hombres, de los quales 600 son prisioneros; El príncipe de Mosk…</t>
  </si>
  <si>
    <t>Miury</t>
  </si>
  <si>
    <t>…ldo eclesiástico de la metropolitana de París ha celebrado capítu lo el 9 del corriente, y ha declarado vacante la silla arzobispal, mandando que se notificase su determinación al cardenal Miury que la ocupaba. Se asegura que el cardenal Maury se ausentó el io de París. El general Dessolles recibió orden del gobierno provisional para que la guardia nacional de París se pusiese escarapela blanca. ARTICULO DE OFICIO. Habiendo procedido las Cortes ordin…</t>
  </si>
  <si>
    <t>Miyares</t>
  </si>
  <si>
    <t>…misma división, y Ies hizo retirar algún tanto sin pérdida. Idem 14. Sin novedad particular. Idem i$c Hasta el medio dia no ha ocurrido novedad. La primera división del mando del brigadier Miyares subsiste en Amposta. La segunda del interino del de igual graduación Sanz, en Xerta. Y la quinta dél Empecinado en los Regues. ARTICULO DE OFICIO. r . ■ ^ El Secretario principal de S. M. Británica para los negocios extrangeros, ha participado al señor conde…</t>
  </si>
  <si>
    <t>Miyares, Fernando</t>
  </si>
  <si>
    <t>Fernando Miyares</t>
  </si>
  <si>
    <t>…os cuerpos de cazadores y el esquadron de Castro, que los van persiguiendo. Til pane no refiere la pérdida de su exército, porque se pone en un estado separado. Idem r$. Oficio de D. Fernando Miyares y capitán general de la provincia .de Ma rx cay b o , al Exento, Sr. capitán general} gefe político D. Juan Ruiz de Apedaca. Excmo. Sr.: el brigadier D. José Vázquez y Tellez, gobernador mili tar interino de la ciudad y distrito de Coro, con fecha de 12 del c…</t>
  </si>
  <si>
    <t>Mo, Domingo</t>
  </si>
  <si>
    <t>Domingo Mo</t>
  </si>
  <si>
    <t>…as benignas influencias del bondadoso corazón de V. M.” - Asimismo en este dia tuvo también el honor de besar la mano á S. M. y cumplimentarle á-nombre de so abad y cabildo el Dr. D. Domingo Mo rón y. Gómez, racionero de la colegiata de Villafranca del Bierzo, acom pañado del Excmo. Sr. marques de Villafranca, patrono de la misma; y con esté motivo dixo aquel r „Señor:, el abad y cabildo de la colegiata de Villafranca del Bierzo tie nen el honor de…</t>
  </si>
  <si>
    <t>Mo, Juan Manuel</t>
  </si>
  <si>
    <t>Juan Manuel Mo</t>
  </si>
  <si>
    <t>…onceder le li plaza segunda de introductor de embaxadores. Ultimamente S. M. se ha servido nombrar para el arzcbipado de Grana da, que se halla vacante por fallecimiento dei limo. Sr. D. Juan Manuel Mo ^coso, al limo Sr. D. IBlas Joaquín Alvsrcz de Palma, obispo -de Jferuel, para la dignidad de arcediano de Huete en la iglesia catedral de Cuenca, vacante per muerte de D. José de las Casas Maán, á D. Bernardo Martí nez, c nónigo de la de Orense ; para una ca…</t>
  </si>
  <si>
    <t>Modenes, Juan</t>
  </si>
  <si>
    <t>Juan Modenes</t>
  </si>
  <si>
    <t>…tario del despacho de Estado la real orden siguiente: „ El administrador principal de correos de Valencia ha dado cuenta del oficio que' le pasó el intendente de aquella provincia D. Juan Modenes, en el qu.e con motivo de haber recibido una orden del tesorero general del reyno para cubrir las extraordinarias ganancias que habian tenido los jugadores en la úíúma extracción de lotería, le prevenía que se sirviese pasar todos los fondos de correos y port…</t>
  </si>
  <si>
    <t>Mofatis, Rafael de</t>
  </si>
  <si>
    <t>Rafael de Mofatis</t>
  </si>
  <si>
    <t>…Cádiz.................... . D. Benito de la Piedra. * *J$nCartagena:’V.»...B. Francisco Clivilles.1 En; Ciudad-Real.i*.".:..... D. Mateo‘Casaó yRomero. ' ¡En Córdoba...... .......D. Rafael de Mofatis. En la Coruña....... D. Felipe Elorz. En Cuencal..................... D. José Escolar y Nbriega. En Canarias.................... D. Francisco María de Herrera* En Gfañada..;.'..?.^... ... D. Francisco Eseovar* ; r ■En Guadataxar#. ^ D.JoaqujnBeladies. En Guip…</t>
  </si>
  <si>
    <t>Mohr</t>
  </si>
  <si>
    <t>…l «le los heridos asciende á 309, inclusos el general de caballería príncipe heredero de Hesse Homburgo, los tenientes feld- mariscales Ignacio de Hardegg, Noslirz, Radetzs«ky, el barón Mohr, y el mayor general barón Spleny : el de los prisioneros es de 2y el de los extraviados de 23. La muerte de algunas personas á fines de Octubre en uno de los arraba les de Cronstadt y en la aldea de Turkes, que está inmediata, infundio en los habitantes el re…</t>
  </si>
  <si>
    <t>Molano, Francisco Henrique</t>
  </si>
  <si>
    <t>Francisco Henrique Molano</t>
  </si>
  <si>
    <t>…por medio de su secretario D. José María Ruiz de Verástegui, manifestando su edad, estado, años de práctica, y universidad en que hayan estudiado. Se solicita saber el paradero de D. Francisco Henrique Molano, capitán que fué del regimiento de infantería de Extremadura, natural de la villa de la Puebla de la Calzada, provincia de Extremadura, .á fin de que tanto él como sus herede ros acudan á D. Sebastian Ruiz Gil, en la ciudad de Málaga, que tiene que comu nicar…</t>
  </si>
  <si>
    <t>Molé</t>
  </si>
  <si>
    <t>…333 GACETA DE LA REGENCIA DE LAS ESPAÑAS DEL JUEVES 31 DE MARZO DE 1814. FRANCIA. Pafis 4 de Matzo* Por el ministerio de Justicia se ha publicado aquí la orden siguiente: „Nos el conde Molé, gran juez, ministro de la legión de Honor &amp;c. Considerando la carta que nos ha dirigido el I'7 de Febrero de 1814 el du que de Vicenza (Caulaincourt), en la qual nos informa, según las órdenes de S. M. el emperador y rey, que el rey de Ñapóles há declarado g…</t>
  </si>
  <si>
    <t>Moli, Manuel</t>
  </si>
  <si>
    <t>Manuel Moli</t>
  </si>
  <si>
    <t>…deras , á D. Vicente Ribera,cura párroco del Real sitio de S. Lorenzo, con retención del curato: para la media prestamera de Fazalcazareu la misma diócesis,. vacante por muerte de D. Manuel Moli na , á Dv Antonio Temprano; y para el beneficio servidero de la parroquia de $&gt; Martin de la. ciudad: dé Plasencia,, vacante ppr muerte, de D. Rafael Aznar , á D.. Miguel Blanco. Por Real cédula dé. S. M. y Sres. del Consejo dé 6 dei corriente se ha mandado ,…</t>
  </si>
  <si>
    <t>Moli, Manuel Malo de</t>
  </si>
  <si>
    <t>Manuel Malo de Moli</t>
  </si>
  <si>
    <t>…en el del nor te en solo seis años desde 1806 hasta 1812 se ha aumentado su población de 31824 individuos. ^ ESPAÑA. Madrid 21 de Agosto. El Excmo. Sr. duque de S. Carlos y el Dr. D. Manuel Malo de Moli na, alcalde primero de la ciudad de Truxillo, comisionados por el ayunta miento de la misma para felicitar á S. M. por su feliz regreso á España y restitución al trono de sus mayores, le dirigieron con fecha de 13 del mes próximo pasado, en cumplimiento de su…</t>
  </si>
  <si>
    <t>Molíe, Francisco</t>
  </si>
  <si>
    <t>Francisco Molíe</t>
  </si>
  <si>
    <t>…dos en el obispa*dó dé'Jaén, y el préstamo de Viílace dé la Vega, que lo'está asimismo en la diócesis de León por haber pasado á contraer matrimonio D. Isidro Mar tin Saavedra, á D. Francisco Molíe , capellán de honor de S. M.: para la prestamera de Pradeña enrel obispado de Córdoba, vacante por promoción de D. José María Miera á la dignidad de prepósito de La iglesia colegial de Antequera, diócesis de^Málaga, á D. Joaquín Ustarroz; para los»dos prés ta…</t>
  </si>
  <si>
    <t>Molina, José Ruperto</t>
  </si>
  <si>
    <t>José Ruperto Molina</t>
  </si>
  <si>
    <t>…spañola.” El 21 faé admitida también á cumplimentar á S. M. una comisión de la universidad de Alcalá , compuesta dé su rector el Dr. D. Tomas López de Regó y de los Dres. y deanes D. José Ruperto Molina, de teología; Don Manuel Morales y Segoviaño, de jurisprudencia; D. Domingo Diez, de me dicina , y D. Patricio Ramírez, de artes, acompañados del maestro de ce remonias; y el expresado rector arengó asi: ,,Señor: vuestra universidad de Alcalá, representada po…</t>
  </si>
  <si>
    <t>Molina, Lucas Ambrosio de</t>
  </si>
  <si>
    <t>Lucas Ambrosio de Molina</t>
  </si>
  <si>
    <t>…nez; subteniente de granaderos i D. Juan Nepomuceno Lavalle, y subtenientes de bandera á D. Pedro Benitez y D. Francisco Calderón. En el de infantería de Valdivia sargento mayor á D. Lucas Ambrosio de Molina; capitanes á D. Diego Adriarola y D. Esteban de Albarracin; te nientes á D. Antonio Adriasola, D. Juan de Dios González, D. Francisco Buenrostro, D. Rafael Barril y D. Manuel de Lorca ; subtenientes á Don Santiago Asen jo, D. Domingo Ulloa y D. José Justo Flo…</t>
  </si>
  <si>
    <t>Molina, Mariano Saavedra y</t>
  </si>
  <si>
    <t>Mariano Saavedra y Molina</t>
  </si>
  <si>
    <t>…. Diego Padró, presbítero, prior de la iglesia parroquial de la villa de Reus en Cataluña. . Los hermanos, cuñados, sobrinos ó qualesquiera persona que tenga algún pa rentesco con D. Mariano Saavedra y Molina, guardia de Corps que fué de la com pañía española, tendrán la bondad de verse con D. Lorenzo Cisneros y Toledo, que vive calle de Toledo, esquina á la Imperial, núm. 9,, quarto segundo, casa donde está la diputación provincial, para instruirles de asuntos in…</t>
  </si>
  <si>
    <t>Molítor</t>
  </si>
  <si>
    <t>…rdam 28 de noviembre. Por un correo que ha llegado aquí hoy al medio dia, hemos recibido la agradable y positiva noticia de haber abandonado á Utrech los franceses mandados por el general Molítor. Se han mandado preparar cuarteles para 500 cosacos, que deben venir de Eem en las embarcaciones que de aquí se enviaron para traerlos. Se dice que han llegado á Zivoll 18® prusianos. En una carta particular que se ha recibido aquí de Nancy con fecha de tS de…</t>
  </si>
  <si>
    <t>Molle, Francisco</t>
  </si>
  <si>
    <t>Francisco Molle</t>
  </si>
  <si>
    <t>…dia 28 de Julio último tuvieron la honra de presentarse y felicita* al Rey nuestro Señor y á los Sermos. Infantes los comisionados por la villa de Ubrique D. Manuel Ximenez Guazo, D. Francisco Molle, D. Ignacio Mu helena y D. Diego Morejon y Roxas; de los quales el primero dirigió á S. M. el discurso siguiente: ,,Señor: la villa de Ubrique , capital del cantón denominado del cen tro, en la serranía de Ronda , fue uno de los dos primeros pueblos que hi ci…</t>
  </si>
  <si>
    <t>Molle, Francisco José de</t>
  </si>
  <si>
    <t>Francisco José de Molle</t>
  </si>
  <si>
    <t>Con fecha de io de Junio se ha servido S. M. nombrar i D. Francisco José de Molle, presbítero, su capellán de honor, con el sueldo y emolu mentos correspondientes, en atención á sos distinguidos méritos y circuns tancias. Se halla vacante el partido de cirujano de la villa de Cabezuela, en Extrema dura, cuya dotación son 8$) rs. vn. anuale…</t>
  </si>
  <si>
    <t>Monasterio, Toribio Sánchez</t>
  </si>
  <si>
    <t>Toribio Sánchez Monasterio</t>
  </si>
  <si>
    <t>…ticia, se publican las siguientes sentencias: i.a Sentencia pronunciada por el tribunal especial creado por las Cor tes generales y extraordinarias. SEÑORES DEL TRIBUNAL ESPECIAL. D. Toribio Sánchez Monasterio. D. Juan Pedro Morales. D. Pascual Boláños y Novoa. D. Antonio Saenz de Vizmanos. D. J uan Nicolás de Undaveitia. En la ciudad de Cádiz á 14 de Agosto de 1812, los señores ministros que componen el tribunal especial creado por las Cortes generales y extraor d…</t>
  </si>
  <si>
    <t>Monasterio, Toribio Sánchez de</t>
  </si>
  <si>
    <t>Toribio Sánchez de Monasterio</t>
  </si>
  <si>
    <t>…ntencia defini tiva en la gaceta del gobierno, y póngase en noticia de S. M. para los efecr tos conveniente':. Asi lo decretaron y firman los señores de! margen de que certifico = D. Toribio Sánchez de Monasterio. =r D. Juan Pedro Morales. = D. Pascual Bolaños y Novoa. = D. Antonio Saenz de Vizmanos. = D. Juan Nicolás de Undaveitia. = Juan Manuel Martínez. 2.a Sentencia pronunciada por el supremo tribunal de Justicia en sala segunda. SEÑORES DE LA SALA SEGUNDA. D. Jos…</t>
  </si>
  <si>
    <t>Mondedeu</t>
  </si>
  <si>
    <t>…su coronel D. Juan Antonio Tabuenca , y dos obuses que dirigía el capitán de artillería D; Luis García Peñ \: en el momento hizo adelantar toda la caballería al cargo del teniente coronel Mondedeu , comandante de- caza dores de Madrid, con la orden de que dividiéndola en tres 6 quatro trozos, llegase el último á unirse con las avanzadas de Jesús á medio tiro de la pla za: se situaron los obuses, y cubrieran los parapetos sobre la derecha del río con in…</t>
  </si>
  <si>
    <t>Mondragon, Francisco</t>
  </si>
  <si>
    <t>Francisco Mondragon</t>
  </si>
  <si>
    <t>…rar para vocales de dicha junta á lós capitanes generales de la ar mada Fr. D. Antonio Valdés y D. Félix de Tejada, al teniente general Don Julián de Retamosa, al gefe de esquadra D. Francisco Mondragon, y por secretario al capitán de navio D. Tomas Barreda. Circulares del ministerio de Hacienda. T.n El Rey se ha servido dirigirme éLdecreto qué sigue:</t>
  </si>
  <si>
    <t>Mondragon, Francisco Florencio</t>
  </si>
  <si>
    <t>Francisco Florencio Mondragon</t>
  </si>
  <si>
    <t>…el mes próximo pasado tuvieron el honor de presentarse á S. M. y besar su Real mano y las de los Sres. Infantes los Sres. D. Cayetano de Urbina, consejero en el supremo de Indias; D. Francisco Florencio Mondragon, gefe de esquadra y mayor general de ella; D. Juan de Urbina, mariscal de campo y segundo teniente de la compañía de Alabarderos; Don Rafael de Roxas, capitán de Reales Guardias Españolas; D. Alonso de Ro xas, capitán de fragata; D. Manuel Juano, teniente cor…</t>
  </si>
  <si>
    <t>Mondragon, Francisco Vázquez de</t>
  </si>
  <si>
    <t>Francisco Vázquez de Mondragon</t>
  </si>
  <si>
    <t>…para el caso en que S. M. se sirva disponer el relevo de los destinos en que hoy se hallan; al gefe de esquadra jt). José de Espinosa Tello secretario con voto; al de igual-clase D. Francisco Vázquez de Mondragon vocal interino hasta el relevo de Apod.¡ca; á D. Francisco García de Espinosa vocal in tendente general, y á D. Manuel Fernando Ruiz del Burgo vocal auditor general. Posteriormente y habiendo hecho (dimisión el Sí. baylfo Fr. D. Antonio Valdés, se dignó el Re…</t>
  </si>
  <si>
    <t>Monge, Antonio</t>
  </si>
  <si>
    <t>Antonio Monge</t>
  </si>
  <si>
    <t>…eros de Córdoba; pero no dando razón de él en dicho regimien to, se suplica á los señores oficiales del exército, ú otra qualquier persona que sepa de él, lo avise en esta corte á D. Antonio Monge, boticario en la calle de la Cruz. Se desea saber si existen D. Antonio Coeneñ y D. Antonio Viguera y Artiaga , ó sus mugeresr hijos ó herederos, á los quales, teniendo que percibir algunos intereses, les dará razón de ellos D. Estanislao Godino y Muñoz, proc…</t>
  </si>
  <si>
    <t>Moñino, Antonio</t>
  </si>
  <si>
    <t>Antonio Moñino</t>
  </si>
  <si>
    <t>…onra de felicitar á S. M. y besar su Real mano y las de los Sres. Infantes una diputación de la villa de Hinojosa del Duque, en la provincia de Extremadura, compuesta de los Sres. D. Antonio Moñino, presbítero;- D. Galo Diez Mudróneroí caballero del hábito de Alcántara, coronel de los Reales exércitos, y gobernador de Vitlanuevade la Serena, y del Lie. D. Liborio Tudela, abogado de los Rea-</t>
  </si>
  <si>
    <t>Moñino, Francisco Salinas de</t>
  </si>
  <si>
    <t>Francisco Salinas de Moñino</t>
  </si>
  <si>
    <t>…l teniente general marques de San Simón. &gt; A tenientes generales á los mariscales de campo marques de Casa-Cagi— gal, D.. Rámon de Alós, D Pedro Ignacio Correa, D. José de Zarauz* D. Francisco Salinas de Moñino, D. José del Pozo y Sucre, conde de Bel— bedel , D. Cárlos O’Doneli, D. Bernardo de Acuña , D. José Marta de Carvajal, el marques de Zayas, D. José María de Alós , D. Felipe de Paz, Príncipe de Anglona, D. Juan Senen de Coimeras, D. Felipe KeatingRoche, y D.…</t>
  </si>
  <si>
    <t>Monsaíve, Francisco</t>
  </si>
  <si>
    <t>Francisco Monsaíve</t>
  </si>
  <si>
    <t>io8o miento de D. Francisco Lr&lt;ba, á D. Francisco Monsaíve: para una media ra ción de la iglesia catedral de Sto. Domingo de la Calzada, diócesis de Cala horra, vacante por muerte de D. Tomas González de Iturralde, á D. To mas de Simón Saez; y para una ración de la iglesia colegial de Briviesca, diócesis de Burgos, v…</t>
  </si>
  <si>
    <t>Monseñor, Oudinot</t>
  </si>
  <si>
    <t>Oudinot Monseñor</t>
  </si>
  <si>
    <t>428</t>
  </si>
  <si>
    <t>…sido tal el espíritu de unión, que Sieyes mismo ha votado sin in quietud el restablecimiento de la casa de Borbon. = Lanneluc,, secretario. = Por extracto conforme. Idem jo. a del mariscal Oudinot Monseñor: Acabo de llegar á París sin tropas, aunque las he dexado dispuestas y prontas para executar los movimientos que exija de ellas el gobierno provi sional. V. A. S. me ha hecho justicia, interpretando favorablemente mis senti mientos: tengo un verdadero pesar d…</t>
  </si>
  <si>
    <t>Montalvo, José Moreno de</t>
  </si>
  <si>
    <t>José Moreno de Montalvo</t>
  </si>
  <si>
    <t>109^ . _ la propia diócesis, vacante por muerte de D. Juan Bautista Emparan, á Don José Moreno de Montalvo. Por Real orden de S. M.*y á consulta del Consejo pleno de 2 de este mesase ha restablecido ene la universidad de Huesca, en el rey rio de Ara gón , la enseñanza especulativa y práctica de medicina, á la qual se dará principio el 18 del mes de Octubre próximo…</t>
  </si>
  <si>
    <t>Montanos, LL José</t>
  </si>
  <si>
    <t>LL José Montanos</t>
  </si>
  <si>
    <t>…uatro heridos són el ayudante D. Fidel Provecho, y el teniente í). Benito Trillo del referido regimiento de Voluntarios de León: los otros dos son el capitán D. Manuel Laguna,y el teniente LL José Montanos , ambos del re-; pimiento de • Monterey ; é igualmente lo fqé-g^yemepte,qn esta .ocasión d brigadier D. I&gt;icgo del Barco, com^nd^iitp^ené|al de) blpqueo. Laredo 2-fo de Febrero de 1 •; . &gt; r q r -8■</t>
  </si>
  <si>
    <t>Montaos, Ramón Martínez</t>
  </si>
  <si>
    <t>Ramón Martínez Montaos</t>
  </si>
  <si>
    <t>…................ D: Manuel Palomares. En 'Ba&amp;tpz......1............ D. Cirios Sebaitian Malagamba. En Barcelona................* D. Ramón Llordella. En Burgos..................... D. Ramón Martínez Montaos. En Bilbao............. D. Francisco de la Mata: En Cádiz......... ..... D Beiiito de la Piedra. En Cart gena. D. francisco Cliyilles. En C'udad Real... ......... D Mateo Casao y Romero. En Córdoba ..... Rafael de Montis. ..D. En, la . oruna..»••»••»•«••»••..…</t>
  </si>
  <si>
    <t>…...... D. Manuel Palomares. En Badajoz....................... D. Carlos Sebastian Malagamba. En Barcelona.................. D. Ramón Llordella. En Burgos.......................... D. Ramón Martínez Montaos. En Bilbao........................... D. Francisco de la Mata. En Cádiz........................... D. Benito de la Piedra. En Cartagena................... D. Francisco Clivilles. En Ciudad- Real.............. D. Mateo Casao y Romero. En Córdoba...............…</t>
  </si>
  <si>
    <t>…...... .... D. Manuel Palomares. En Badajoz^.....*.......... ;D. Cáríos Sebastian ^íalagamba» ¡ , En Barcelona..*...... ..... - D. Ramón Llordella. En Burgos...,...;.............. D. Ramón Martínez Montaos* En Bilbao.-........................ D. Francisco de la Mata. En Cádiz.................... . D. Benito de la Piedra. * *J$nCartagena:’V.»...B. Francisco Clivilles.1 En; Ciudad-Real.i*.".:..... D. Mateo‘Casaó yRomero. ' ¡En Córdoba...... .......D. Rafael de Mo…</t>
  </si>
  <si>
    <t>Monteaiegre, José Arenas</t>
  </si>
  <si>
    <t>José Arenas Monteaiegre</t>
  </si>
  <si>
    <t>…del comercio de dicho sitio, para que en el término de 30 dias, contados desde este anuncio, comparezcan ante dicho señor, y por Ja escribanía de! juzgado y gobierno que re genta D. José Arenas Monteaiegre, á deducir sus acciones y legitimar sus crédi tos; apercibidos que de no verificarlo, las providencias que sé dictasen en su juicio de testamentaría les parará el perjuicio que haya lugar. La persona que supiese el paradero de D. Diego Pascual de Angulo se^ s…</t>
  </si>
  <si>
    <t>Montenegro, Isidoro</t>
  </si>
  <si>
    <t>Isidoro Montenegro</t>
  </si>
  <si>
    <t>…tinguida orden española de Cárlos III, Al conde de Viílapaterna, mayordomo de semana; D. Manuel de Pa lomera , secretario de la mayordomía mayor; D. Domingo Ramírez de Aieiláno, y D. Isidoro Montenegro^ gentileshombres de cámara con entrada. Asimismo se ha servido S. M. promover en este día á capitán general de sus Reales exércitos'al teniente general marques de San Simón. &gt; A tenientes generales á los mariscales de campo marques de Casa-Cagi— gal, D.. Rámo…</t>
  </si>
  <si>
    <t>Montero, José Benito</t>
  </si>
  <si>
    <t>José Benito Montero</t>
  </si>
  <si>
    <t>…de la monarquía.'* En el mismo dia tuvieron igualmente la honra de besar la mano á S. M. á nombre de U M. N. L. y coronada villa de Madrigal el Lie. D. Sebastian Portillo y el Dr. D. José Benito Montero, regidores de su ayuntamiento; y tomando el primero la palabra dixo: ,, Señor: vuestra villa de Madrigal, no menos célebre por su acendrada lealtad y amor á sus Reyes, que por los singulares privilegios con que estos la ennoblecieron, concediéndola entre ello…</t>
  </si>
  <si>
    <t>Montero, Juan Francisco de Murcia y</t>
  </si>
  <si>
    <t>Juan Francisco de Murcia y Montero</t>
  </si>
  <si>
    <t>…uan María Garrido: para el de Ja ciudad de Borja á D* Liborio Tudela: para la vara de alcalde mayor de la ciudad de Orihuelá á D. José O-mulrian; y para la de la villa de Moreda á D. Juan Francisco de Murcia y Montero. &gt; El comandante general de Canarias ha hecho presente que habiendo ma nifestado á D. Agustín Cabrera Betancourt, coronel de milicias de la isla de FuerteVehtitra, que en ninguna ocasión mas oportuna que en la actual los vasallos fieles al Rey debían acudir c…</t>
  </si>
  <si>
    <t>Montero, Ramón</t>
  </si>
  <si>
    <t>Ramón Montero</t>
  </si>
  <si>
    <t>…su zelo en tan plausibles circunstancias, acordó celebrar quatro funciones solemnes de iglesia, que se tuvieron en los dias 15 , 16, 17 y 18, predicando el primero de ellos el Dr. D. Ramón Montero, canónigo lectora*!, y consagrando el último á las honras fúnebres y sufragios genera les por las ánimas de los héroes españoles y hermanos del referido cabildo. Tanto en todas estas justas demostraciones de gratitud al cielo y al So berano, por cuya mano nos…</t>
  </si>
  <si>
    <t>Montero, Ramona</t>
  </si>
  <si>
    <t>Ramona Montero</t>
  </si>
  <si>
    <t>…llo de las Penas de S. Pedro, y según otros de epidemia en el castillo de la ciudad de Lorca; pero como esto no se sepa sino por noticias vagas, é interese á su muger, ó sea viuda Doña Ramona Montero, tener noticias positivas de su paradero ó muerte, se suplica á 1a persona que las tuviere se sirva comunicarlas en la ciudad de Badajoz á D. Minuel Antonio Melgares. Juicio crítico de la marina militar de España: quaderno ó.°, que comprende las cartas 15, 16…</t>
  </si>
  <si>
    <t>Montes, Francisco de</t>
  </si>
  <si>
    <t>Francisco de Montes</t>
  </si>
  <si>
    <t>…n que lo tiene, se ha servido de hacer por ahora en él la promoción siguiente: Ascendidos á tenientes generales ios gefes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Juan Darrac, D. Bernardo M…</t>
  </si>
  <si>
    <t>Montes, Ramón García</t>
  </si>
  <si>
    <t>Ramón García Montes</t>
  </si>
  <si>
    <t>…tiempo que se le den en so Real nombre las gracias , y se publique en la gaceta. Igualmente ha mandado S. M. que se publique en la gaceta y se den en su Real nombre las gracias á D. Ramón García Montes, del concejo de Aller, en Asturias, porque animado de la mas respetuosa adhesión á S. M. ha hecho el donativo de un libramiento de 17478 rs. y 10 mrs. rn., proce dentes de alcance á su favor en las primeras cuentas que tiene rendidas en 1809 de la factoría de…</t>
  </si>
  <si>
    <t>Montes, Toribio</t>
  </si>
  <si>
    <t>Toribio Montes</t>
  </si>
  <si>
    <t>…uellas bizarras tropas contra los rebeldes; y los que en el exército pacificador de las provincias de Quito concedió y propuso su general en gefe y presidente de aquella audiencia D. Toribio Montes, cuyas gracias se publicarán nominalmente luego que se expidan los correspondientes Reales despachos. D. Pedro González, cura párroco de Baltan, provincia de Orense, ha hecho al Rey el donativo de un recibo dado por el depositario de rentas de aquella provinc…</t>
  </si>
  <si>
    <t>Montes, Toribio de</t>
  </si>
  <si>
    <t>Toribio de Montes</t>
  </si>
  <si>
    <t>…ia de Puerto-Cabello á Veracruz. Escriben de Caracas, cotí fecha de 30 de Octubre , haberse apoderado de Sta. Fe las tropas leales reconquistadoras de Quito, al mando del general' D. Toribio de Montes. Idem iG, Ha llegado á este puerto el navio Miño con siete millones en plata y frutos, y muchos señores diputados en Cortes por ultramar. Zaragoza ty de Enero. La llegada á Tolosa de Francia de algunos miles de heridos que se hi cieron en las últimas acciones…</t>
  </si>
  <si>
    <t>Montesquiou, Henrique de</t>
  </si>
  <si>
    <t>Henrique de Montesquiou</t>
  </si>
  <si>
    <t>…conde Milhaud. El general de brigada Gruyer. x CUERPO LEGISLATIVO. Lista por orden alfabético de los miembros del cuerpo legislativo que se han adherido al asta constitucional. El conde Henrique de Montesquiou, vice-presidente. El caballero Bouchet, ídem. El caballero Félix Faulcon, ídem. El barón Boidi de Ardizoni, ídem. El caballero Chauvin de Bois-Savary , Laborde, secretario. Estanislao Baure, ídem. Aber, Barrot, Bassenge (L), Blanqjuart de Bailleul, Botta, Bru…</t>
  </si>
  <si>
    <t>Monteverde</t>
  </si>
  <si>
    <t>…uir que, picados los cables, zafasen los bu ques, llegando el 17 á este puerto todo ei convoy. A su vista huyeron nues tros sitiadores. Marchó luego contra ellos hacia Valencia el general Monteverde con 2© hombres: los 1100 de la expedición , y ei resto de gente es cogida europea, corianos, puertoriqueños y criollos de Siquisiqui. Hicieron alto en el Palito, adelantándose la vanguardia de mas de 500 hombres hasta las trincheras. Alli fueron atacados el 3…</t>
  </si>
  <si>
    <t>…de una de las fragatas particulares del convoy, por ser este un sugeto de muchos conocimientos en la Guayra, y esta reunido» en amistad con varios que mili taron á las órdenes del general Monteverde. A las 12 del día salió en estos términos la lancha, aproximándose Prieto con la fragata á dos millas del fondeadero, y habiendo prevetíido&lt; al comandante de aquella qbe al ácer-r carse á los fuertes izase la bandera nacional , afirmándola con .cañpnazor que…</t>
  </si>
  <si>
    <t>…s. Para, asegurarse le dió caza; y aunque re conoció ser española de .guerra, y mandada por oficial. conocido, la marinó, y destacó delante. A poco rato recibió. Prieto oficio del general Monteverde enviándole en rehenes á. su, mayor general y al-comandante de laplaza, y pidiéndole que fondease sin recelo , pues estaba ya impuesto de lo acaecido en la Guayra: verificóse asi, quedando desembarcada la tropa en las noches del 17 y 18 para evitar.el:,fuego d…</t>
  </si>
  <si>
    <t>…vedad, y ió levemente, entre estos so capitán : el trans porte San José 4 soldados muertos. El teniente de navio D. Ignacio Valle gime preso en una bóveda, se gún dixo á Prieto el general Monteverde; pero será cangeadó con prefe rencia , y los 14 valerosos soldados y marineros que Valle llevó á tierra con sigo eñ la Gu,ayra perecieron alli, llenándose de gloria , y dando al mundo un exem.plo extraordinariorde valor y de fidelidad. ¡Al ver que se hacia fu…</t>
  </si>
  <si>
    <t>Monteverde, Domingo</t>
  </si>
  <si>
    <t>Domingo Monteverde</t>
  </si>
  <si>
    <t>…arita, destacando á la goleta Patriota para asegurarse de si la ocu paban insurgentes, y adquirir noticias del paradero y suerte del capitán general de las provincias de Venezuela D. Domingo Monteverde, dando al comandan te de dicha goleta' una instrucción éXténsa; para; qué nb pudiese ser sorprehendido por los rebeldes, si eran dueños de la Isla. Calculaba Prieto hallar» lar goleta el ib sobre la Margarita; pero mi ¡allí ni en otro punto de reunión conveni…</t>
  </si>
  <si>
    <t>Montis, Rafael de</t>
  </si>
  <si>
    <t>Rafael de Montis</t>
  </si>
  <si>
    <t>…......... D. Benito de la Piedra. En Cartagena................... D. Francisco Clivilles. En Ciudad- Real.............. D. Mateo Casao y Romero. En Córdoba........................ D. Rafael de Montis. En la Coruña,.................. D. Felipe Elorz. En Cuenca..........¡............... D. José Escolar y Noriega. En Canarias....................... D. Francisco María de Herrera» En Granada...................... D. Francisco Escovar. En Guadalaxara...........…</t>
  </si>
  <si>
    <t>Monto, Felipe</t>
  </si>
  <si>
    <t>Felipe Monto</t>
  </si>
  <si>
    <t>2020 na, diócesis de Caeíica, vacante por muerte de D. Felipe Monto» y Ro mero, á D. Leandro Vicente Alvarez Navarro: para el arcedian?ito de San ta Gema, dignidad de la iglesia catedral de Pamplona, vacante por pro moción de D. Pedro Ramírez de la Piscina al obispado de Ciudad Rodri go, á D. Pedro Ignacio Garbiso: para una c…</t>
  </si>
  <si>
    <t>Montóya, Mariano</t>
  </si>
  <si>
    <t>Mariano Montóya</t>
  </si>
  <si>
    <t>…del departamento de Mé xico al brigadier subinspector dé la Habana D. Agustín Ibarra ; á coroneles á los tenientes coroneles del propio cuerpo D. Juan Aznar, D. Antonio M¡railes y D. Mariano Montóya, y á tenientes coroneles ah capitán déla mis ma arma D. Amadeo Mora, y al sargento mayor D. Cayetano Blengua. A subtenientes en el batallón de milicias disciplinadas de infantería de Chiquimula, en Goatemala, á D. Dionisio Paez, D. Manuel José Sandoval y Don…</t>
  </si>
  <si>
    <t>Montpalau, Antonio de Capmany y</t>
  </si>
  <si>
    <t>Antonio de Capmany y Montpalau</t>
  </si>
  <si>
    <t>…ugeto que'tuviese noticia del paradero de dicho niño se lo comuniqué en Aranjtiez,i quien satisfará los gastos que pueda haber causado. ‘ 3 ’¡ Filosofía de ia elocuencia: su autor D. Antonio de Capmany y Montpalau. Es ta segunda edición, impresa én Londres por las apuradas circunstancias en que se halló Ja península , se ha de considerar como totalmente nueva y diferente de la pri mera que se publicó en 1776, asi en su volumen , que es triple de! anterior, como en su e…</t>
  </si>
  <si>
    <t>Montresor</t>
  </si>
  <si>
    <t>…exército ingles persiguió al enemigo hasta Montefarcio, arrojándolo de posición en posición, y aunque hizo alguna resistencia, fué inútil. La divi sión inglesa, á las órdenes del general Montresor, tomó posición el día 12 en Nervi. El 13 fué acometido nuevamente el exército francés, que se halla ba situado en una fuerte posición en la altura del pueblo de Sturla, y des pués de un ataque bastante acalorado, que principió á las 9 de la mañana, y se concl…</t>
  </si>
  <si>
    <t>…la sierra no pudo reunirse el exército hasta el dia 14. El 8 se obligó al enemigo á abandonar su posición cerca de Sestri, que naturalmen te es fuerte. El 12 la división del mayor general Montresor arrojó al enemi go de Monte-Fascia y de Nervi, y el 13 se estableció en la posición avan zada de Sturla. Este país, que es sumamente montuoso y difícil, proporcio nó al enemigo hacer bastante resistencia. El 16 se tomaron las disposiciones, necesarias para at…</t>
  </si>
  <si>
    <t>Mor</t>
  </si>
  <si>
    <t>…eridos y prisioneros. Habiéndose visto obligada la columna del centro á replegarse con una pérdida considerable por el terrible fuego de la plaza, y hallándose heridos el teniente coronel Mor rice, que la mandaba, y el teniente coronel Elphinstone, que mandaba el 33.°, formó de nuevo la columna el mayor Muttiebury, y dando una vuelta, se unió al mayor ge neral Cooke , dexando el ala izquierda del regimiento 55.0 para retirar los heridos del glasis…</t>
  </si>
  <si>
    <t>Mor, Federico</t>
  </si>
  <si>
    <t>Federico Mor</t>
  </si>
  <si>
    <t>…añcs. = Quartel general de Vinaroz 9 de diciembre de 1813. = Excmó. Sr.=^Xavier Elío. == Exento. Sr. secre tario de Estado y del despacho de la Guerra. w Capitulación ajustada por D. Federico Mor van, capitán de ingenieros del exército francés ,y caballero de la legión de Honor, en nombre del gefe de batallón y comandante del castillo de Denia Bin ,y D. Manuel Cor tés , sargento mayor del regimiento primero de America, en virtud de poder dado por el s…</t>
  </si>
  <si>
    <t>Mora, Amadeo</t>
  </si>
  <si>
    <t>Amadeo Mora</t>
  </si>
  <si>
    <t>…ustín Ibarra ; á coroneles á los tenientes coroneles del propio cuerpo D. Juan Aznar, D. Antonio M¡railes y D. Mariano Montóya, y á tenientes coroneles ah capitán déla mis ma arma D. Amadeo Mora, y al sargento mayor D. Cayetano Blengua. A subtenientes en el batallón de milicias disciplinadas de infantería de Chiquimula, en Goatemala, á D. Dionisio Paez, D. Manuel José Sandoval y Don Juan José Palma, sargentas del propiobeuerpov &lt; * ; ' D. Gonzalo de…</t>
  </si>
  <si>
    <t>Mora, Ignacio</t>
  </si>
  <si>
    <t>Ignacio Mora</t>
  </si>
  <si>
    <t>…D. Antonio María San Andrés y D. José Masón; á alfére ces, de granaderos á D. Alfonso de Tuero, y de cazadores á D. Miguel de Urguia y D. Lorenzo Fernandez Somera; de fusileros á D. Ignacio Mora les de los Ríos, teniente de infantería de Burgos, á D. Manuel Vela Almazan, teniente dei 2.° de Jaén; D. José Cortés, teniente del depósito de</t>
  </si>
  <si>
    <t>Mora, Manuei</t>
  </si>
  <si>
    <t>Manuei Mora</t>
  </si>
  <si>
    <t>…el del Pino, idem de idem, 2: D. Agustín de la Gala, idem dé idem, 4: el Dr. D. Juan d e Ta Cruz Eurrazquin , cura de Characato, 50: D. Antonio Tamayo, ídem de Sachaca, 10: el Dr. D. Manuei Mora</t>
  </si>
  <si>
    <t>Morado, Francisco Casal y</t>
  </si>
  <si>
    <t>Francisco Casal y Morado</t>
  </si>
  <si>
    <t>…villa de Ares, arzobispado de Santiago, desea saber la re sidencia de Doña Manuela González de Espinosa, para comunicarla asuntos que la interesar. Se dírsea saber el paradero de D. Francisco Casal y Morado, teniente de tira dores del regimiento provincial de Monterey , cuya existencia se ignora desde los primeros ataques que hubo con los franceses hacia Salamanca y Tamames. Si algu no tuviese noticia de él, se servirá comunicar la á D, Pedro Vicente de R ivas,…</t>
  </si>
  <si>
    <t>Moragas, José</t>
  </si>
  <si>
    <t>José Moragas</t>
  </si>
  <si>
    <t>…mis dominios, restituyéndose á su país, destinando las cantidades que se la recogieron en mi Real presencia al hospital General para la asistencia y curación de sus enfermos: que D. José Moragas, del comercio de Mahon, pague la multa: de tres mil duros i que D. Jaywie Doz, que lo es del de esta corte, satisfaga la de mil duros: que D. Juan Doz, su hijo, lo haga de la de seiscientos.ducados: que D. Láza ro de Rada, D. Francisco Estanga, D. Manuel de C…</t>
  </si>
  <si>
    <t>Morales, Cárlos</t>
  </si>
  <si>
    <t>Cárlos Morales</t>
  </si>
  <si>
    <t>…añías de granaderos á los capitanes de fusileros D. Andrés Cabrera y D. Manuel Valdivia: compañías de fusi leros á los tenientes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t>
  </si>
  <si>
    <t>Morales, Cayetano</t>
  </si>
  <si>
    <t>Cayetano Morales</t>
  </si>
  <si>
    <t>…s de la cárcel y al hospital de S. Juan de Dios, debiéndole pagar las visitas qualquiera otro enfermo que lo llame : Jos pretendientes dirigirán susjnemoriales á la misma ciudad á D. Cayetano Morales, escribano del ayuntamiento, hasta el 20 de Octubre próximo. . .. En la villa de Iilescas se halla vacante la plaza de maestro de* primeras letras, cuya dotación consiste en 9 rs. vn. diarios cobrados del fondo de Propios, y lo que cada niño pague mensuaiment…</t>
  </si>
  <si>
    <t>Morales, Francisco</t>
  </si>
  <si>
    <t>Francisco Morales</t>
  </si>
  <si>
    <t>…la batalla de Vilcápugtó» se empeñaron en ocupar en esta última acción sus respectivos destinos* „ Nuestra pérdida es Ja siguiente: muertos el teniente del regimiento nú mero i.° D. Francisco Morales» el ayudante mayor dél de caballería de lí nea D. Ildefonso Udave, y 40 soldados. Heridos el cápitan/ de artillería D. Narciso Martínez» el de infantería D. Francisco Udacta » los tenientes D. Manuel Almonte» D. Felipe Velando y D. Silverio Mogrovejo^ y los s…</t>
  </si>
  <si>
    <t>Morales, José</t>
  </si>
  <si>
    <t>José Morales</t>
  </si>
  <si>
    <t>…. en nombre del obispo y cabildo de la santa iglesia de Mondoñedo sus individuos el Excmo. Sr. D. Andrés García Fernandez» arcediano de Vivero; D. Miguel Salazar, maestrescuela, y D. José Morales, canónigo, el primero de los quales pronunció el siguiente discurso: ,,Señor:el obispo y cabildo de la catedral de Mondcñedo, enagenados del mas puro gozo, no pudieron menos de reunirse al pie del altar para bende cir al Dios de las misericordias en el moment…</t>
  </si>
  <si>
    <t>…ante por muerte de D. Fernando Iscar, á D. Lope More no, cura párroco del lugar de B. lbacil, en la misma diócesis: para otra de la catedral de Mondoñedo, vacante por promoción de D. José Morales al arcedianato de Niebla, dignidad de la iglesia metropolitana de Sevilla, á D. Diego Vázquez Buceta, terierte vicario general del departamento del Ferrol: para otra de la iglesia colegial de IrLfLvia , diócesis de S ¡miago, va cante por fallecimiento de D. R…</t>
  </si>
  <si>
    <t>Morales, Juan</t>
  </si>
  <si>
    <t>Juan Morales</t>
  </si>
  <si>
    <t>…departamentos , del de los mariscales de campo D. Luis Wimpffen y D. Miguel de Alava, y de los oficiales del Estado mayor español. Remito áV. E. este parte por medio del teniente coronel D. Juan Morales, del Estado mayor de campaña, á quien ruego á V. E. lo recomiende á la protección del Gobierno. Acompa so á V. E. el parte que me ha pasado el general D. Manuel Freyre sobre la acción de aquel dia, con un estado de su pérdida, y los estados de la pér dida que…</t>
  </si>
  <si>
    <t>Morales, Juan Pedro</t>
  </si>
  <si>
    <t>Juan Pedro Morales</t>
  </si>
  <si>
    <t>…es sentencias: i.a Sentencia pronunciada por el tribunal especial creado por las Cor tes generales y extraordinarias. SEÑORES DEL TRIBUNAL ESPECIAL. D. Toribio Sánchez Monasterio. D. Juan Pedro Morales. D. Pascual Boláños y Novoa. D. Antonio Saenz de Vizmanos. D. J uan Nicolás de Undaveitia. En la ciudad de Cádiz á 14 de Agosto de 1812, los señores ministros que componen el tribunal especial creado por las Cortes generales y extraor dinarias del reyno, habi…</t>
  </si>
  <si>
    <t>Morales, Miguel Alarcon y</t>
  </si>
  <si>
    <t>Miguel Alarcon y Morales</t>
  </si>
  <si>
    <t>2129</t>
  </si>
  <si>
    <t>…cabildo incesantemente al Dios de los exércitos para la felicidad de la monarquía.” El 31 de Julio tíltimo tuvo el honor de ser admitido á felicitar á S. M. y A A; y besar la mano D. Miguel Alarcon y Morales, presbítero, benefi ciado propio titular y tínico de las iglesias de Atajáte y Alpandeire, en la diócesis de Málaga $ diputado por ocho pueblos de la serranía de Ronda; con cuyo motivo dirigió á S. M. el discurso siguiente: „ Señor: los ocho pueblos de Ataját…</t>
  </si>
  <si>
    <t>Moran, Fernando</t>
  </si>
  <si>
    <t>Fernando Moran</t>
  </si>
  <si>
    <t>…mpli mentar á S. M. y AA. Componíase esta diputación del abad del cabildo Don Domingo Alvarez , beneficiado de Santiago;del decano D. Juan Antonio de Salcedo, cura de S. G'nes; de D. Fernando Moran, beneficiado de S. An drés, y de D. Juan de Leza y Cano, cura de S. Salvador; el primero de los quales, que ya en Aranjuez había dirigido á S. M. la palabra en un bre</t>
  </si>
  <si>
    <t>Moran, Maftúel</t>
  </si>
  <si>
    <t>Maftúel Moran</t>
  </si>
  <si>
    <t>…ión de 85) reales, y la segunda de 3$, en metálico , pagados dé los fondos de propios de dicha villa; Ja población se reduce -3*300 vecinos poco mas. Sé dirigirán los memoriales á Don Maftúel Moran ; procurador de dicha villa ¿ en el ténnino de un mes. Memoria sobre él ¡origen y antigüedad de la lana .merina y trashu mante, y las eausaside que píowenebsirfinuta^iyi los aúedios de mejorar las lanas ba stas en términos’de. que puedan.us&amp;rseilijuármíéfcíe…</t>
  </si>
  <si>
    <t>Morante, Josefa</t>
  </si>
  <si>
    <t>Josefa Morante</t>
  </si>
  <si>
    <t>…n de Ocuña {én Noviembre 'de- 809, y conducido a .Francia ; y «o habiéndose tenido .después de esto noticias de su paradero, se supli ca al que las tenga las comunique á su esposa Doña Josefa Morante en la villa de Niebla, reyao de Sevilla, ó en¿la misma villa á su hermano D. Manuel Hidalgo. In laudem potentissimi ac sapientissimi Georgii tertii, Angliac Regis et Hispaniarum fautoris benignissimi cautus hispani adoptivi. zz Pauperculae musae heyoycum Hj^p…</t>
  </si>
  <si>
    <t>More, Lope</t>
  </si>
  <si>
    <t>Lope More</t>
  </si>
  <si>
    <t>…to de D. José de Aldama , á D. José Urrutia, teniente vicario general del quano exército: para otra de la iglesia catedral de Sigiienza, vacante por muerte de D. Fernando Iscar, á D. Lope More no, cura párroco del lugar de B. lbacil, en la misma diócesis: para otra de la catedral de Mondoñedo, vacante por promoción de D. José Morales al arcedianato de Niebla, dignidad de la iglesia metropolitana de Sevilla, á D. Diego Vázquez Buceta, terierte vicar…</t>
  </si>
  <si>
    <t>Moreau</t>
  </si>
  <si>
    <t>…abía, acudido á disfrutar de la vista, dei. héroe libertador de. la Europa. FRANCIA. Calais 6 de Julio.. El 29 del pasado llegaron aqui , procedentes dé Inglaterra,. la: viada del general Moreau y su hija, joven de 12 años de edad, á quiénes acompaña, el general Hulot,. hermano de aquella. Al dia siguiente, de su-llegada sepu— sieren, en: camino para; trasladarse á. París. París 13; de. Junto.* El marques dé Vernon , gefe de las caballerizas del Rey,…</t>
  </si>
  <si>
    <t>…ar la posición de Vergennes. RUSIA. Petersburgo 21 de Junio. Acaba de colocarse en la iglesia católica de esta capital* encima de la bóveda en donde está depositado el cadáver del general Moreau, ia siguiente inscripción: Moreau, nacido en 11 de Agosto de 1763, y muerto en Laun d 2 de Setiembre de 1813. Al rededor de la lápida en que se lee esta ins cripción van á colocarse unas berjas de hierro. Éste sencillo y religioso hoirrenage, hecho al valor y…</t>
  </si>
  <si>
    <t>…los quatro navios ám ericas nos el Frotes yz 1 Marte, eL Húsar y la Culebra de cascabel. , El emperador Alexandro durante su permanencia en Londres hizo una visita á la viuda del general Moreau. Se detuvo en su casa mas de una hora, y al despedirse le regalo una libranza de ioo© rublos* pagadera á la vista; ademas una pensión de 40© rublos, y la orden de Sta. Catalina. Puso S. M. el colmo á su munificencia concediendo á la hija de esta respetable vi…</t>
  </si>
  <si>
    <t>…l 15 de este mes. Se dice que á fines del mis mo estarán ya de vuelta. Segua escriben de Saxonia se está ya erigiendo, por orden del empera dor Aiexandro, un suntuoso monumento al general Moreau en el mismo si tio en donde fue herido de muerte. En él deben depositarse sus piernas cu ya amputación le hicieron, y que han conservado en espíritu de vino. PRUSIA. Berlín p de Noviembre. El ministro Reik y el general Gaudi, encargados de tomar posesión de l…</t>
  </si>
  <si>
    <t>Morejon, Francisco</t>
  </si>
  <si>
    <t>Francisco Morejon</t>
  </si>
  <si>
    <t>…r la provincia de Chtapa, D. Florencio Castillo, presbítero, diputado por la pro vincia de Costa-Rica, D. José Antonio López de la Plata, diputado por la provincia de Nicaragua, y D. Francisco Morejon y D. Santiago Milla, di putados por la provincia ae Honduras; y el primero arengó á S. M. en los términos siguientes : „Señor: los diputados del reyno de Goatemala tenemos el honor de fe licitar á Y. M. por su restablecimiento en el trono, á que le llamaban las leyes y sus virtu…</t>
  </si>
  <si>
    <t>Morelos</t>
  </si>
  <si>
    <t>…la gacera ordinaria dé mañana. •••' •• Excmo. Sr.: las tropas del exército que tengo el honor de mandar, y la guarnición de&gt;esta ciudad han hecho huir cobardemente hoy al rebelde cura Morelos con sus cabecillas Matamoros, Bravo, Galiana, Mochorro, Sexma, . ’ /. ..Muniz &amp;c. ■ o &lt; . . * y gr* . ;i'¡r•, . . Tengo diado parte á V. E. desde el 21 en Acanobaró de mi determina ción de sériian-el 24 mi¿ quartel general; en esta ciudad; pero habiendo ade l…</t>
  </si>
  <si>
    <t>…mandante general del exército del Norte. Excmo. Sr.t las tropas del exército que tengo el honor de mandar y la guarnición de esta ciudad han hecho huir cobardemente hoy al rebelde cura Morelos, con sus cabecillas Matamoros, Bravo, Gaieana, Machorro, Sesma , Muñiz y otros. Tengo dado parte á V. E. desde el 21 en Acámbaro de mi determina ción de sentar el 24 mi quartel general en esta ciudad; pero habiendo ade lantado mi marcha el 23 en compañía del…</t>
  </si>
  <si>
    <t>Moreno, Custodio Teodoro</t>
  </si>
  <si>
    <t>Custodio Teodoro Moreno</t>
  </si>
  <si>
    <t>…s lí neas y figuras geométricas precisas para el estudio del dibuxo habla pre parados tres sillones, que ocuparen el Rey y los Sres. Infantes, y el arqui tecto académico de mérito D. Custodio Teodoro Moreno, encargado de la dirección de dicha sala, hizo á S. M. el siguiente discurso: „Señor: permítame V. M. que le manifieste los sentimientos de gratitud de que está penetrado mi corazón ea este instante en queV\ M. se ha dig nado añadir tina nueva prueba del apre…</t>
  </si>
  <si>
    <t>Moreno, Francisco Abad y</t>
  </si>
  <si>
    <t>Francisco Abad y Moreno</t>
  </si>
  <si>
    <t>…pliego, que hace co lección con los de D. Juan Martin (el Empecinado), el barón de Eróles, D. Juan de Tapia, D. Pedro Yiilscampa, D. Julián Sánchez, D. Juan Palarea (el Médi co) y D. Francisco Abad y Moreno. Se continúa grabando los demas patriotas que mas se han distinguido en defensa de la patria. Se venden en ¡a librería de Quiroga, calle de las Carretas, fonda del Angel, y en el almacén de estampas calle Mayor, frente al conde de Cíñate, á 8 rs. iluminados y…</t>
  </si>
  <si>
    <t>Moreno, Francisco de Flores</t>
  </si>
  <si>
    <t>Francisco de Flores Moreno</t>
  </si>
  <si>
    <t>…o en Cádiz por los años de 1800,804, 8to y 813 , seguido de un apéndice en que se exponen los preceptos de policía médica é higiene pública. iSu autor el Dr. en medicina y cirugía D. Francisco de Flores Moreno, médico hono rario dé cámara de S. M., catedrático y maestro consultor del real colegio de me dicina y cirugía de Cádiz, vocal de la junta superior de sanidad de aquella provin cia. Esta obra , en la qual se observa aquel orden, método y claridad con que, de…</t>
  </si>
  <si>
    <t>Moreno, José Victoriano Díaz</t>
  </si>
  <si>
    <t>José Victoriano Díaz Moreno</t>
  </si>
  <si>
    <t>…a mano y felici tar á S. M. y A A. una diputación de la villa de la Puebla de D. Fsdrique» en laprovincia de Ciudad-Real, compuesta del Lie. D. Casimiro Hernán dez, alca’de mayor; D. José Victoriano Díaz Moreno, alcalde ordinario, y D. Manuel de Jesús Torralba y Arnalte, procurador síndico; de los quales el primero are ngó á 5. M. en los términos siguientes:</t>
  </si>
  <si>
    <t>Moreno, Juan</t>
  </si>
  <si>
    <t>Juan Moreno</t>
  </si>
  <si>
    <t>…zo Villegas, D. Josef Pumarejo y I). Carlos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-igual nombre D. Toaquin González -de Mench&amp;ca; el de‘ Cari…</t>
  </si>
  <si>
    <t>43$ Juan de Asas, capitán de Marina. D. Ramón Ayala, teniente de id. D. Juan Moreno, id de id. D. José Osorio, subteniente de id. D. Ramón Rerigel, te niente coronel, comandante de voluntarios de Asturias. D. Pablo Herce, capi tán de id. D. Andrés Pardo, a&gt; udante de id. D. Bernardo Pita , teniente de ¡d. IX Ramón Nuñez, id de id D. José Vil…</t>
  </si>
  <si>
    <t>Moreno, Juan Romualdo</t>
  </si>
  <si>
    <t>Juan Romualdo Moreno</t>
  </si>
  <si>
    <t>…stado de su testamentaría J que será regu larmente antes de dos años. Los sacerdotes ordenados in sacris y clérigos de meno res que quieran servirla dirigirán su solicitud al Lie. D. Juan Romualdo Moreno, deán y canónigo de la expresada catedral, manifestando en ella su naturaleza, edad y capacidad para la enseñanza de los niños. : En la villa de la Guardia, provincia de Toledó/y partido dé Ocaña, se fiallal vacante la plaza de médico, cuva dotación son 89 rs…</t>
  </si>
  <si>
    <t>Moreno, Nicolás</t>
  </si>
  <si>
    <t>Nicolás Moreno</t>
  </si>
  <si>
    <t>…; JosefMolans. .. ? .—^Queche Ana María, de D.. Manuel Justiz, represado con su carga por una fragata de guerra inglesa, y devuelto por ella á este puerto. . Bergantín el Rayo, su capitán D. Nicolás Moreno, apresado, quitada la carga, y vuelto en lastre á esterpuerto. Goleta da Caridad,ode ©.(Cristóbal Jando, temible en manos de los in surgentes por su andar y buenas disposiciones para el corso. Goleta la Paula; mr caprtan D. Francisco Pereyra, sobre punta de M…</t>
  </si>
  <si>
    <t>Moreno, Ramón</t>
  </si>
  <si>
    <t>Ramón Moreno</t>
  </si>
  <si>
    <t>…a en que debía verificarse el arribo de S. M, y AA. RR. á la corte, nombró una comisión compuesta de sus capitulares D. Santiago Hi dalgo, decano; D. José García, D. Manuel Gaona, D. Ramón Moreno y D. Inoce.nte Estúñiga, los quales desde luego se apresuraron á dirigir á S. M. la siguiente exposición: „ Señor: la muy noble y siempre leal ciudad de Guadalaxara, represen tada por cinco d*e sus vecinos, ha visto llegar el hermoso dia en que pueda postrarse humildemente á los aug…</t>
  </si>
  <si>
    <t>Moreno, Tomas</t>
  </si>
  <si>
    <t>Tomas Moreno</t>
  </si>
  <si>
    <t>…inguido mé rito, quando manifieste hallarse restablecido; pero debiendo continuaren el despacho de la secretaría de ia Guerra, en quanto su salud se lo permita, hasta la venida de D. Tomas Moreno, mariscal de campo de los exércitos nacionales, á quien nombro secretario interino de dicho departamento. Tendreislo entendido, y lo comunicareis á quienes corresponda. = Está rubricado.=En palacio á 14 de Enero de 1814. = A D. Juan Alvares Guerra."</t>
  </si>
  <si>
    <t>Moresly</t>
  </si>
  <si>
    <t>…es donde debían colocarse las^ faginas para cubrir nuestra gente, .mientras se si tuaban los cañones. Me tomo la libertad de recomendar á los lores comisa rios del almirantazgo al capitán Moresly, de la corbeta de S. M. la Wizard, quien estuvo mandando una batería desde el 16 hasta el 24, en cuyo dia tuvo orden de construir una batería de brecha de quatro cañones de á 32, ’o que realizo en el término de 56 horas, á pesar de todos los obstáculos que le…</t>
  </si>
  <si>
    <t>Morete, José de</t>
  </si>
  <si>
    <t>José de Morete</t>
  </si>
  <si>
    <t>…ero , D. Antonio Darcaurt, D, Fran cisco Fulgencio, D. Estéban Poriier, D- Antonio María de Mendoza, y Don Mariano de Peñafiel. A brigadieres á los coroneles D. Ramón de Figueroa, D. José de Morete, D. Repulido M.scdona!, D. José Martínez de San Martin, D. Cárlos de Coupigni, D. Francisco Xavier de Cavanes, D. Joaquín de los Ríos D. J xsé Marrón , D. Diego Luis Salido, D. José Castellar, D. José Iglesias Barrantes , P. Ramón Losada Bernaldo de Quicós, J…</t>
  </si>
  <si>
    <t>Morillo</t>
  </si>
  <si>
    <t>…ente que se había echado sobre el Nivé, pues las tropas del mariscal habían.vuelto ya á la izquierda del citado rio; . ' ; ... ... La división de infantería española del mando del general Morillo ,' que quedó con sir Rolando Hill quando las demas tropas españolas pasaron á acantonarse, se colocó en Orcuray, teniendo la brigada de dragones ligeros británicos, del mando del coronel Vivían, en Hasperen, con el fin de que observasen los movimientos de la…</t>
  </si>
  <si>
    <t>…l general París, que habia sido llamada otra vez después de empezada su marcha al interior de Francia, y otras tropas que venían del centro del enemigo. ,,La división española del general Morillo, después de arrojar los pues tos avanzados, tuvo orden de marchar hacia St. Palais por una cordillera paralela á la que ocupaba el enemigo, con el objeto de doblar su izquierda, y cortarle su retirada por aquel camino, al mismo tiempo que la segunda división,…</t>
  </si>
  <si>
    <t>…ron.__ En todas las acciones que acabo de detallar á V. E. se han conducido las tropas per fectamente, y he tenido una satisfacción al observar la buena conducta de Igs tropas del general Morillo en el ataque de Heílette el dia 14, y al arrojar los puestos que el enemigo tenia delante de su posición de Garrís el dia 15. ,, Desde el ultimo parte que dirigí á V. E. no tengo noticia alguna de Cataluña ; pero he recibido hoy un parte del gobernador de Pam…</t>
  </si>
  <si>
    <t>…gles muerto, y otros dos ó tres heridos: que el número de franceses muertos pasa dé 3$, con mas de 900 prisioneros, y que perdie ron ademas 8 piezas dé artillería. La división del general Morillo parece que ha tenido mucha parte en esta- memorable jornada, y aun añaden que aquel valiente caudiMo perdió un caballo. Una división inglesa y otra española, con una brigada de dragones, bío-</t>
  </si>
  <si>
    <t>…an ticipadamente. Tampoco se han aprehendido ningunas armas , porque lasque había salieron á atacar el pueblo del, Papelón; pero seguramente se las tomará Ja división del capitán comandante Morillo, que.consta de 409 hombres bien montados, á cuyo mando están y han entrado en ésta ciudad 500 hombres; de lanza no mal montados, para engrosarla fuerza, hacerla respetable, y cas tigar al tirano opresor y destructor de los leales. Parece muy bueno se re unies…</t>
  </si>
  <si>
    <t>…moria. Trun 24 de Marzo. Los regimientos de León, Jaén y Vitoria adelantan con el exército del general HiÜ con dirección á Toiosa, habiendo quedado para el sitio de Na— varrens el general Morillo con los batallones Doile, Union y Legión extre meña Se construyen por las noches baterías para colocar la art Hería luego que el tiempo permita su llegada. Entonces nos apoderaremos pronto de la plaza , que es muy débil. Idem 28. El exército combinado, á las…</t>
  </si>
  <si>
    <t>…uchos años. Vailadolid 28 de Diciembre de 1813. A las once y media de la noche. = Excmo. Sr.zz Ciríaco de Llano. Excmo. Sr. D. Félix Calleja. / Ir unj j de May oí ■La división de) señor Morillo se halla en S. Juan de Luz, Azcain y pue blos inmediatos , donde há . recibido véstuárló. El príncipe de Anglona y •su quartel general permanecen todavía en esta, y el tercer exército sigue acantonado en la carretera de aquí á Tolosa. El general Freyre se hal…</t>
  </si>
  <si>
    <t>Morillo, Pablo</t>
  </si>
  <si>
    <t>Pablo Morillo</t>
  </si>
  <si>
    <t>…D. Juan O Donojú.” El general en gefe del quarto exército ha comunicado al señor secretario de Estado y del Despacho de la Guerra lo que sigue: ,, Excmo. Sr.: el mariscal de campo D. Pablo Morillo, comandante ge neral de la primera división de este exército, me dice con fecha 9 del actual lo siguiente. =Excmo. Sr.: según las instrucciones que recibí ayer noche del v Excmo. Sr. Sir Rolando Idill para pasar el Nivé al amanecer de hoy, dis puse que á esta…</t>
  </si>
  <si>
    <t>…rigo ha dirigido al señor secretario de Estado y del despacho de la Guerra el oficio siguiente: ~ „ Excmo. Sr.: remito á V. E. original la copia del parte que el mariscal de campo D. Pablo Morillo, comandante general de la primera división de infantería del quarto exército, ha dirigido á su general en gefe D. Manuel Freyre de la acción que sostuvieron parte de las tropas de su mando con tra Fuerzas enemigas de su frente en el dia 26 del mes de Enero úl…</t>
  </si>
  <si>
    <t>2.04 división de esfeiexército, al mando, del mariscal dé campo D. Pablo Morillo, se puso en marcha desde Loohuossa á la izquierda del Nive, con dirección á Hellette, para cooperar á un movimiento general , practicado por e! exce lentísimo señor duque de Ciudad-Rodrigo 'sobre lá izquierda del enemigo. Jista. división , al tiempo de tomar…</t>
  </si>
  <si>
    <t>…Tomas Picton hizo al mismo tiempo demostraciones de atacar la po sición del enemigo sobre el puente de SauVeterre * y al fin obligó á este á volar el puente. Ei mariscal de campo D. Pablo Morillo arrojó los puestos enemigos delante de Navarreus, y formó el blo queo de la ,pláza. El mariscal Beresford, que desde los movimien tos del 14 y del había permanecido con las divisiones quarta y séptima y la brigada de caballería del coronel Viviane, observando…</t>
  </si>
  <si>
    <t>…or los acontecimientos deia guerra, se titule asi el actual batallón de infantería de tiradores de Doy le, destinado á la expedición de Montevideo, del mando del mariscal de campo D. Pablo Morillo, debiendo considerársele desde iuego la antigüedad de su creación en i,794. ' ■ -■ „, ■. 1 ; .i i ■■■" ■■ ■ ^ - - ' " El Real monasterio dérPoblerv ’eñ Cataluña , convencido dé las extre mas urgencias del estado, que tanto afligen el benéfico corazón de S. M.…</t>
  </si>
  <si>
    <t>…ligencia y efectos conve nientes. Dios guarde á V. muchos años. Madrid 24 de Octubre de 1O14. El Rey ha resuelto que los gefes y oficiales destinados al exército, que al mando del general D. Pablo Morillo pasa á las provincias del Rio de la Pla ta , se hallen precisamente el dia 20 del corriente en sus respectivos cuerpos, que están acantonados eri Xerez de la Frontera y pueblos inmediatos, en disposición de marchar adonde se les prevenga. Y á fin de que no pa…</t>
  </si>
  <si>
    <t>…icionaria de Montivideo. i.° Cazadores de Barbastro (antes Doyle), 2.0 Legión Extremeña, 3.0 Voluntarios de la Victoria, 4.° Cazadores de Castilla. (Al mando del Mariscal de Campo D. Pablo Morillo.) Para la segunda expedición. 5.0 Voluntarios de Santiago, 6.° Cazadores de Mallorca. (Almando del Mariscal de Catnpo D. Pascual Liñan.) Orden que debe seguir pzra los que se nombren en lo sucesivo. 7.0 Voluntarios de Rioja, 8.° i.° de Iberia, 9.0 Voluntarios…</t>
  </si>
  <si>
    <t>Morner, G. de</t>
  </si>
  <si>
    <t>G. de Morner</t>
  </si>
  <si>
    <t>…quadra es tan grande, que no se puede dudar hubiéramos conseguido una victoria completa, si eL enemigo hubiese hecho resistencia. „Nuestras tropas, á las órdenes del general mayor conde G. de Morner, ocupan las islas de Valoe, que son la llave del golfo de Cristiania. El coro nel Flay ha desembarcado ya en la isla septentrional de Sandó, el coronel Skjoldebrand en la Sandó meridional, y el mayor Hay en la de Ulerfon. El enemigo Jia dexado muchos efectos,…</t>
  </si>
  <si>
    <t>Moron, Domingo</t>
  </si>
  <si>
    <t>Domingo Moron</t>
  </si>
  <si>
    <t>d;t consejo y cámara de Indias; D. Pedro de Ingaanzo ^canónigo doctoral de la santa iglesia de Oviedo, D. Domingo Moron, racionero de la iglesia colegial de Villafranca; y D. Juan María Maestri, caballero maestfante, y coronel del tercer batallón de línea de la expresada ciudad; el primero de los quales hizo á S. M. la alocución siguiente: ,, Señor: quando 25 millones de españ…</t>
  </si>
  <si>
    <t>Moron, Juan Agustín Lepez</t>
  </si>
  <si>
    <t>Juan Agustín Lepez Moron</t>
  </si>
  <si>
    <t>…José Pé rez Ochoa y Sevillano, presbítero y secretario de gobierno; D. Eusebio EU gueta Vigil de Quiñones, secretario de enfermería; D. Félix María de Zurbano, procurador general; D. Juan Agustín Lepez Moron, presbítero, vi cario del culto divino, y el conde de Alba Real de Tajo, vocal; el primero de los quales habló en ios términos siguientes: ,,Señor: la venerable orden tercera de S. Francisco de esta corte no ha cesado un momento de pedir á Dios nuestro Señor…</t>
  </si>
  <si>
    <t>Moron, Pedro Nolasco Sánchez</t>
  </si>
  <si>
    <t>Pedro Nolasco Sánchez Moron</t>
  </si>
  <si>
    <t>…ue obtiene en la catedral de Oviedot para ia dignidad de m íestreseuela de la catedral"de Vatladolid, va-í e nte por haber obtenido lavcanóngía doctoral de la^prirtiada 'de Toledo D. Pedro Nolasco Sánchez Moron, á D. Gabriel 'Ugarte y Alegrí», con retención de la penitenciaría que obtiene en la propia catedral de Valladolid, por consideración á sus méritos literarios y dilatados buenos servicio^: para la canongía que resulta vacante en Ja iglesia metropolitana deBúr…</t>
  </si>
  <si>
    <t>Morquecho, Adrián</t>
  </si>
  <si>
    <t>Adrián Morquecho</t>
  </si>
  <si>
    <t>…e buques de guerra compuesta de la polacra Cupido, el paquebot Borja, y las goletas Galga y Junta de Sevilla, mandados respectivamente por los tenientes de navio Don Manuel Funes, D. Adrián Morquecho, y los de fragata D. Martin Espino y D. Manuel Pardo, y todos baxo las ordenes del primero como mas an tiguo* Su destino era conducir al puerto de Sta. Marta 138 soldados y 16 oficiales de los cuerpos de la Albuera y fixo de Panamá, 100 quintales dé pólvora ,…</t>
  </si>
  <si>
    <t>Morquecho, Juan de Dios Ruiz</t>
  </si>
  <si>
    <t>Juan de Dios Ruiz Morquecho</t>
  </si>
  <si>
    <t>…ficio tuvieron los correspondientes exercicios .30 niños, de ocho hasta once años de edad, autorizándolos con su presencia los señores jueces de primera ins tancia de esta capital D. Juan de Dios Ruiz Morquecho y D. Francisco José Dosal, siendo espectadores un crecido número de ciudadanos de todas</t>
  </si>
  <si>
    <t>Morquecho, Vicente Ruiz</t>
  </si>
  <si>
    <t>Vicente Ruiz Morquecho</t>
  </si>
  <si>
    <t>…eguera,,alcalde del crimen d la misma; y para sus resoltas á D. Juan Nepomuceno Vela y D. Esteban Moyano: para la vara de Montoro á B. Francisco Xavier Rincón : para la de Cabra á D. Vicente Ruiz Morquecho: para la de Bui¡trago á D. Estanislao Guilarte; para la.de Potes á B. León González del Camino: para la de Algeciras á D. Juan Batte y Ortega: para la de'Máfchena á D. Cristóbal Izquierdo de los Santqsi para lá de'Priego á D., Vi** cente Pereda: para la de Al…</t>
  </si>
  <si>
    <t>Morrice</t>
  </si>
  <si>
    <t>…mo tiempo destaqué al teniente coronel Clifton con una partida deiGuardias del primer regimiento para asegurar la puerta de Ambéres,¡y ver si podría adquirir noticias del teniente coronel Morrice. El teniente coronel Clifton llegó á la puerta, pero sus soldados no pudieron abrirla , porque el enemigo hacia un ruego extraordinario desde una calle que conduce á ella. Se vio también que ocupaba una obra exterior que domina el puente, la que nos inutiliza…</t>
  </si>
  <si>
    <t>…Viendo que la situación se había hecho demasiado crítica,y no recibien do ningún parte de los otros puntos, á excepción del que me dieron del mal éxito de la columna del teniente coronel Morrice cerca de la puerta del Nourd, el coronel lord Proby me sugirió la idea de retirar una parte de las tropas, lo que se efectuó per las escalas que habian entrado. •. " El enemigo se estableció de nuevo en el baluarte cerca del amanecer; pe ro fué desalojado otr…</t>
  </si>
  <si>
    <t>Morrillo, José</t>
  </si>
  <si>
    <t>José Morrillo</t>
  </si>
  <si>
    <t>…telo, capitán de id. D. Joaquín Zarráélná ¿-subteniente de id. D. Ramón de Muniz, sargento mayor ac Oviedo. D. Alberto Rodríguez, capitán de id. D. Fermín Rol dan^ teniente de id. D. José Morrillo, subteniente de id. D. Vicente Castañon, capitán del i.° Cántabro D. Bernardo Alvarez Vega, capitán del idé Laredo. D. &lt;3ábriel González Llanos , capitán de id. D. Alberto Rozas, teniente dé tiradores de Cantabria. D. Pedro Villanueva, subteniente de id. Quár…</t>
  </si>
  <si>
    <t>Morrisson</t>
  </si>
  <si>
    <t>…heridos y prisioneros no baxa de 800 hombres. „Las consecuencias de esta acción tan honorífica á los oficiales y soldados que tuvieron parte en ella, y particularmente al teniente coronel Morrisson por la pericia que manifestó en conservar su posición, como también por su intrepidez y brio son: que los enemigos desordenados por la perdida y ma lograda tentativa, volvieron a embarcar todas sus fuerzas el dia 13» y atra vesaron los ríos S. Regis y Salmón,…</t>
  </si>
  <si>
    <t>Mortier</t>
  </si>
  <si>
    <t>…nsecuen cia determino el príncipe de Schwartzenberg avanzar sobre este punto con fuerzas suficientes, que le asegurasen el buen éxito del ataque de esta posi ción.----No esperó el mariscal Mortier á que se adelantase el exército aliado, y el día 16 principió á retirarse. El 17 el general Giulay se adelantó con su guardia avanzada. El comandante de lá ciudad quiso capitular, pero se le intimó que se rindiese, pues no tenia medios con que resistir. El al…</t>
  </si>
  <si>
    <t>…% Beveland, se rindió á las fuerzas mandadas por el capitán Oyven.___Se asegu ra que los franceses recibieron orden de evacuar el Brabante,; ío que parece cierto, pues habiendo el general Mortier salido de París cpq todas las fuer zas que pudo reunir con dirección á los Paises-Baxos, recibió contraorden, y volvió repentinamente con tedas las tropas hacia.París-, á cuyo.móvimiento seguramente dió causa la noticia de haber pasado los .aliados, el Rljun…</t>
  </si>
  <si>
    <t>…as á Meaux, ^Marmont rezeloso abandonó á Ferte-sous-Jouarre. El mariscal Blucher esta ba en comunicación con el general Winzingerode, y el general Bulow avan zaba á reunírsele. El mariscal Mortier se había reunido á Marmont, y sus fuerzas juntas formaban un total de 16 á 20® hombres. Durante estas operaciones, Bonaparte habia intentado forzar las posicio nes del Aube: sus tropas habían ocupado á Bar del Aube, y tomado posi ciones enfrente de esta ciuda…</t>
  </si>
  <si>
    <t>…riscal Marmont continuó su marcha á la Ferté-sous-Jouarre, y según in forme de los paisanos, iban sus tropas en desorden , buscando abrigo en los bosques. En Rebais supimos que el mariscal Mortier con la guardia nueva había salido de Chateau-Thierry para reunirse con el mariscal Marmont, componiendo entre ambos la fuerza de unos i6á 20© Hombres. Pasar,pues, el Marne á vista de este exército era operación, arriesgada, mayormente sos pechándose que Bonap…</t>
  </si>
  <si>
    <t>…ruebas conversando con las personas que fe rodea ban. Viendo andar con dificultad al mariscal Lefevre á causa de la gota, le dixo: Mariscal, ¿sois de los nuestrosf Después dixo al mariscal Mortier: Señor mariscal 3 quando no éramos amigos tuvisteis con la Rey na mi esposa ciertas consideraciones que me ha hecho presentes, y en el dia me acuerdo de ellas. Al mariscal Marmont le dirigió las siguientes palabras: Sé que fuisteis herido en España 3 y que po…</t>
  </si>
  <si>
    <t>Morvan, Federico</t>
  </si>
  <si>
    <t>Federico Morvan</t>
  </si>
  <si>
    <t>…la isla de Mallorca en el instante que el tiempo lo permita. 9.0 La presente capitulación será ratificada antes de ponerse el sol de este dia, 10 El capitán de ingenieros francés D. Federico Morvan queda ga rante de esta capitulación, y de no cumplirla escrupulosamente será res ponsable al honor español. 11. El presente tratado será traducido en los idiomas español y francés. Plaza de Denia 6 de diciembre de 1813.= Ei sargento mayor en comisión Manuel C…</t>
  </si>
  <si>
    <t>Moscoso, Bernardo Osorio y</t>
  </si>
  <si>
    <t>Bernardo Osorio y Moscoso</t>
  </si>
  <si>
    <t>…erez Villamil. El Rey se ha servido nombrar para la dignidad de chantre y canongía de la iglesia metropolitana de Sevilla, vacantes por fallecimiento de D. Ra fael Ancón Encina, á D. Bernardo Osorio y Moscoso: para la canongía va cante en la catedral de Calahorra por muerte de D. Diego Tricio y Náxera, á D. Jo^é Mariano Andux, racionero de la iglesia colegial de Daroca, penitenciario del Real hospital general de esta corte, y cura castrense: para una racioa de la…</t>
  </si>
  <si>
    <t>Moscoso, José Martínez</t>
  </si>
  <si>
    <t>José Martínez Moscoso</t>
  </si>
  <si>
    <t>…oidor honorario de la real cfiancillería de Granada , y juez pri mero de letras de la ciudad de Xerez de la Frontera, su fecha 3 del corriente,’ cumplimentado en esta corte por el Sr. D. José Martínez Moscoso, juez de letras de ella, y escribanía numeraria ¡del cargo de D. Alfonso de Yébcnes , se manda ci-; tar, llamar y emplazar á Doña Ignacia y Doña Ramona Bahamonde y&gt; demas hi jos y herederos' de D. Carlos Bahamonde, comisario de guerra, y vecino que fué. de la…</t>
  </si>
  <si>
    <t>Mosque, Joaquín</t>
  </si>
  <si>
    <t>Joaquín Mosque</t>
  </si>
  <si>
    <t>…Xavier Caro. = D. Josef Aycinena. = D. Antonio Cal derón , Fiscal. = D. Silvestre Collar, Secretario. = Sala tercera de Justician D. Ramón de Posada.s= Di Francisco Josef Viaña. =D. Joaquín Mosque ra, =D. Antonio Salcédon Conde de Vista-Florida. Contador general* que no ha de ser Ministro de la tabla, D- Josef Manuel de Aparici y Prado. = Madrid 2 de Julio de 1814. = Señalado de la Real mano de S. M. 2.0 Por mi Real decreto de esta fecha he venido en r…</t>
  </si>
  <si>
    <t>Mótales, Juan Pedro</t>
  </si>
  <si>
    <t>Juan Pedro Mótales</t>
  </si>
  <si>
    <t>. * *°47 la audiencia de Sevilla á D. Juan Pedro Mótales: para otra de oidor de la de Galicia á D. Juan Perez Villamil, ministro de la de Asturias: para una de ministro del consejo Real á D. Francisco Marin y Sánchez: para la re gencia de la audiencia de Galicia á D. Manuel de León Santos de S. Pedro: para la de Ca…</t>
  </si>
  <si>
    <t>Moxica, Juan de Pontous y</t>
  </si>
  <si>
    <t>Juan de Pontous y Moxica</t>
  </si>
  <si>
    <t>…mundo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Francisco D’IIautregard, D. José</t>
  </si>
  <si>
    <t>Moxó, Manuel</t>
  </si>
  <si>
    <t>Manuel Moxó</t>
  </si>
  <si>
    <t>…rmo. Sr. Infante D. Cárlos para dirigir la correspon dencia militar de oficio que ocurra á S. A. R., y comunicar sus ordenes co mo Coronel de la expresada Real Brigada, al Coronel D. Manuel Moxó, Capitán de la misma. Y de orden de S. M. lo participo todo á V. para su inteligencia y cumplimiento en la parte que le toca. Dios guarde á V. muchos años. Palacio 14 de Julio de 1814,. Circular del ministerio de Hacienda. Ha llegado á entender el Rey que con…</t>
  </si>
  <si>
    <t>Moxó, Salvador</t>
  </si>
  <si>
    <t>Salvador Moxó</t>
  </si>
  <si>
    <t>…de aquel Soberano, con lo que concluye el tomo. Se hallará de venta en la librería de Escribano , calle de Carretas: su precio 5 reales. Escuela del recluta de caballería, por el coronel D. Salvador Moxó. Se vende en la librería de Castillo •, frente á las gradas de S. Felipe, á 16 rs. Nota. En algunos exetnplares de la gaceta última del martes 20 del cor riente, pág. 2286, lín. 46 , donde dice pretensión, léase posesión, y donde dice que no se roza-, léase q…</t>
  </si>
  <si>
    <t>Moya, Carlos</t>
  </si>
  <si>
    <t>Carlos Moya</t>
  </si>
  <si>
    <t>…rincipal objeto que fixaba mi atención evitar. Los enemigos no omitieron medio de conseguir alguna ventaja en sn si tuación, pues en la noche del 17 hicieron salida, y atacaron al capitán Don Carlos Moya, comandante de la columna situada en el punto de los Caxones; pero el resaltado fneser rechazados y aun dispersados, tomándoles 16 fusiles, que arrojaron despavoridos, ser muerto el capitán que mandaba el ata* que, llamado Gutiérrez, de gran concepto entre lo…</t>
  </si>
  <si>
    <t>Moya, Diego de Ibarra y</t>
  </si>
  <si>
    <t>Diego de Ibarra y Moya</t>
  </si>
  <si>
    <t>…día 16 del corriente fué admitida á besar la R. M. de S. M. y AA. una diputación de la ciudad de Badajoz, capital de la provincia de Extrema* dura, compuesta de D. Miguel Padilla, D. Diego de Ibarra y Moya, y D. Pedro Perez Pedrero, quienes después de cumplimentar á S. M. y AA. entregaron en sus reales manos la siguiente carta de su ilustre ayuntamiento.</t>
  </si>
  <si>
    <t>Moya, Garlos</t>
  </si>
  <si>
    <t>Garlos Moya</t>
  </si>
  <si>
    <t>…o marchaba en fuga. El 20 mandé salir de Coyucá toda la infantería y caballería que me res taba, á excepción de una corta escolta al mando del capitán del batallón dé Sto. Domingo D. Garlos Moya, para que marchando por Tixtlancingo y Texca se situase en los Tepehuages, punto inmediato al Veladero, por eí rumbo del Ahuacatillo, y en seguida salí yo con la escolta referida para el Egido viejo, dqnde hallé á Avilés. , _ \-b Eí siguiente dia dí^órden i e…</t>
  </si>
  <si>
    <t>Moyano, Temas</t>
  </si>
  <si>
    <t>Temas Moyano</t>
  </si>
  <si>
    <t>…de Ayestarán, Secretario del Rey nuestro Señor , la hice escribir por su mandado. = El Duque del Infantado. = D. Antonio Alvarez de Conrreras. =3 D. Joief Antonio de Larrumbide. = D. Temas Moyano. 3= D. Domingo Fernandez de Campománes. = Registrada, Aquilino Escudero. = Teniente de Canciller mayor, Aquilino Escudero. En atención á los distinguidos méritos y servicios;que ha contraído por el espacio de 25 años el teniente coronel D. Bartolomé Nuñez, co…</t>
  </si>
  <si>
    <t>Moyano, Tomas</t>
  </si>
  <si>
    <t>Tomas Moyano</t>
  </si>
  <si>
    <t>…e presidente, vice-presidente--y uno de sus secretarios, resultaron electos para presidente el Sr. D. Antonio Joaquín Perez, diputado por Nueva- Españ ; pura vice presidente elSr. D. Tomas Moyano, diputado por la provincia de Valladolid, y para secretario al Sr. D. Mariano Mendíoia, diputado por Nueva-España. El conde de Fernan-Nuñez, embaxador de S. M. en la corte de Lon dres. ha participado á la Regencia del Rey no que por decreto del Príncipe R ege…</t>
  </si>
  <si>
    <t>…rancisco de Mier, ex-cafedrático y obispo de Almería , del consejo de S. M.; del limo. Sr. Don Bernardo de Riega , ex-catedrático y del suprimido consejo y cámara de Castilla; del Sr. D. Tomas Moyano, ex-catedrático y del propio consejo; del Sr. D. Manuel María de Junco, ex-catedrático. y alcalde que fué de ca sa y corte; del Sr. D. Vicente Cabero, ex-catedrático y oidor de esta real audiencia; del Sr. D. Gabriel Ugarte, ex-rector, catedrático de cánones…</t>
  </si>
  <si>
    <t>Moyano, Tomás</t>
  </si>
  <si>
    <t>Tomás Moyano</t>
  </si>
  <si>
    <t>…ca,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Corte á D. Ignacio Ma…</t>
  </si>
  <si>
    <t>…a, Urgel, Tarazón a y Bar• • . i-.:-- -¿u" •/ bastro. . Sr. D. Miguel Alfonso Villagomez... Canaria y Ceuta. Sr. D. Juan Antonio Carrillo............. Cuenca) Badajoz y Plasencia. Sr. D. Tomas Moyano......... Córdoba) Valencia, Segorbe y Ori; huela. Sr¿ D. Juan Antonio de Inguanzo.... Burgos y Santander. Sr. D. Benito Arias de Prada.. .......... Cartagena, Segovia y Osma. Sr. D. Gerónimo Diez........................ Coria) Astorga y Cádiz. Sr. D. Nicolás…</t>
  </si>
  <si>
    <t>…nte pió de los corregidores y alcaldes mayores de Real nombramiento. La Junta Central gubernativa del rey no puso este piadoso establecimiento en 21 de Julio de 1809 al .cargo del Sr. D. Tomas Moyano, del consejo de S. M. en el de Castilla, como director único, ó superintendente general, y asi ha seguido hasta que restablecidos ios consejos se halla ya dicha Real</t>
  </si>
  <si>
    <t>102 6 Junta en so antiguo pie, compuesta de! Excmo. Sr. duque del Infantado, presidente del consejo, presidente director; de los Sres. D. Tomas Moyano, del propio consejo, vice- presidente; D. Juan Ignacio Ayestarán, secretario de la cámara de Gracia y Justicia, del estado de Castilla y corona de Ara gón; D................ secretario del Real consejo de las Ordenes; D. Manuel Gamboa, teniente mas antiguo de…</t>
  </si>
  <si>
    <t>Moyaño, Tomas</t>
  </si>
  <si>
    <t>Tomas Moyaño</t>
  </si>
  <si>
    <t>…Juan Ignacio de Ayestarán , Secretario del Rey nues tro Señor , lo hice escribir por su mandado. =:Ei Duque del Infantado.= EfConde del Pin^t. = D. Antonio Alvarez de Contreras.= D. Tomas Moyaño. == D José Antonio de Lárrumbide. = Registrada, Fernando de Iturmendi.= Teniente de Canciller mayor, Fernando de Iturmendi. El Rey se ha servido nombrar para el obispado de Ceuta, vacante por fallecimiento del limo. Sr. D. Fr. Domingo Benaocaz, á D. Andrés Es…</t>
  </si>
  <si>
    <t>…su original. Dada en Madrid á 6 de Setiembre de 1814. = El Duque dtl Infantado. = D. Igna cio Martínez de Villela. = D, Luis Melendez y Bruna. = D. Josef Anto nio de Larrumbide. = D. Tomas Moyano,=Yo D. Bartolomé Muñoz, Se cretario del Rey nuestro Señor, y su Escribano de Cámara, la hice escribir por su mandado con acuerdo de los de su Consejo. = Registrada, Fernando de Iturmendi. = Por el Canciller mayor, Fernando de Iturmendi. Conformándose el Rey n…</t>
  </si>
  <si>
    <t>…en Palacio á 2 de*Octubre de 1814. = YO EL REY.=Yo D011 Juan Ignacio de Ayestarán, Secretario del Rey nuestro Señor, lo hice escri bir por su mandado. = E! Duque del Infantado. = D. Tomas Moyano.=Don Gerónimo Antonio Diez. = D. Andrés Lasauca. = El Conde del Pinar. = Re gistrada, Fernando de Iturmendi. = Teniente de Canciller mayor, Fernan do de Iturmendi. Con fecha de 28 de Junio del presente año se remitieron al teniente de</t>
  </si>
  <si>
    <t>…us funciones, y considerando que toda morosidad en el despacho de los asuntos correspondientes á esta Secretaría seria de grave perjuicio á Vos interesados, he venido en nombrar á D. Tomas Moyano , de mi Consejo Real , para que interinamente se en cargue de su despacho. Tenet reiste entendido , y dispondréis lo necesario á su cumplimiento. = Talado 8 de Noviembre de 1814. = Al Duque de San Carlos.”</t>
  </si>
  <si>
    <t>Moyano.s, Tomas</t>
  </si>
  <si>
    <t>Tomas Moyano.s</t>
  </si>
  <si>
    <t>…o del Rey nuestro Señor, lo hice escribir por su mandado. = El Duque de! I;f ata do. = El Conde del Pinar. = D. Josef Antonio de Larrumbide. =. D. Anto nio Alvarez de Confreras. = D. Tomas Moyano.s: Regbtr.- da , Fernando de Iturmendi. = Teniente de Canciller mayor, Eernando de Iturmendi. El Rey se ha servido nombrar para una canongía de la iglesia catedral de Segovia, vacante por fallecimiento de D. Ignacio García del Castigo, á D. Manuel Martin Mauriz…</t>
  </si>
  <si>
    <t>Mozun, Miguel-Perez</t>
  </si>
  <si>
    <t>Miguel-Perez Mozun</t>
  </si>
  <si>
    <t>…'hery, te : e! del de Voluntarios de Méridániente coronel a2regadoc- al de_ !á Princesa_ f al coronel D. Francisco de Paula Pavía, comandante de tropas ligeras, y el de] de Lena á D. Miguel-Perez Mozun, coronel en comisión del mismo. La Regencia del Reyno se ha servido nombrar para cinco plazas de ma gistrados dé la audiencia’de Quito á D. Migu^Otermin, D. Manuel Galeano, D. Pedro López Seg'ovia, D. Santiago Corbalan y D&gt; Antonio María Izquierdo de la Torre…</t>
  </si>
  <si>
    <t>Mp, Juan Bautista</t>
  </si>
  <si>
    <t>Juan Bautista Mp</t>
  </si>
  <si>
    <t>…las alturas de Bosancour 27 de Febrero. = JBurghersh. ESPAÑA. México %j de Octubre de 1813» El Exento. Sr. conde de Castro- Terreno ha dirigido d esta superioridad el parte que el capitán D. Juan Bautista Mp&gt;ta remitió al teniente coronel D. Josef Qrabriel Armijo , y es como sigue. Piaxtla y Agosto 20 de 1813. „Son las quatro y media de la tarde, hora en que acabo de derrotar completamente al cabecilla Ojeda, que ha tenido la osadía de venir á atacarme en número…</t>
  </si>
  <si>
    <t>Mr</t>
  </si>
  <si>
    <t>…stra «Señora de! Cároien, salida dé e^te^uerto par* el ner&gt; ¡ ' ^ •; t£ de, América. •• ;¡ ' \j' • Varios barquitos de costa. /i Corsarios y noticias de ellos. Goleta la Popí, su .capitán Mr. La porta, can dos cagones giratorios de á 9 y 12,. y ;8o hombres según avisos de Baracoa» &gt; ';r, Otra mas pequeña , cuyo, nombre. $e ignora,: su capitán Mr. Lontine, con 50 hombres , y se ignora también su artillería. } r Otra, la que fue de Zarzuela, cuyo n…</t>
  </si>
  <si>
    <t>…e enemigos han sido muertos, y se han hecho prisioneros IG2 hombres, y poco mas ó menos se ha cogido el mismo numero de caba llos. Treinta de los prisioneros están mal heridos. El capitán Mr. Aiister, que dirigió el ataque, se distinguió mucho personalmente, y nada puede exceder al valor y buena conducta de todo el regimiento. Tengo motivo de estar muy satisfecho de la conducta del mayor de brigada Durnbar. Mi pér dida ha sido muy pequeña: creo q…</t>
  </si>
  <si>
    <t>883</t>
  </si>
  <si>
    <t>883 en la asamblea de Masaschcsset el gobernador Mr. Strong. Et espirita de paz y moderación qce reyna en este discurso ha confirmado á todos en la opinión que tenían del patriotismo é ilustración de Mr. Strong. Después de haber notado los malos efectos que necesariamente debían producir los me dios adoptados…</t>
  </si>
  <si>
    <t>…nuestra esquadra era inferior, la inglesa fue á combatirla, y el éxito del com bate fue el apresamiento de todos los buques enemigos: la esquadra ameri cana estaba mandada por el capitán Mr. Donnough; y el mayor elogio que se puede hacer de este oficial y de sus intrépidos compañeros- es la seme j nza de su triunfo con la victoria que ha inmortalizado á otro oficial, y ha es tablecido en un momento crítico nuestra superioridad en otro de los lag…</t>
  </si>
  <si>
    <t>Mr, Guilielmo y</t>
  </si>
  <si>
    <t>Guilielmo y Mr</t>
  </si>
  <si>
    <t>…que se dirigía en un birlocho á Thoun y al Oberland para visitar este territorio,, que ofrece tantos objetos intere santes y dignos de observarse. Iban en el birlocho con S. M. el príncipe Guilielmo y Mr. Pourtalés. En otro carruage iba el consejero de estado Mr. Humboldt. Acaba de publicarse aqui la siguiente proclamar Kos el presidente y congreso de la ciudad y república de Berna á vo-</t>
  </si>
  <si>
    <t>Mtirillo, Rafael Heredia y</t>
  </si>
  <si>
    <t>Rafael Heredia y Mtirillo</t>
  </si>
  <si>
    <t>…a por el correo á esta corta á D. Manuel Toyos, médico, que vive corredera de S. Pablo, núm. 12 , quarto ba xo, frente á la guardia, según diría el sobre. Quien tuviere noticia de D. Rafael Heredia y Mtirillo, soldado distinguido que fue del regimiento infantería de Africa, de quien nada se ha sabido desde el 19 de Noviembre de 1809, en cuyo dia se halló en la batalla de Ocaña, tendrá la bondad de avisarlo á D. Hilario Zapata, subteniente del regimiento infantería…</t>
  </si>
  <si>
    <t>Mu, Bartolomé</t>
  </si>
  <si>
    <t>Bartolomé Mu</t>
  </si>
  <si>
    <t>…que os corresponda, sin contravenirla, permitir ni dar lugar á que se contravenga en manera alguna: que asi es mi yoluntad; y que al traslado impreso de está mi Cédula, firmado de D. Bartolomé Mu* ñoz de Torres, mi Secretario, Escribano de Cámara mas antiguo, y de Go bierno del mi Consejo, se le dé la misma fe y crédito que á su original. Da da en Madrid á 25 de Julio de 1&amp;4.SYO EL REY. = Yo D. Juan Igna cio de Ayestarán, Secretario del Riey nuestro S…</t>
  </si>
  <si>
    <t>Mu, Ignacio</t>
  </si>
  <si>
    <t>Ignacio Mu</t>
  </si>
  <si>
    <t>…mo tuvieron la honra de presentarse y felicita* al Rey nuestro Señor y á los Sermos. Infantes los comisionados por la villa de Ubrique D. Manuel Ximenez Guazo, D. Francisco Molle, D. Ignacio Mu helena y D. Diego Morejon y Roxas; de los quales el primero dirigió á S. M. el discurso siguiente: ,,Señor: la villa de Ubrique , capital del cantón denominado del cen tro, en la serranía de Ronda , fue uno de los dos primeros pueblos que hi cieron correr por…</t>
  </si>
  <si>
    <t>Mu, Josef María Celas y</t>
  </si>
  <si>
    <t>Josef María Celas y Mu</t>
  </si>
  <si>
    <t>…dirección y gobierno del Real colegio de sordo- mudos, por renuncia que ha hecho de la plaza de secretario de ella D. Francisco de Pau la Martí, ha nombrado para sucederle al Lie. D. Josef María Celas y Mu ñoz, que vive calle del Humilladero, esquina á la del Relox, núm. 4.0, qnarto principal; lo que se avisa al público para que se le dirijan todas las pretensiones y papeles que digan relación con el expresado establecimiento. En «1 concurso de acreedores á los…</t>
  </si>
  <si>
    <t>Mucao</t>
  </si>
  <si>
    <t>…ra de la guardia nacional del departamento del Marne. „E1 general York atacó ayer á Chalons, y después de algún fuego por ambas partes, envió un oficial intimando la rendición. El mariscal Mucao— nald, que mandaba las tropas enemigas en el pueblo, respondió que tratase con los magistrados; pero no habiéndose accedido ¿ esto, convino él mismo en una capitulación , por la qual se concertó la entrega del pueblo y su eva cuación por las tropas francesas,…</t>
  </si>
  <si>
    <t>Mucharan, Manuel</t>
  </si>
  <si>
    <t>Manuel Mucharan</t>
  </si>
  <si>
    <t>…vador Ximenez Coronado, á Don José María Arenas: para el beneficio simple de la parroquia de la villa de Santaeíla , en la propia diócesis de Córdoba, vacante por fallecimiento de D. Manuel Mucharan, á D. Juan Antonio Vázquez Rivero , con dimi ion del que obtiene en la parroquia de ia villa de Tinajas, diócesis de Cuen ca: para el arcedianato titular de la iglesia primada de Teledo, vacante por fallecimiento de D. Matías de Rebles, al Lmo. Sr. obispo de…</t>
  </si>
  <si>
    <t>Mudróneroí, Galo Diez</t>
  </si>
  <si>
    <t>Galo Diez Mudróneroí</t>
  </si>
  <si>
    <t>…r su Real mano y las de los Sres. Infantes una diputación de la villa de Hinojosa del Duque, en la provincia de Extremadura, compuesta de los Sres. D. Antonio Moñino, presbítero;- D. Galo Diez Mudróneroí caballero del hábito de Alcántara, coronel de los Reales exércitos, y gobernador de Vitlanuevade la Serena, y del Lie. D. Liborio Tudela, abogado de los Rea-</t>
  </si>
  <si>
    <t>Mulcaster</t>
  </si>
  <si>
    <t>…ademas de es to el gusto de participar á V. S. que dos morteros, municiones y una gran cantidad de provisiones que el enemigo habia depositado en Ogdensburgo, ios sacó de alli el capitán Mulcaster de la marina, y se desembarcaron en Prescott. „Tengo Ja satisfacción de haber presenciado el zelo y lealtad con que se han portado todas las clases para impedir Ia¿ invasión con que el enemigo sos amenazaba. Tengo el honor de ser &amp;c. = Jorge Prevost.** Idem a…</t>
  </si>
  <si>
    <t>Mulhaud</t>
  </si>
  <si>
    <t>…nido cerca de St. Dizier una acción empeñada con el enemigo, mandado por el mariscal Víctor. Al principio de la acción fueron rechazados, y la caballería fran cesa, mandada por el general Mulhaud tuvo alguna ventaja.; pero habiendo</t>
  </si>
  <si>
    <t>Muñ, Ignaéíó</t>
  </si>
  <si>
    <t>Ignaéíó Muñ</t>
  </si>
  <si>
    <t>…tres ,gravemente..= QuarteJ genyral de Lohuossa 26 de Enero de i8i4.=El gefe de estado mayor Joséfde Agüado.=V".° 13.'"= Pablo Morillo. El brigadier gefe de escuela de artillería D. Ignaéíó Muñ®*vde 8. Clemente al</t>
  </si>
  <si>
    <t>Munarriz, Josef Luis</t>
  </si>
  <si>
    <t>Josef Luis Munarriz</t>
  </si>
  <si>
    <t>…illo, frente á las gradas de San Felipe el Real, y en la de Quiroga, cálle de las Carretas. Lecciones sobre la retórica y Tas bellas letras, por Hugo Blair: las traduxo del ingles D. Josef Luis Munarriz: segunda edición, en quatro tomos eh 8.° prolon gado. Véndese á &lt;58 rs. en pasta en las librerías de Castillo, frente las gradas de S. Felipe el Real, y de Perez, calle de las Carretas. MADRID EN LA IMPRENTA NACIONAL.</t>
  </si>
  <si>
    <t>Muniz, Ramón de</t>
  </si>
  <si>
    <t>Ramón de Muniz</t>
  </si>
  <si>
    <t>…o,, subteniente de id. D. Pedro Cid, id. de id. D. Lorenzo As ease) ¿ teniente coronel del de Ribero. D. Bartolomé Sotelo, capitán de id. D. Joaquín Zarráélná ¿-subteniente de id. D. Ramón de Muniz, sargento mayor ac Oviedo. D. Alberto Rodríguez, capitán de id. D. Fermín Rol dan^ teniente de id. D. José Morrillo, subteniente de id. D. Vicente Castañon, capitán del i.° Cántabro D. Bernardo Alvarez Vega, capitán del idé Laredo. D. &lt;3ábriel González Llanos…</t>
  </si>
  <si>
    <t>Muñoz, Bartolomé</t>
  </si>
  <si>
    <t>Bartolomé Muñoz</t>
  </si>
  <si>
    <t>…Madrid á 6 de Setiembre de 1814. = El Duque dtl Infantado. = D. Igna cio Martínez de Villela. = D, Luis Melendez y Bruna. = D. Josef Anto nio de Larrumbide. = D. Tomas Moyano,=Yo D. Bartolomé Muñoz, Se cretario del Rey nuestro Señor, y su Escribano de Cámara, la hice escribir por su mandado con acuerdo de los de su Consejo. = Registrada, Fernando de Iturmendi. = Por el Canciller mayor, Fernando de Iturmendi. Conformándose el Rey nuestro Señor con lo exp…</t>
  </si>
  <si>
    <t>Muñoz, Bernardo</t>
  </si>
  <si>
    <t>Bernardo Muñoz</t>
  </si>
  <si>
    <t>…, D. José de Espinosa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</si>
  <si>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Muñoz, Cristóbal</t>
  </si>
  <si>
    <t>Cristóbal Muñoz</t>
  </si>
  <si>
    <t>…as veces que lo he visto distinguirse: el de la Victoria D. Juan vivas ha sido mortalmente herido, y es muy acreedor también,á la misma recomendación: el subteniente de la dé Jaén D. Cristóbal Muñoz también ha sido,herido mcrtalmente; se ha portado con la mayor bizarría: el capitán de Ja Legión D. Augusto Barón Quistorp, aunque ha salido sano, es mas obra de su suerte que efecto de in ferioridad en su conducta en este dia; y la de los subalternos D. Joaq…</t>
  </si>
  <si>
    <t>Muñoz, Estanislao Godino y</t>
  </si>
  <si>
    <t>Estanislao Godino y Muñoz</t>
  </si>
  <si>
    <t>…aber si existen D. Antonio Coeneñ y D. Antonio Viguera y Artiaga , ó sus mugeresr hijos ó herederos, á los quales, teniendo que percibir algunos intereses, les dará razón de ellos D. Estanislao Godino y Muñoz, procurador del número de los tribunales superiores de la corte, que vive calle de las Fuentes, nú mero 6, quarto segundo. Discurso sobre los defectos y abusos. notables de la administración de justicia, en cuyo pronto y eficaz remedio se interesa la felicida…</t>
  </si>
  <si>
    <t>Muñoz, José Félix</t>
  </si>
  <si>
    <t>José Félix Muñoz</t>
  </si>
  <si>
    <t>…León* de Huanuco empleos de portaestandarte á D. José Isi dro Baldizan y I&gt;. José Cós. En las compañías sueltas de Santa empleos de capitanes al ayudante Don Ignacio Carrillo y al teniente D. José Félix Muñoz. En el regimiento de milicias disciplinadas de dragones de Lima el em pleo de teniente coronel ai comandante de esquadron D. José Antonio de trrea: esta resulta al coronel conde de Villar de Fuentes, capitán de gra naderos del mismo cuerpo: la compañía de gra…</t>
  </si>
  <si>
    <t>Muñoz, Laureano</t>
  </si>
  <si>
    <t>Laureano Muñoz</t>
  </si>
  <si>
    <t>…nto mayor al capitán graduado de teniente coronel D. Jt sé Rafael Carabeo; capitán de granaderos á D. Angel de Tozo; teniente de granaderos á D. Eduardo Ló pez ; idem de fusileros D. Laureano Muñoz, D. Luis de Castro y D. José Orruyrinez; subteniente de granaderos i D. Juan Nepomuceno Lavalle, y subtenientes de bandera á D. Pedro Benitez y D. Francisco Calderón. En el de infantería de Valdivia sargento mayor á D. Lucas Ambrosio de Molina; capitanes á D.…</t>
  </si>
  <si>
    <t>Muñoz, Manuel María</t>
  </si>
  <si>
    <t>Manuel María Muñoz</t>
  </si>
  <si>
    <t>…lería de Truxillo compañía al teniente D. Fermín Matos: empleo de al férez al cadete D. Francisco Rodríguez Osorio; y de portaestandartes á los cadetes D. Jo.ié María Lizarzaburu* D. Manuel María Muñoz y al soldado distinguido D. José Francisco de Leca. En ei de Luya y Chillaos el empleo de coronel al sargento mayor del propio cuerpo D. Mariano Rodríguez. En el de León* de Huanuco empleos de portaestandarte á D. José Isi dro Baldizan y I&gt;. José Cós. En las…</t>
  </si>
  <si>
    <t>Munster</t>
  </si>
  <si>
    <t>…ura organización de la Ale mania , y establecer de nuevo en ella* su residencia. Acaban de pasar por aqui con dirección á Viena el lord Cliot, el vice secretario ingles Cooke y el conde Munster, ministro dei rey de Inglaterra, por el país de Hasnóver.. Francfort 2 8. de Agosto. Ayer llegó aquí el general austríaco conde de Nogent, y pocos dias an tes habían llegado muchos militares ingleses, entre ellos los generales Mackensie , Hundley y WaJis, de…</t>
  </si>
  <si>
    <t>Munuera, Andrés de</t>
  </si>
  <si>
    <t>Andrés de Munuera</t>
  </si>
  <si>
    <t>…lS" Patricio dé Lotea, que vico por; muerte de D. Joaquín Rotz de Lezaria, y ei que se halla vacante en la parroquial de S. Mateo de ía propia ciudad de Lorca por fallecimiento de D. Andrés de Munuera á j&gt;. Casimiro Mén dez , con dimisión de la. ración &lt;jue obtiene en la iglesia metropolitana de Burgos; y en consideración alrmerito y servicios impomntes á la religión y, al Rey que* hizo D- Antonio Plañeras, cura párroco de S. Nicolás de la ciu dad de Palma…</t>
  </si>
  <si>
    <t>Munuera, Esteban</t>
  </si>
  <si>
    <t>Esteban Munuera</t>
  </si>
  <si>
    <t>…on en la accipn del día 24 los cuerpos de S. Carlos» S Luis y Puebla, los dos primeros á las órdenes del teniente coronel graduado D. Juan Pesquera» y ei tercero al de igual clase D. Esteban Munuera. Toda la caballería de esta plaza se incorporó en las dos columnas con que se persiguió ai enemigo, y \á infantería quedó cubriendo ios puntos de ella el 25 » y á mí se me dio el mando de la infantería de todos los cuerpos que compone el exército del señor br…</t>
  </si>
  <si>
    <t>Murat</t>
  </si>
  <si>
    <t>…abeza del mundo, no será mas la segunda de un imperio extraño, y volverá áser la capital del orbe cristiano.’* £i dia 6 salió el conde de Bellegarde para Bolonia á cumplimentar al príncipe Murat. E mismo conde escribió una carta muy atenta al virey, en la qual le hacia saber que la vireyna estaba en dias de parir, y la convida ba á que permaneciese en Milán, donde reyna la mayor tranquilidad, y en donde per momentos se esperaba á ios aliados. Bolonia…</t>
  </si>
  <si>
    <t>…s estadas. E,n Roma se forman grandes quejas sobre que algunas potencias codician la posesión de los antiguos estados de la Santa Sede situados á jas orillas del Adriático; que el príncipe Murat reclama como indemnizaciones de guerra la marca de Ancona y el ducado dé Urbino; y que el Austria retiene las tres legaciones de Bolonia , Ferrara y la Romanía, con el objeto, al parecer, de reunirías á Ja Venecia, en caso de verse en la precisión de ceder la…</t>
  </si>
  <si>
    <t>Murillo, Juan Manuel de</t>
  </si>
  <si>
    <t>Juan Manuel de Murillo</t>
  </si>
  <si>
    <t>…empo que el numeroso concurso que había acudido de los pueblos cercar nos llenaban el ay re con repetidos vivas y aclamaciones. Llegados á la igle sia, el cura teniente comendador D. Juan Manuel de Murillo, acompañado de otros eclesiásticos, salió con el palio á recibir el retrato de S. M , que colocó en el presbiterio al lado del evangelio baxo un dosel que al intento estaba ya preparado. Hecho esto, se expuso el Santísimo Sacramento, y se cantó una solemne mi…</t>
  </si>
  <si>
    <t>Muros, Gumersindo</t>
  </si>
  <si>
    <t>Gumersindo Muros</t>
  </si>
  <si>
    <t>…^pe i3. D. Santos San Miguel, teniente coronel deí 2.0 de Asturias. D. Jos&amp;M^íía Noroa , sargento mayor de id. D. Diego Quirós, capitán de id. D. Tomas Pastoriza , teniente de id. D. Gumersindo Muros, subteniente de id. D. Benito Llórente, capitán del de Guadalaxara. D. Camilo Marquina, id. de id. D. Juan de Novoa, id. de id. D Francisco Vega, ayudante primero de id. D. José Guerra, subteniente de id. D. Eduardo Jdosqjuera, capitán de, fragata. Dora</t>
  </si>
  <si>
    <t>Murray</t>
  </si>
  <si>
    <t>…nel Ricard, del estado mayor de su exército, con el fia de tratar de un convenio para una suspensión de hostilidades con el exército de su inmediato mando; y \o en cargué al mayor general Murray y al mariscal de campo Wimpífen convi niesen con este oficial en los mismos artículos que antes sé habi.n estableci do con el conde de Gazan respecto del exército del mariscal Suchet. Nin gún acontecimiento militar de importancia ha ocurrido por esta parte de…</t>
  </si>
  <si>
    <t>Muxica, Martin</t>
  </si>
  <si>
    <t>Martin Muxica</t>
  </si>
  <si>
    <t>…o Navarrere, diputado por Puira; D. Juan Antonio Andueza, diputado por Chachapoyas; D. Tadeo Gárate, goberna dor, electo intendente de la provincia de Puno, diputado por la misma; D. Martin Muxica, diputado por Guamanga; D. Mariano Rivero, diputa do por Arequipa; D. José Joaquín de Olmedo, D. Vicente Rocafuerte, diputados por Guayaquil, y D. Pablo González, diputado por Tarma; de los quales el primero dixo : ,, Señor: ios que logramos el alto honor de…</t>
  </si>
  <si>
    <t>Muxica, Martin José de</t>
  </si>
  <si>
    <t>Martin José de Muxica</t>
  </si>
  <si>
    <t>…sidente ei Sr. D, Antonio Joaquín Perez, diputado por la Puebla de los Angeles; para vice-presidente el Sr. D. Domingo de Campománes, diputado por As turias , y para secretario el Sr. D. Martin José de Muxica. La Regen- ia del Rsyno se h¿i servido expedir los decretos siguientes: D. Fernando vn, por !a gracia de Dios y por la ConstitucioA de la mo narquía española, rey de las Españas, y en su ausencia y cautividad la Regencia del Reyno nombrada por las Cortes gene…</t>
  </si>
  <si>
    <t>Muzquiz, Martin Xavier de</t>
  </si>
  <si>
    <t>Martin Xavier de Muzquiz</t>
  </si>
  <si>
    <t>…Francisco Fulgosio. Igualmente se ha servido nombrar S. M. par-a la regencia del consejo djs Navarra á D. Juan Garrido López: para una plaza de oidor nacional del rtirmo consejo á D. Martin Xavier de Muzquiz : para otra también nacio nal á D. Juan Miguel de Echevarría: para otra de oidor no nacional á Don Ramón Macia de Lleopart: para otra á D. Santiago Suso y Anda: para una de alcalde nacional á D. Fermín Sanz y López: para otra á D. Manuel Arbizu: para otra á D…</t>
  </si>
  <si>
    <t>Muzquiz, Pedro</t>
  </si>
  <si>
    <t>Pedro Muzquiz</t>
  </si>
  <si>
    <t>…S. Rafael, su capitán D. Antonio Pomar, procedente de Ma llorca, Cumaná, Puerto'Cabello y Curazao, tocando á la vista de este puerto. '• * • V = . v • &lt; .• • &lt; Fragata Dolores, su capitán D. Pedro Muzquiz, procedente de Cádiz, sobre cabo Maysí» Fragata S. Luqueña, su capitán D. Pedro Heros, procedente de Cádiz, sobre ídem, yen su carga traía sables y fornituras’para los de buena causa. . Del trafico de esta provincia. . : , Goleta el Tigre, perteneciente á D;…</t>
  </si>
  <si>
    <t>Muzquiz, Rafael</t>
  </si>
  <si>
    <t>Rafael Muzquiz</t>
  </si>
  <si>
    <t>138</t>
  </si>
  <si>
    <t>…dado sobre abolición del tribunat de inquisición, y publicación en las parroquias del manifiesto que habían formado sobre este objeto, se circularon al M. R. arzobispo de Santiago Don Rafael Muzquiz para que dispusiese su cumplimiento en las iglesias de su ar zobispado; cuyo recibo aviso en 26 de Marzo de 1813, diciendo haber los pasado á su cabildo , á quien igualmente se dirigían ; y que siendo las materias que en ello se trataban trascendentales á la…</t>
  </si>
  <si>
    <t>Muzquiz, Rafael de</t>
  </si>
  <si>
    <t>Rafael de Muzquiz</t>
  </si>
  <si>
    <t>…anifestado á la nación el extrañamiento del individúo inobediente.’’ En cumplimiento de esta soberana resolución, y Constando en el expediente que en el M R. arzobispo de Santiago D. Rafael de Muzquiz concurren las circunstancias que prefixaron las Cortes, se ha servido resolver la Regencia del Reyno que se le haya por extrañado del reyno, y que se comuniquen las órdenes correspondientes para la ocupación de temporalida des, que es consiguiente, manifestán…</t>
  </si>
  <si>
    <t>M’Kenzié</t>
  </si>
  <si>
    <t>…éres, con el fin de estar pronto lá operar en ¡el ataque que te dispuso para'ayer. • .■&lt;: :i '• En Gapelle quedó de reserva la división del rtiayoi .general Gpoké , y la del mayor general M’Kenzié marchó por Ekeren y Done á Merxem, sin tocar en los caminos que ocupaban los prusianos. Mientras qiie'estos se ha llaban bastante empeñados en un combate á la Izquierda, la brigada del co ronel M’Leod mandada por él inferno, y dirigida por el-mayor ^general K…</t>
  </si>
  <si>
    <t>M’Leod</t>
  </si>
  <si>
    <t>…el 78.°, diri gida por el coronel Lindsay * decidieron la acción mucho antes de lo que se esperaba , y camínenos pérdida- que se creía considerando lo fuerte de la po sición , El coronel M’Leod salió gravemente herido en un brazo al tiempo de acometer; pero siguió mandando la brigada hasta que cayó desmayado por</t>
  </si>
  <si>
    <t>N, Diego Gires</t>
  </si>
  <si>
    <t>Diego Gires N</t>
  </si>
  <si>
    <t>…ciudad, y una inscripción alusiva á la virtud y ai mérito, que, como norte fixo, debería guiar á los discípulos de tan en vidiable escuela. Los que 'obtuvieron este premio fueron D. Diego Gires N iéto, D. Fructuoso' de Castro, D. José Aiatienzo, D. Vicente Aguado, D. Antonio Rodrigufez y D. Severiano García.' Los deinas discípulos fueron obiéqiítedo^'cop libros, cortaplumas y otros agasajos, por haberles conside rado a téáos dignos de prertiio; Por úl…</t>
  </si>
  <si>
    <t>Na, Carlos</t>
  </si>
  <si>
    <t>Carlos Na</t>
  </si>
  <si>
    <t>…balleros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t>
  </si>
  <si>
    <t>Nafarrondo, Fermín María de Uria</t>
  </si>
  <si>
    <t>Fermín María de Uria Nafarrondo</t>
  </si>
  <si>
    <t>…que de Ilijais directorioD. Francisco Lopefc de1 Olavarrieta, subdirector; D. José,Martínez r de San Martin, censor Antonio Osterez yNario, secretario; D. Antonio Regas, contador; D. Fermín María de Uria Nafarrondo, tesorero; D. Anr tonio Sandalio Arias, archivero; D. Tiburcio Hernández, bibliotecario . ; r • . • , ■» ' ■ j ‘ • ■ &gt; • f * * En la villa de Chozas de Canales, distante ocho leguas de esta corte y quatró de Toledo, se halla vacante la plaza de maestro de niñ…</t>
  </si>
  <si>
    <t>Nágales, Francisco</t>
  </si>
  <si>
    <t>Francisco Nágales</t>
  </si>
  <si>
    <t>…comprar alguna ide las lincas ó bienes que posee, ftodránacudir en Plasetieia a los tesorero , lectora! y doctoral, dignidades de aquella santa iglesia; en el partido de TruxíHo á D. Francisco Nágales, ma* yordomo del expresado cabildo4; éri el de Medéllin á D. Fructuoso Reta mar, y en Bejar á D. Andrés Ocaña; todos los quales están legítimamente habilitados para dar todas las instrucciones y noticias que puedan desear los compradores, á fin dé efectuar lo…</t>
  </si>
  <si>
    <t>Naguelpanc, Juan</t>
  </si>
  <si>
    <t>Juan Naguelpanc</t>
  </si>
  <si>
    <t>…cura, que se titula D. José, quiere decir tejo de oroj D. Agustín Lincopichum, perdiz encopetada $ D. Pascual Antinaguel, tigre del sol; I&gt;. Manuel Ren gueantes, refiexos del sois D. Juan Naguelpanc, tigre y león; D. JoséNeculneri, carrera de zorra. Participo á V. S. esta importantísima ocur rencia para su satisfacción, y que el Exemo. Sr. virey cuente con la inalte rable fidelidad de la numerosa y valiente nación araucana. ,, Dios guarde á V. E. muchos…</t>
  </si>
  <si>
    <t>Napoleón</t>
  </si>
  <si>
    <t>…se dirigían á otra cosa que á representar á los estados confederados como vasallos de Francia, y á sus Príncipes en la necesidad de hacer, baxo pena capital, todo quanto S. M. el emperador Napoleón juzgase á proposito exigir de ellos. A pesar del so bresalto que la declaración de semejantes principios debía necesariamente pro ducir, la Baviera se resolvió, como si no tuviese ningún punto legítimo pa ra defenderse, á reunir 8o® hombres de sus tropas al e…</t>
  </si>
  <si>
    <t>…ra hacer guerra á la Francia por ambición ó por ideas de engrandecimiento, sino para asegurar la independencia de la Alemania y de los estados de que se compone, y para obligar al emperador Napoleón á firmar un tratado honorífico de paz. S. M. no podia desechar semejante propuesta sin ofender á sus vasallos, y sin desconocer los sagrados principios en que únicamente se puede fun dar su felicidad. Confiando enteramente en esfuerzos tan francos y genero so…</t>
  </si>
  <si>
    <t>…por espacio de dos años ha sido testigo de la muerte de 600© hombres, replica fríamente que la posteridad conocerá que las presentes circunstancias no le han abati do. Asi que, el emperador Napoleón no desea la paz; pero siendo contra rio el anhelo de la Europa, debe prepararse á obtener la paz con las armas. Esperemos, sin embargo , que el deseo de los franceses se identiñque con el de la Europa. Idem 25. Anteayer hubo una junta general y extraordinaria…</t>
  </si>
  <si>
    <t>…iciembre habian llegado 50 artilleros, y se decía que varios ba tallones habian salido de Tflrin para reforzar la guarnición de Ginebra; y que ei general Founier recibió orden de! emperador Napoleón para de fender aquel importantísimo punto hasta el ultimo trance.__i Se halló en e&lt;-ta fortaleza un parque de artillería de 117 cañones, de los quales 19 son de hierro,-y 30 piezas de campaña francesas. ¡__El conde de Bubna no per dió tiempo en destacar parti…</t>
  </si>
  <si>
    <t>…Réggio, y ha avanzado hacía Lussigny, pasando el Barse. El ge neral Duhesme ha tomad© posición en Momierarnery cerca de Vandocuvré. 4 ■ • El conde Flauhaut, ayudante de campo del emperador Napoleón; el conde Dúcea &gt; ayudante-del imperador de Austria; el conde SchouwaloíF, v ' ay udante del emperador de Riísía^ y el general Rauch , gefe del cuerpo de Ingenieros de! rey de Prusia , sé hán juntado en Lussigny para tratar de las * condiciones de un a-Suspen…</t>
  </si>
  <si>
    <t>…espués de su destronamiento decretada por el Senado, sea nulo y de ningún valor. Rúan 8 de Abril. &gt;1 Décimaquinta división militar.__ Orden del día. i - . . . « . j ■ Soldados: el emperador Napoleón ha abdicado el trono imperial; y el Senado ha adoptado una constitución que afianza la libertad civil, y asegura los derechos del monarca. Luis Estanislao Xavier, hermano de Luis xvi, es llamado al trono de Francia por voz de toda la nación, y el exército ha…</t>
  </si>
  <si>
    <t>…l primer cantón, y ei burgomaestre de Zu.rich temporal será presidente de la dieta. París 12 de Abril. ABDICACION DE BONAPARTE. ,, Habiendo proclamado las potencias aliadas que el emperador Napoleón era ti único obstáculo para el restablecimiento de la paz en la Europa, el emperador Napoleón, fiel á su juramento, declara que renuncia por sí y sus herederos á los tronos de Franca é Italia; y que nó hay sacrificio, aun el de la vida, que no esté pronto á h…</t>
  </si>
  <si>
    <t>Narbone</t>
  </si>
  <si>
    <t>…para volver á sus casas con la condición de no servir contra la Francia durante un año entero. La guarnición de aqueila plaza está mal provista , y los sol dados descontentos. El general Narbone , gobernador de Torgau , lia muerto. El general Dut-aillis , que le sucede en. el mando , y otros tres generales están grave mente enfermos de la fiebre contagiosa que reyna en el pueblo, y que dia riamente se lleva gran número de víctimas. El mariscal St. Cy…</t>
  </si>
  <si>
    <t>Nareno, Antonio de</t>
  </si>
  <si>
    <t>Antonio de Nareno</t>
  </si>
  <si>
    <t>1004</t>
  </si>
  <si>
    <t>…egan hasta el ^ del mes anterior. Según ellas el gobierno ha recibido un parte oficial del gobernador de Popayan, participando que el exércitó insur gente del Mediodía mandado por D. Antonio de Nareno se ha visto en la necesidad de capitular después de haber sido completamente derrotado con pé¡dida de toda su artillería, banderas &amp;c., y hecho prisionero Nareno con su estado mayor. Destruidas asi las fuerzas disponibles de esta ciudad, ha tenido que abrir s…</t>
  </si>
  <si>
    <t>Nario, Antonio Osteret y</t>
  </si>
  <si>
    <t>Antonio Osteret y Nario</t>
  </si>
  <si>
    <t>…n Sojo, que servia el empleo de secretario, no puede continuar desempe ñándole á causa de su nuevo destino de juez letrado de partido, ha tenido á bien nombrar por su secretario á D. Antonio Osteret y Nario, que vive calle'de las Fuentes, núm. 2, quarto segundo, lo que se anuncia ai publico para su inteligencia. __________________ ARTICULO DE OFICIO. En el batallón de infantería de Castilla fixo de Campeche se ha servido la Regencia del Reyno conferir los empleo…</t>
  </si>
  <si>
    <t>Narischkin</t>
  </si>
  <si>
    <t>…o las’fortificaciones de Doésburgo y Zutphen. El general Winzingerode ha enviado al Príncipe de la Corona las llave* de la ciudad de Utrech,' que ha sido tomada por las tropas del-coronel Narischkin. El Príncipe Real las envip-al Emperador Alexandro. El ¡conde StrogonoíF está encargado desbloqueo de Harburgo. - Habiéndose acercado á Stecknitz el exérGÍto sueco con el cuerpo deLutzow, ocupó los-puntos de las bocas del rio hasta las inmediaciones de Buchef…</t>
  </si>
  <si>
    <t>…erales Bulow y Graham, obligó al ene migo á retirarse. Dicho general se ha portado en esta ocasión como siempre, esto es, con el valor y presencia de ánimo que le caracterizan. El coronel Narischkin hizo una expedición á la orilla izquierda del Rhin, y cogió al coronel del 2° regimiento de cazadores, á un oficial subalterno y á algunos soldados. Parte del exército del general en gefe conde Bennigsen reemplazó al cuerpo del teniente general conde Woronzot…</t>
  </si>
  <si>
    <t>Narishkin</t>
  </si>
  <si>
    <t>…yo bordo habia 50 hom bres entre empleados de aduana y soldados. El mayor Elswangen se ha apoderado de Zwoll, haciendo prisioneros dos oficiales y siete gendarmas. Los cosacos del coronel Narishkin han tomado el pueblo de Campea, y hecho prisioneros un coronel, cinco oficiales, 25 gendarmas y 80 solda dos de infantería. Las tropas del general Winzingerode han tomado á Groninga, donde quedaron prisioneros un coronel, 38 oficiales y 800 soldados. Se han p…</t>
  </si>
  <si>
    <t>Nariskin</t>
  </si>
  <si>
    <t>7° Hoy 2$ llego á esta ciudad el capitán ruso barón de Zuriel, ayudante del príncipe Nariskin, general de la vanguardia rusa. Viene del quartel ge neral de Paiten, cerca de Amersfort, y ha traído la noticia de que allí dexó un cuerpo de caballería, infantería.y artillería que venia avanzando por el camino de Amersfort. Nuestros comisarios escribieron…</t>
  </si>
  <si>
    <t>…as eti'io© hombres, entre ellas 4 65© caballos, y una cantidad considerable de artillería. Por carta de un oficial de una partida residente en Moráis, escrita ayer, se sabe que el general Nariskin del cuerpo del general Winzingerode ocu pa á Epernay, y ha extendido algunas patrullas hasta Dormans. La misma carta dice que se esperaba en Rheims aquel dia ó el siguiente el cuerpo del general Woronzoflf, y que también se creía que estuviese cerca el genera…</t>
  </si>
  <si>
    <t>Nas-Ji, Antonio</t>
  </si>
  <si>
    <t>Antonio Nas-Ji</t>
  </si>
  <si>
    <t>…ido la parte pecuniaria del premio Doña Tomasa Bonet, Doña Joaquina Merita, Doña Visitación Cebrian y Doña María Desamparados Artaiejo. Concluida la repartición, el joven premiado D. Antonio Nas-Ji recitó una oda, dando gracias á nombre de todos sus compañeros, y D ñ* Tomasa Bonet dixo otra á nombre de las niñas. Continuó el P. Rafael del Angel Custodio, rector de las escuelas pías, leyendo unos endecasílabos, felicitan do á la sociedad por verse nuevam…</t>
  </si>
  <si>
    <t>Naudin, Tomas</t>
  </si>
  <si>
    <t>Tomas Naudin</t>
  </si>
  <si>
    <t>…drano: al acercarse á la. ciudad salieron á recibirle el Excmo. Sr. capitán general, el comandante de la plaza, el muy ilustre cabildo eclesiástico, representado por los canónigos D. Tomas Naudin, D. José Soto y D. Juan Bautista Perez Caballero, y la comisión de los caballeros maestrantes. Este ayuntamiento constitucional tuvo la complacencia de felicitar á S. A. al llegar á la puerta de S. Vicente, pronunciando el alcalde primero Dr. D. Tomas Ausina…</t>
  </si>
  <si>
    <t>Nav, Martin Fernandez de</t>
  </si>
  <si>
    <t>Martin Fernandez de Nav</t>
  </si>
  <si>
    <t>…sta, calle del Príncipe. Discurso histórico sobre íqs progresas que ha tenido en España el arte de na vegar , leído en la Real academia de la Historia en 10 de Octubre de 1800 por D. Martin Fernandez de Nav rete, é impreso en el año de 1802. En este discur so se manifiesta, aunque sucii emente, la mucha parte que los españoles tuvieron en los adelantamientos de la náutica, y en el descubrimiento ó aplicación de la brúxula para la navegación; en el uso de la arti…</t>
  </si>
  <si>
    <t>Navamiel, Pedro González</t>
  </si>
  <si>
    <t>Pedro González Navamiel</t>
  </si>
  <si>
    <t>…er razón de él; y habiendo que comunicarle noticies que le interesan, se sup’ica á los señores gefes militares ó qualesquiera otras per sonas que sepan so paradero lo comuniquen á D. Pedro González Navamiel, cura párroco del citado lugar de Lantireno. Los sub» ritores á la geografía universal descriptiva, histórica, industrial y comercial de Guillermo Guthríe, traducida en castellano, podrán acudir á la li brería de Gómez, calle.de las Carretas, á recoger los to…</t>
  </si>
  <si>
    <t>Navamuel, Remigio</t>
  </si>
  <si>
    <t>Remigio Navamuel</t>
  </si>
  <si>
    <t>…cante per muerte de D. José de las Casas Maán, á D. Bernardo Martí nez, c nónigo de la de Orense ; para una canongía de la iglesia catedral de Oviedo, vacante por fallecimiento de D. Remigio Navamuel, á D. Joaquín M&lt;: rtin Renayas \ y para una capellanía de la Real carilla de Sres. Reyes nuevos de Toledo, vacante por muerte de D. Pedro Ximenez, a i). Manuel Antonio Acacio, cura de la iglesia parroquial de Yepes. Habiendo hecho á S. M. la vi la de Hinojcsa…</t>
  </si>
  <si>
    <t>Navarrere, Antonio</t>
  </si>
  <si>
    <t>Antonio Navarrere</t>
  </si>
  <si>
    <t>…o Inca Yupanqui, diputados por Lima; D. Gregorio Guinea, deán de la Sta. iglesia deTruxiiio; D. Agustín Fernandez de Córdoba, D. José Miguel del Castillo, dipu tados por Truxillo; D. Antonio Navarrere, diputado por Puira; D. Juan Antonio Andueza, diputado por Chachapoyas; D. Tadeo Gárate, goberna dor, electo intendente de la provincia de Puno, diputado por la misma; D. Martin Muxica, diputado por Guamanga; D. Mariano Rivero, diputa do por Arequipa; D. José…</t>
  </si>
  <si>
    <t>Navarrete, Fausto Antonio Saenz de</t>
  </si>
  <si>
    <t>Fausto Antonio Saenz de Navarrete</t>
  </si>
  <si>
    <t>…l dia 20 de este mes. D. Angel de la Cuesta, vecino de México, solicita saber quienes, son los here deros de D. Bonifacio Angulo, que murió en Veracruz en el mes de Junio de 1802. D. Fausto Antonio Saenz de Navarrete, vecino de la villa del Ciego, provin cia de Alava, solicita saber el paradero de Antonio y Bernardo García, hermanos, naturales de Galicia, en el obispado de Lugo, ó de sus herederos en caso de falle cimiento de ellos, para entregarles cierta cantidad de din…</t>
  </si>
  <si>
    <t>Navarrete, Julián Fernandez</t>
  </si>
  <si>
    <t>Julián Fernandez Navarrete</t>
  </si>
  <si>
    <t>…ndréis se imprima , psu büque y circule, — L. de Bomban, ca-rdenal de Sea la» arzobispo ds Toledo, presidente. = Pedro de Agar.—Gabriel Ciscar.zzEn Madrid á 21 de Marzo de 1814.=A D. Julián Fernandez Navarrete. * • - - • - •' .Tí. » * D. Fernando vil, por la gracia de Dios y por la Constitución de la mo narquía española , rey de las Éspañas, y en su ausencia y cautividad la Regencia del Reyno nombrada por las Cortes generales y extraordinarias, á todos los que las…</t>
  </si>
  <si>
    <t>Navarrete, Julián Fernandez de</t>
  </si>
  <si>
    <t>Julián Fernandez de Navarrete</t>
  </si>
  <si>
    <t>…y dispon dréis que se imprima, publique y circule.= Ausenté el señor presidente coit permiso de las Cortes. = Pedro de Agar. —Gabriel Ciscar. — En Palacio á 2 dé Abril de 1814.= A D. Julián Fernandez de Navarrete. La Regencia del Reyno ha sabido con particular satisfacción que el día 11 del corriente , entre cinco y seis dé la tarde, habian llegado á la ciudad de Baroca S. M. y el Sermo. Sr. Infante D. Carlos con la mas complefa sa lud, habiendo sido recibidos por aqu…</t>
  </si>
  <si>
    <t>…o, y dispondréis se imprima, pu blique y circule. = Ausente el,señor presidente por decreto de las Cortes. = Pedro de Agar.— Gabriel Ciscar. —HLn Madrid á 2 de Abril de 1814. == A Don Julián Fernandez de Navarrete.” Por los partes que con fecha de ;20, 21 y 22 del corriente han dirigido el secretario interino de Estado y el gefe político de la provincia de Va lencia ha sabido la Regencia con particular satisfacción que S. M. y AA. continuaban en aquella ciudad con la m…</t>
  </si>
  <si>
    <t>…ido para su cumplimiento, y dispondréis se imprima, publique y circule. =:Ausente el señor presidente. = Pedro de Agar. ^Gabriel Oscar. Da do en Ma drid á 16 de Abril de 1814. = A D. Julián Fernandez de Navarrete.” 1 Por los oficios que ha recibido la Regencia del Reyno del1 secretario in terino del despacho de Estado y del gefe politico .de Valencia ha sabido S. A. que aunque en el dia 25 del corriente guardó cama S. M. y había te nido alivio en la indisposición que…</t>
  </si>
  <si>
    <t>…tendido para su cum plimiento, y dispondréis se imprima, publique y circule. = Ausente ei señor presidente. = Pedro de Agar.—Gabriel Ciscar.•szEn Madrid á 26 de Abril de 1814. = A D. Julián Fernandez de Navarrete.” Por los partes que con fecha de 2 y 3 del corriente han dirigido el se cretario interino de Estado y el gefe político de Ja provincia de Valencia ha sabido la Regencia con la mayor satisfacción que S. M. se halla comple tamente restablecido, habiendo salido…</t>
  </si>
  <si>
    <t>Navarrete, Martin Fernandez de</t>
  </si>
  <si>
    <t>Martin Fernandez de Navarrete</t>
  </si>
  <si>
    <t>…ítica con la aplicación de las ciencias exactas y naturales, y con las observaciones de las'sociedades patrióticas, leído en la Real sociedad matritense en 29 de Enero de 1791 por D. Martin Fernandez de Navarrete, é impreso en aquel año por acuerdo de la misma sociedad. Véndense ambos discursos, cada uno á 4 rs., en la librería de Castillo, frente á las gradas de S. Felipe el Real. EN LA IMPRENTA REAL.</t>
  </si>
  <si>
    <t>Navarro, Antonio Ibar</t>
  </si>
  <si>
    <t>Antonio Ibar Navarro</t>
  </si>
  <si>
    <t>…edifica con las virtudes heroyeas de que nos da tan grandes exemplos,” i . ' El día 13 del mismo los Sres. D. Isidoro Lainz de Alfaro, prebendado de la santa iglesia de México, y D. Antonio Ibar Navarro, tuvieron el ho nor de cumplimentar á S. M. y AA. en nombre de la ciudad y cabildo ecle siástico de Arnedo; pronunciando el primero el discurso siguiente: ,, Señor: la ciudad y cabildo eclesiástico de Arnedo tienen el honor de besar la mano á V. M., y de verl…</t>
  </si>
  <si>
    <t>Navarro, Francisco Mina y</t>
  </si>
  <si>
    <t>Francisco Mina y Navarro</t>
  </si>
  <si>
    <t>2200 Habiendo hecho D. Francisco Mina y Navarro, presbítero , beneficia do de la parroquial de Novelda, en el rey no de Valencia, el donativo de 3861 reales vellón que se le adeudan de un caballo que presentó en Elche en 1809, y de cantidades que tiene anticipadas, se ha servido S. M. admi tir el expresado…</t>
  </si>
  <si>
    <t>Navarro, Leandro Vicente Alvarez</t>
  </si>
  <si>
    <t>Leandro Vicente Alvarez Navarro</t>
  </si>
  <si>
    <t>2020 na, diócesis de Caeíica, vacante por muerte de D. Felipe Monto» y Ro mero, á D. Leandro Vicente Alvarez Navarro: para el arcedian?ito de San ta Gema, dignidad de la iglesia catedral de Pamplona, vacante por pro moción de D. Pedro Ramírez de la Piscina al obispado de Ciudad Rodri go, á D. Pedro Ignacio Garbiso: para una capellanía de Sres. Reyes nue vos de Toledo, vacan…</t>
  </si>
  <si>
    <t>Navia, Copons y</t>
  </si>
  <si>
    <t>Copons y Navia</t>
  </si>
  <si>
    <t>…r á su amada ciudad libre de enemigo?»: enhorabuena que dan las provincias á nuestro Soberano, y sacrificios que han h-cho por rescatarle: oda al Rey nuestro Señor y al Excmo. Sr. general Copons y Navia: letrilla del Dos de Mayo á los inmortales Daoiz y Velarde; y otras varias letrillas antiguas y modernas* “ EN LA IMPRENTA REA¿</t>
  </si>
  <si>
    <t>Navia, Francisco Copons y</t>
  </si>
  <si>
    <t>Francisco Copons y Navia</t>
  </si>
  <si>
    <t>…an decretado lo siguiente: ,,Las Cortes, después de haber oído con el mayor júbilo el aviso que con fecha 4 del corriente da á la Regencia del reyno el general del primer exército D. Francisco Copons y Navia de la aproximación á las fronteras de Cataluña del Rey de las Españas eílSr. D. Fernando vn, han decretado que se hagan rogativas en 'todas las iglesias de la monarquía por la feliz lle gada á esta corte de nuestro católico Monarca, y por el buen éxito de su…</t>
  </si>
  <si>
    <t>Navia, Francisco de Copons y</t>
  </si>
  <si>
    <t>Francisco de Copons y Navia</t>
  </si>
  <si>
    <t>…iene su posada en la calle de la Gaya baxa, núm. .27, quarto segundo. . r ARTICULO DE OFICIO* En consideración al particular mérito y distinguidos servicios del maris cal de campo D. Francisco de Copons y Navia, y singularmente á los que ha contraído y está contrayendo en el mando en gefe del primer exér i to de operaciones que le está confiado, se ha servido la Regencia del reyno promoverle á teniente general de los exércitos nacionales. El día i.° de Febrero próxi…</t>
  </si>
  <si>
    <t>Num. 32. [ 2 quartos. ] 239 SRBBSS GACETA EXTRAORDINARIA DE LA REGENCIA DE LAS ESP ANAS DEL MIERCOLES 9 DE MARZO DE 1814. ARTICULO DE OFICIO El teniente general D. Francisco de Copons y Navia, general en gefe del primer exército, ha dirigido al Sr. se cretario de Estado y del despacho de la Guerra por extraor dinario el oficio siguiente: ,, Excmo. Sr.: he recibido por distintos conductos la no ticia de haber pasado por Tolosa nuestro Rey el Sr. D.…</t>
  </si>
  <si>
    <t>Navia, Francisco de Gopons y</t>
  </si>
  <si>
    <t>Francisco de Gopons y Navia</t>
  </si>
  <si>
    <t>…r en el campo de Marte de esta ciudad se celebró la grande función militar, en que el señor barón de Eróles, segundo comandante general' de Cataluña, puso al señor general en gefe D. Francisco de Gopons y Navia la grart cruz de la orden militar de Sv Fernando pür la gloriosa defensa de Tarifa, obligando al enemigo á levantar el sitio. A las 11 de la mañana estaban formados en dos líneas los batallones del General., Ultorda y Palma; las compañías de granaderos de Sor…</t>
  </si>
  <si>
    <t>Náxera, Diego Tricio y</t>
  </si>
  <si>
    <t>Diego Tricio y Náxera</t>
  </si>
  <si>
    <t>…etropolitana de Sevilla, vacantes por fallecimiento de D. Ra fael Ancón Encina, á D. Bernardo Osorio y Moscoso: para la canongía va cante en la catedral de Calahorra por muerte de D. Diego Tricio y Náxera, á D. Jo^é Mariano Andux, racionero de la iglesia colegial de Daroca, penitenciario del Real hospital general de esta corte, y cura castrense: para una racioa de la Iglesia catedral de Córdoba, vacante por muerte de Don</t>
  </si>
  <si>
    <t>Nazal, Marcial</t>
  </si>
  <si>
    <t>Marcial Nazal</t>
  </si>
  <si>
    <t>…tuto diputación de la ciudad y cabildos eclesiásticos de la ciudad de Náxera/compuesta de los señores el ba rón de Maabe, primero de las dos Castillas; D. Pedro López y Blanco, y D. Marcial Nazal; el primero de los quales dixo: „ Señor: la M. N. y M. L. ciudad de Náxera y sus tres cabildos eclesiásticos de la real capilla de Sta. Cruz, S. Jayme y S«Miguel, tienen el honor de manifestar á vuestros reales pies su júbilo por el feliz regreso de V. M., el…</t>
  </si>
  <si>
    <t>Nbriega, José Escolar y</t>
  </si>
  <si>
    <t>José Escolar y Nbriega</t>
  </si>
  <si>
    <t>…ivilles.1 En; Ciudad-Real.i*.".:..... D. Mateo‘Casaó yRomero. ' ¡En Córdoba...... .......D. Rafael de Mofatis. En la Coruña....... D. Felipe Elorz. En Cuencal..................... D. José Escolar y Nbriega. En Canarias.................... D. Francisco María de Herrera* En Gfañada..;.'..?.^... ... D. Francisco Eseovar* ; r ■En Guadataxar#. ^ D.JoaqujnBeladies. En Guipúzcoa y. Vitoria C I&gt;. Francisco Arríeta., ¡; En Jaén......................... D. José Arroyo y…</t>
  </si>
  <si>
    <t>Ncdar, José</t>
  </si>
  <si>
    <t>José Ncdar</t>
  </si>
  <si>
    <t>…ntos Gon zález 25: el capitán D. Francisco Valdes de Velasco 10: D. Manuel Ages ta y Otamendi 40: D. Diego Ovanguren 12 : D. Juan Baptista Echegaray,, administrador de tabacos, 6: D. José Ncdar 12: D. Santiago Chaves y Villota 6: D. Tomas Castillo 6; y D. José Antonio Salamanca, cura vi cario de Puquina, 12. Total 1126 pesos. Real cédula de S. M. y señores del Consejo, por la qual se sinre aprobar el re glamento propuesto y formadlo para el reintegr…</t>
  </si>
  <si>
    <t>Negro, Lucas Gómez</t>
  </si>
  <si>
    <t>Lucas Gómez Negro</t>
  </si>
  <si>
    <t>…:é Rafael de Sebastian. Asimismo lia nombrado para magistrados de la audiencia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 ia iglesia catedral de Guadalaxara á O. José Manuel Sanmartín;…</t>
  </si>
  <si>
    <t>Negron, Teodoro</t>
  </si>
  <si>
    <t>Teodoro Negron</t>
  </si>
  <si>
    <t>…antería de Valdivia, vireynató del Perú, retiro con agregación á aquella plaza al sargento mayor graduado de coronel D Ventura Garba ¡lo, y á los capitanes D. Dionisio Rementeria, D. Teodoro Negron y D. Juan de Dios Brito: en el de infantería voiun-^ tarios de Montevideo grado de teniente coronel, y retiro con el u o de uni forme de retirado y goce de fuero militar, al capitán D. Juan Fernandez: en el regimiento infantería Real de Lima agregación en clase de capitán á D. Maria…</t>
  </si>
  <si>
    <t>Nesselrode</t>
  </si>
  <si>
    <t>…k, Francfort del Oder y Kowno[, sin tocar en Beriin. El príncipe de Hardenberg ha llegado aqui, en donde se detendrá á es perar á S. M. el rey de Prusia. Hoy ha pasado por aqui el conde Nesselrode, que se restituye á Rusia. La administración de la Pomerania prusiana se ha trasladado de Stuttgardt á Stettin. S. E. el barón de Hugel tomó posesión et 6 del corriente en nombre de S. M. el emperador de Austria del condado de Talkenstein. Mañana esperamos aq…</t>
  </si>
  <si>
    <t>Ney</t>
  </si>
  <si>
    <t>…rvicio de la persona de S. M. . | , ; 1 ■ . .7 ,t ; Ide m j &amp;. El emperador Alexandro ha tenido á bien honrar á nuestros valientes guerretos de uttíiJmcdo particular, visitando al mariscal Ney, y aun dignán dose aceptar un almuerzo que el mariscal le tenia preparado. Quafltos han asistido á él han salido admirados'de la afabilidad y bondad de S. M. I. S. A. I. la archiduquesa María Luisa de Austria se vio ayer con su au gusto padre en Pefit-Triafto…</t>
  </si>
  <si>
    <t>Neyra, Pedro</t>
  </si>
  <si>
    <t>Pedro Neyra</t>
  </si>
  <si>
    <t>…iega, teniente de id D. Mariano Canalls, subteniente de id. D. Ventura Noguérra, id. de id. D. José María Falcon, sargento mayor del de Ri bero. D. Ramón de Castro, capitán de id. D. Pedro Neyra, teniente de id. XX Ruperto Otero, id. de id. D. José Sousa, subteniente de id. D. Mi guel Santos, id. de id. D. Tomas Nogueyra, id. de id. D. Francisco Villariño, id. de id. D&gt; Francisco Rúa, teniente del de Oviedo. D. Ramón Gastellá; id. de id. D. Ramón Col…</t>
  </si>
  <si>
    <t>Nica-</t>
  </si>
  <si>
    <t>…en precipitada fuga, y para perse guirlos puso su infantería á cargo del alférez D. José Miguel Torres, por lo práctico que es en aquel terreno¿ y la caballería al de igual clase D. Nica-</t>
  </si>
  <si>
    <t>Nicastro</t>
  </si>
  <si>
    <t>…Bristol acaba de comprar jun to á nuestro arsenal una porción de terreno para construir factorías y al macenes.' ■' : ; ‘ ' • ' * • •• •' ^ Acaba de salir de Fiume para Bosnia el conde Nicastro* diputado por el consejo de aquella ciudad* ys por el. comercio -para: rfenovar jas antiguas contratas y- negociaciones relativas á la exportación denlos cueros, y otrqs efectos,'y á la importación de armas y monturas., wl .,?* ; - : s Tanto aquí como en Fium…</t>
  </si>
  <si>
    <t>Nicolao, Antonio</t>
  </si>
  <si>
    <t>Antonio Nicolao</t>
  </si>
  <si>
    <t>…e la noche baxo la di rección de este gefe fue tomado por asalto el Puntal con el mayor orden y arrojo por Ja compañía de cazadores de dicho regimiento de Monterey, al mando de su capitán D. Antonio Nicolao. „ Escalado el fuerte, los enemigos se encerraron en la casa cuerpo de guardia, desde donde hicieren una resistencia obstinada; pero el arrojo de los cazadores hizo se dirigiesen á la puerta , y forzándola, el que cayesen en sus manos un oficial y 23 hombres…</t>
  </si>
  <si>
    <t>…de mandar en este blo queo; pero por la ocasión que ha cabido de operar al regimiento de Mon terey debo recomendar á V. E. á su comandante el teniente coronel Don José Miranda, al capitán D. Antonio Nicolao, al sargento segundo Juan Antonio'González, y á los soldados Benito Alonso José Aguiar» José de Lamas y Torquato San Mamed, que fueron los cinco primeros individuos que escalaron el fuerte. Debo llamar la atención de V. E. hacia el sargento segundo Juan Perey…</t>
  </si>
  <si>
    <t>Nicolás</t>
  </si>
  <si>
    <t>…dos los acreedores é interesados á la misma el domingo 6 de Marzo próximo venidero á las 9 de su mañana en la posada del referido señor juez. Viage de España, Francia é Italia por D. Nicolás de la Cruz y Bahamondé, conde de Maulé. Comprehende 14 tomos en 10 volúmenes en 8.° mayor. En las capitales se da idea de su local y planta: de la extensión de cada estado, rcyno ó república: un compendio de su historia; la relación de sus antigüedades; descr…</t>
  </si>
  <si>
    <t>…tria. Se ha llarán con los anteriores en la librería de la viuda de Barco López, calle de la Cruz, y en Granada en la de Martínez de Aguilar. Viage de España, Francia é Italia por D. Nicolás de la Cruz y Bahamonde, conde de Maulé: 14 tomos en 10 volúmenes en 8.° mayor. Se vende en Cádiz á 280 rs. en pasta y 200 á la rústica en las librerías de Hortal, Pajares y Carsi. Observaciones sobre la obra del Excmo. Sr. D. Juan Escoiquiz, titulada Idea sen…</t>
  </si>
  <si>
    <t>Niddry, Nídary de</t>
  </si>
  <si>
    <t>Nídary de Niddry</t>
  </si>
  <si>
    <t>…guientes y á sus legítimos herederos varones, á saber: al honorable teniente general sir John Hope, caballero de la muy noble orden del Baño, bazo del nombre, apellido y título de barón Nídary de Niddry, en el condado Linlithgow. _ Al teniente general sir Tomas Graham, caballero de la mis ma órden¿ bazo .del nombre, apellido y título de barón Lyndoch de Balgowin, en el condado de Perth.__ Al teniente general sir Stapíeton Cotton, caballero de la propia orden…</t>
  </si>
  <si>
    <t>Nie, José García</t>
  </si>
  <si>
    <t>José García Nie</t>
  </si>
  <si>
    <t>…le eran los sentimientos del obispo y cabildo de Córdoba. El 18 del mismo se presentó á cumplimentar á S. M. una diputación de la real universidad de Valladolid, compuesta del Dr. D. José García Nie to, rector de ella, catedrático de cánones y canónigo de aquelia santa igle sia; del Excmo. Sr. D. Pedro Cevallos, del consejo de Estado y caballero gran cruz de la orden de Carlos m; del Excmo. Sr. D José Colon, ex rector y honorario del mismo consejo ; del…</t>
  </si>
  <si>
    <t>Nieto, José García</t>
  </si>
  <si>
    <t>José García Nieto</t>
  </si>
  <si>
    <t>…dara, cape llán de Sres. Reyes nuevos de aquella ciudad: para ei deanato primera silla de la iglesia catedral de Valladólid, vacante per fallecimiento de D. Simón Gómez Gayóse , á D. José García Nieto, canónigo de la misma catedral; y para él déaható, de la,.¿Je. Sigiienza, vacante por fallecimiento de D Diego González i^feántos^ á DV^Jpsé Xop^z Santá María, canónigo de la^misma catedral. En los a utos que en virtud de orden de §+ M. penden en el Real y su…</t>
  </si>
  <si>
    <t>Nieto, Rub'ano y</t>
  </si>
  <si>
    <t>Rub'ano y Nieto</t>
  </si>
  <si>
    <t>2o68 En Oviedo....... D. Rub'ano y Nieto. En Orense....... D. Fernando Rey. En Lugo..i...... D. José María Gayoso.. En Patencia.... D. Marcelino de la Torre. Jim Palma...... D. Lorenzo Gibert. En Pamplona.. D. Miguel*D Echarri. ^ En Pías encía.. D. Joan Campo y Oliva. En Sevilla...... D. Nicolás Jo‘…</t>
  </si>
  <si>
    <t>Nieto, Rubiano y</t>
  </si>
  <si>
    <t>Rubiano y Nieto</t>
  </si>
  <si>
    <t>…..................... D. Tomas Díaz Serrano. En Málaga. '...................... D. Juan Pomar. En Murcia......................... D. José Ubach. En Oviedo...................... .. D. Rubiano y Nieto. En Orense........................... D. Fernando Rey. En Lugo.............................. D. José María Gay oso. En Palenda....................... D. Marcelino de la Torre. En Palma........................... D. Lorenzo Gibert. En Pamplona.................…</t>
  </si>
  <si>
    <t>Nieto, Rubianó y</t>
  </si>
  <si>
    <t>Rubianó y Nieto</t>
  </si>
  <si>
    <t>…Serrano y D. Francisco Lo* • ' pez Zavala. En Leon'.Jt^..¿..¿i.¿-i.’./.ICU.¿ D. Tomas Diaz Serrano* ,EniMdfkgae^.M.d:'^.d;v -D.-Júáft Pomar. ' '• *r J&gt;. íosé'Ubacb. * En Oviedo....D. Rubianó y Nieto. 'En Órense......................... D. Fernando Rey. Eii,Lugo'. '..... ...... D. José María Gayoso. jEntPaleficia.rr..,,....r..... D. Marcelino de la Torre* !Éú Palma.................. . D. Lorenzo Gibert. D.. M’guel Echarri, . : ¡ ; Plasencia.i..vi v D. ;Jp…</t>
  </si>
  <si>
    <t>Nindsai</t>
  </si>
  <si>
    <t>…mientras el mayor general Taylor con el regimiento 52.0, á las órdenes del teniente coronel Gibbs, ei 35.0 baxo el mando del mayor Macalister, y el 78.° á las órdenes del teniente coronel Nindsai, marchando á la derecha amenazaron la comunicación del enemigo desde Merxen á Ambéres. En esta acción co gimos dos piezas de'artillería y un número considerable de prisioneros. Sin pérdida de tiempo se dispusieron las baterías, y por el esfuerzo de los artill…</t>
  </si>
  <si>
    <t>Niño, Benito Mirla Sotelo de Novoa y</t>
  </si>
  <si>
    <t>Benito Mirla Sotelo de Novoa y Niño</t>
  </si>
  <si>
    <t>…constitución? ó sea Observaciones sobre la que sancionaron las Cortes generales y extraordinarias publicadas en 1812, y reimpresas ahora de nue vo en un solo volumen por su autor D. Benito Mirla Sotelo de Novoa y Niño, marques' de Vhlaverde &amp;c. &amp;c. &amp;c. Esta obrita, al paso que ataca del modo mas directo los fundamentos de la constitución aprobada por las Cortes, desenvuelve principios muy selectos del derecho público, y fixa la cuestion-con tal claridad, que logra el conve…</t>
  </si>
  <si>
    <t>Noailles, Alexis de</t>
  </si>
  <si>
    <t>Alexis de Noailles</t>
  </si>
  <si>
    <t>…stros, siii que por esto tenga superioridad alguna, asi tomo tampoco entre estos hay preferencia ninguna. ^ . La nota remitida por él príncipe Talleyrand después de la llegada de! conde Alexis de Noailles ha hecho mucha impresión en l s miembros del congreso. Se dice que es^relátiva á Saxoriia, y que ha causado muchas muaánzas en las determinaciones que se habián toníado; ■ Las esperanzad qúe habiáh concebido }los príncipes y condes mediatos de; Alemania de se…</t>
  </si>
  <si>
    <t>Noain, Juan Ignacio</t>
  </si>
  <si>
    <t>Juan Ignacio Noain</t>
  </si>
  <si>
    <t>…s a'rti-* ileros; pudiendo asegurar a V. S. que todos ios señores oficiales y soldados han desempeñado sus respectivas obligaciones Á mi satisfacción, y que tos ayudantes de V. S. D. Juan Ignacio Noain, D. Juan Estéban Alemán y D. Martin Laquidain han trabajado con tesón y eficacia en todo él tiétnpó que han permanecido. Los efectos encontrados en el fuerte consisten en quatro piezas de cañón , algunas municiones, una pequeña porción de tocino y ¿azúcar, co…</t>
  </si>
  <si>
    <t>Noguérra, Ventura</t>
  </si>
  <si>
    <t>Ventura Noguérra</t>
  </si>
  <si>
    <t>…d. D. Bernabé de las Pallas, id. de id. D. Martafio Castell, teniente coronel, sargento mayor de la Corona. D. Tomas Noriega, teniente de id D. Mariano Canalls, subteniente de id. D. Ventura Noguérra, id. de id. D. José María Falcon, sargento mayor del de Ri bero. D. Ramón de Castro, capitán de id. D. Pedro Neyra, teniente de id. XX Ruperto Otero, id. de id. D. José Sousa, subteniente de id. D. Mi guel Santos, id. de id. D. Tomas Nogueyra, id. de id. D. F…</t>
  </si>
  <si>
    <t>Nogueyra, Tomas</t>
  </si>
  <si>
    <t>Tomas Nogueyra</t>
  </si>
  <si>
    <t>…yor del de Ri bero. D. Ramón de Castro, capitán de id. D. Pedro Neyra, teniente de id. XX Ruperto Otero, id. de id. D. José Sousa, subteniente de id. D. Mi guel Santos, id. de id. D. Tomas Nogueyra, id. de id. D. Francisco Villariño, id. de id. D&gt; Francisco Rúa, teniente del de Oviedo. D. Ramón Gastellá; id. de id. D. Ramón Collast, subteniente de id. D. José Ordoñez, id. de id. D. Pedro Mateo Olorn, sargento mayor del i.° Cántabro. Don Juan Suarez, cap…</t>
  </si>
  <si>
    <t>Noílendorf, Kieis de</t>
  </si>
  <si>
    <t>Kieis de Noílendorf</t>
  </si>
  <si>
    <t>…se han proyectado ma chas carreteras de grande utilidad para el comercio y para las comunicaciones interiores. La legión rusa y alemana, que está en el Bixo Rhin á las órdenes del conde Kieis de Noílendorf, comandante del tercer cuerpo de exército, se halla en el dia hasta nueva disposición á sueldo de la Prusia. GRAN BRETAÑA. Londres i o de Diciembre. Según las relaciones de oficio impresas de orden de la cámara de los co munes aparece que se han licenciado de…</t>
  </si>
  <si>
    <t>Nono, J.</t>
  </si>
  <si>
    <t>J. Nono</t>
  </si>
  <si>
    <t>…úsica. Sistema Fundado'en ¡1 a naturaleza, en la' experien cia de los mejores profesores, y en las observaciones de los filósofos más ilustrados? dedicada al Rey nuestro Señor por D. J. Nono: obra necesaria no solo á los quo por afición y divertimiento quieran dedicarse á ella, sino también á todos los maes tros de capilla, á los compositores de teatro, primeros violínes de orquesta , y mú sicos mayores de regimiento; asi como también á aquellos…</t>
  </si>
  <si>
    <t>Nono, José</t>
  </si>
  <si>
    <t>José Nono</t>
  </si>
  <si>
    <t>…e música: sistema fundado en la naturaleza , en ia experiencia de los mejores profesores, y en las observaciones de los filósofos mas ilustrados; dedicada al Rey nuestro Señor por D. José Nono. Se hallará en la librería de Corral, calle de los Tintes, á Puerta Cerrada, y en el puesto de libros de Campins, calle de las Carretas, á 2 rs. vn. por quaderno. 1 uede ir en carta. y; EN LA IMPRENTA REAL.</t>
  </si>
  <si>
    <t>Noriega, José Escolar y</t>
  </si>
  <si>
    <t>José Escolar y Noriega</t>
  </si>
  <si>
    <t>…lles. En C'udad Real... ......... D Mateo Casao y Romero. En Córdoba ..... Rafael de Montis. ..D. En, la . oruna..»••»••»•«••»••.. D. helipe .Elorz. En Cuenca .................. . D. José Escolar y Noriega. En Canarias................. D. Francisco María de Herrera. En Gran rda................. D. Francisco Escovar. En Guadal^xara-........... D Joaquín Beladies. ■ '' ' -En Guipúzcoa y Vitoria. D F rancheo Arrieta ' • En J. 3en............................ D. Jos…</t>
  </si>
  <si>
    <t>…............. D. Mateo Casao y Romero. En Córdoba........................ D. Rafael de Montis. En la Coruña,.................. D. Felipe Elorz. En Cuenca..........¡............... D. José Escolar y Noriega. En Canarias....................... D. Francisco María de Herrera» En Granada...................... D. Francisco Escovar. En Guadalaxara............. D. Joaquín Beladies. En Guipúzcoa y Vitoria. D. Francisco Arrieta. En Jaén............................... D.…</t>
  </si>
  <si>
    <t>Noriega, Tomas</t>
  </si>
  <si>
    <t>Tomas Noriega</t>
  </si>
  <si>
    <t>…niente de id. D. Francisco Quiroga, id. de id. D. Juan Cancela, id- de id. D. Bernabé de las Pallas, id. de id. D. Martafio Castell, teniente coronel, sargento mayor de la Corona. D. Tomas Noriega, teniente de id D. Mariano Canalls, subteniente de id. D. Ventura Noguérra, id. de id. D. José María Falcon, sargento mayor del de Ri bero. D. Ramón de Castro, capitán de id. D. Pedro Neyra, teniente de id. XX Ruperto Otero, id. de id. D. José Sousa, subtenie…</t>
  </si>
  <si>
    <t>Nougarede, Francisca Ja</t>
  </si>
  <si>
    <t>Francisca Ja Nougarede</t>
  </si>
  <si>
    <t>…es á una de las huérfanas de los militares ó patriotas que hubieren muerto en defensa de la ju^ta causa de la nación r ha cabido en suerte del primer extracto de la de este, dia á Doña Francisca Ja Nougarede, hija de D. Luis, teniente coronel. ARTICULO DE OFICIO. En 10 del corriente tuvo á bien el Rey aprobar la propuesta del Sr. In fante Almirante general de España é Indias, y nombrar en consecuencia para vocales del Consejo de Almirantazgo 4 ios capitanes gener…</t>
  </si>
  <si>
    <t>Novoa, Juan de</t>
  </si>
  <si>
    <t>Juan de Novoa</t>
  </si>
  <si>
    <t>…Quirós, capitán de id. D. Tomas Pastoriza , teniente de id. D. Gumersindo Muros, subteniente de id. D. Benito Llórente, capitán del de Guadalaxara. D. Camilo Marquina, id. de id. D. Juan de Novoa, id. de id. D Francisco Vega, ayudante primero de id. D. José Guerra, subteniente de id. D. Eduardo Jdosqjuera, capitán de, fragata. Dora</t>
  </si>
  <si>
    <t>Novoa, Pascual Boláños y</t>
  </si>
  <si>
    <t>Pascual Boláños y Novoa</t>
  </si>
  <si>
    <t>…encia pronunciada por el tribunal especial creado por las Cor tes generales y extraordinarias. SEÑORES DEL TRIBUNAL ESPECIAL. D. Toribio Sánchez Monasterio. D. Juan Pedro Morales. D. Pascual Boláños y Novoa. D. Antonio Saenz de Vizmanos. D. J uan Nicolás de Undaveitia. En la ciudad de Cádiz á 14 de Agosto de 1812, los señores ministros que componen el tribunal especial creado por las Cortes generales y extraor dinarias del reyno, habiendo visto la causa formada…</t>
  </si>
  <si>
    <t>Novoa, Pascual Bolaños y</t>
  </si>
  <si>
    <t>Pascual Bolaños y Novoa</t>
  </si>
  <si>
    <t>626</t>
  </si>
  <si>
    <t>…ituyeron necesarios é indispensables. No ha lugar á que je agregue á los autos el escrito que en representación del tribunal es pecial y defensa de su providencia presentó el Lie. D. Pascual Bolaños y Novoa, y conforme á lo que expuso en voz el señor fiscal al tiempo de ia vista, comuníquesele para el uso que tenga por conveniente. Y antes de U publicación de esta sentencia consúltese con S. M. en los términos acorda dos. Madrid 18 de Mayo de 1814. Está rubricad…</t>
  </si>
  <si>
    <t>Nu</t>
  </si>
  <si>
    <t>…is lo conveniente ¿ su cumplimiento. Está ru bricado. ==En palacio á 26 de Junio de 1814. s= Al duque de San Carlos. El Excmo. Sr. secretario del despacho de Estado ha dirigido al señor Nu ocio de S. S. el oficio siguiente: „ Excmo. Sr. ; inuy señor mío : una de las mayores satisfacciones que después de tantas desgracias y quebrantos padecidos tuvo el Rey, mi amo, fué la de saber que el Santo Padre se hallaba en libertad y restituido en sus est…</t>
  </si>
  <si>
    <t>Nugent</t>
  </si>
  <si>
    <t>…814. ITALIA. Roveredo 24 de noviembre de 181$. Venecia está embestida, por el lado de las lagunas, por las brigadas de Rebrovich y de Meyer. La guarnición consta de 6© hombres. El general Nugent en persona ocupaba á Ferrara el 18. La trinchera delante de PalmaNova se abrirá luego que llegue la artillería de sitio. La brigada del general Tomassich ha conquistado la Dalinacia: Zara sola se defiende todavía; tiene una guarnición de 800 hombres mandada p…</t>
  </si>
  <si>
    <t>Ném. ii.. £ 5 quartos. ] 77 GACETA DE LA REGENCIA DE LAS ESPARAS DEL SABADO 22 DE ENERO DE 1814. GRAN BRETAÑA. Londres 20 de Diciembre de 18IJ. SECRETARIA DE GUERRA. El general Nugent, comandante del exército austríaco en Italia, ha re mitido el oficio siguiente al conde dé Bathurst. Milord: habiéndose aumentado las tropas dé mi mando con un cuerpo ingles, á las órdenes del coronel Robertson, creo deber comunicar á V. S. sus operaciones ul…</t>
  </si>
  <si>
    <t>%6 almirantazgo, que salí de Polo el 19 del mes pasado, y el 21 llegué á Capo de Istria , en donde se juntó el conde Nugent. El capiun Gower del Eli— zabeth merece los mayores elogies por haber abierto una comunicación coi el exército, y ayudado á poner esta plaza en estado de defensa. El 27 de Setiembre el exército del general Nugent se puso en movi miento; el Elizabeth fue envia…</t>
  </si>
  <si>
    <t>…adela tenía una guarnición de 800 franceses, 45 cañones de grueso calibre, quatro morteros y dos obu ses. El efecto de la toma de esta plaza se hará sentir en todo este país, y el general Nugent tiene el mérito exclusivo de haber libertado estas provincias en el término de dos meses con fuerzas poco considerables. Se han cogido en el puerto unos 50 buques. Nuestra pérdida no ha sido tan considerable como era de temer. Tengo la honra &amp;c. = T. F. Freem…</t>
  </si>
  <si>
    <t>…e que el enemigo no le espere___ . Del exército austríaco de Italia no se ha recibido parte alguno interesante desde que tuve el honor de escribir á V. S. Las tropas del mando del general Nugent entraron en Bolonia. El quar-tel general del príncipe de Schwartzenberg debe haber avanzado á establecerse en el valle del Mosela. La noche del 29 principió el fuego contra la fortaleza de Huninga. No está aun concluida la segunda paralela, y he observado que…</t>
  </si>
  <si>
    <t>…ENCIA DE LAS ESPANAS DEL MARTES 22 DE FEBRERO DE 1814. ALEMANIA. . ; ' ' Vierta id de Diciembre de l813. La expedición que dio la vela el 9 de Noviembre á las órdenes del gene ral conde Nugent, se dividió en el mar en dos&gt;squádra$, una de las qnales, compuesta de los navios de línea Aguila y Tremendo, del bergantín Wrsard, dos transportes ingleses, ocho transportes gránde’s aüSíríado?, y más dé 2i bancos italianos y austríacos, ancló primero a ló l…</t>
  </si>
  <si>
    <t>…de Nápoles por otra parte refuerza: su exér cito, y hace ver claramente que no tiene el menor temor por la parte de Sicilia. Corren voces que los napolitanos se han reunido ya al general Nugent. La posición del vjrey es cada día mas crítica; pero es preciso conve-r nir que la sostiene con mucha fortaleza y dignidad. Todos los partidos se conduelen de lá vireyna^en esta amable princesa fundan en Italia las espe-5 ranzas los antiguds conquistadores, l…</t>
  </si>
  <si>
    <t>…re» !' Acaba de llegar aquí para completar la guarnición de las fortalezas una parte de las tropas que durante ,1a guerra estuvieron al sueldo de la Ingla terra en el exército del general Nugent. En el día nada, se tetne de parte de los rebeldes montenegrinos, á pesar de que hace muy poco tiempo,que es taban todavía reunidos como unos 3® de ellos en las montanas de Rizzano. Todos saben que estos hombres viven independientes en sus países monta ñosos,…</t>
  </si>
  <si>
    <t>Nuncio</t>
  </si>
  <si>
    <t>…e á V. E* muchos años. =: Madrid 24 de Mayo de 1814. = Excmo. Sr. =B. L. M. de V.-~E. su mas atento seguro servidor =:£l duque de S. Carlos. =Sr. Nuncio de S. S.” Contestación del Sr. Nuncio. „ Excmo. Sr.: en el ultimo correo que llegó aquí en la tarde del 4 del corriente recibí el muy apreciable oficio de V. E., su fecha 24 dei pasadoj por medio de monseñor el delegado apostólico de Lisboa, á quien para ma yor seguridad lo había dirigido con otr…</t>
  </si>
  <si>
    <t>…al trono por su canónigo comisionado el Dr. D. Juan de Mesa y Tapia en felicitación á S. M. de 24 de Julio próximo pasado, encar gó al mismo cumplimentase de igual modo al Excmo'. Sr. Nuncio de 5. S. por la feliz restitución al solio pontificio de Ntro. Smo. P. Pío vn, lo que verificó dicho canónigo el 24 de este mes, entregando cartas gratulatorias de su cabildo al referido Sr. Excmo. para S. S. y para S. E., á quien habló ademas en los términos…</t>
  </si>
  <si>
    <t>…de estas íntimas efusiones de su afecto. Que sean su recompensa Ja gracia de su Rey y la bendición apostólica, que en su canonirp’ comisiona do espera recibir de V. E.” El Excmo. Sr. Nuncio escuchó con demostraciones de singular agrado Ja brillante energía de este discurso; y después de haber dado las gracias mas expresivas al cabildo, á cuyo nombre se le felicitaba, honró á su diputado, exigiéndole copia, de su arenga para remitirla á S. S., co…</t>
  </si>
  <si>
    <t>Nuñez, Bartolomé</t>
  </si>
  <si>
    <t>Bartolomé Nuñez</t>
  </si>
  <si>
    <t>…ada, Aquilino Escudero. = Teniente de Canciller mayor, Aquilino Escudero. En atención á los distinguidos méritos y servicios;que ha contraído por el espacio de 25 años el teniente coronel D. Bartolomé Nuñez, comandan te del cuerpo de milicias urbanas de la plaza de Tarifa, y á los donativos y grandes préstamos que ha hecho á la Real hacienda para la manutención de las tropas en la ultima guerra con los franceses, se ha servido S. M. concederle el grado de corone…</t>
  </si>
  <si>
    <t>Nuñez, José de Vallugera y</t>
  </si>
  <si>
    <t>José de Vallugera y Nuñez</t>
  </si>
  <si>
    <t>…la á usar del derecho que vieren les competa á los citados bienes; con apercibimiento de que pasado dicho término sin haberlo cxecutado, Ies parará el perjuicio que hubiese lugar. D. José de Vallugera y Nuñez, alcalde mayor que fué de la villa de Lezuza, provincia de la Mancha , se embarcó en el puerto de Denia en el mes de Di iembre d¿ 1811 en una goleta con dirección á Cádiz; y no habiéndose tenido noti cia de su paradero desde aquella época, se suplica í qualqu…</t>
  </si>
  <si>
    <t>Nuñez, Manuel Valiugera y</t>
  </si>
  <si>
    <t>Manuel Valiugera y Nuñez</t>
  </si>
  <si>
    <t>…de si ha naufragado ó fallecido, se sirva comunicarlo á su muger Doña María Joaquina Madrid, que vive en la calle de! Rollo, casa núm. 4, quarto segundo, ó en la ciudad de Lugo á D. Manuel Valiugera y Nuñez* ofic ial de la administración de Rentas de dicha ciudad. En 1 2 d- Enero de 18 10 se remitieron á Cádiz por el correo disde Valencia quatro vales reales, creación de i.° de Mavo, de á 600 pesos, con los números 399334» 400388,401580 y 402488 , á D. José Voci…</t>
  </si>
  <si>
    <t>O-Caloyan</t>
  </si>
  <si>
    <t>…os para volver á ganar la posición, y par ticularmente en .dos ataques, que fueron recibidos con e! mayor csiuerzo, y rechazados por el regimiento 39.0 baxo el mando del honorable coronel O-Caloyan, y perteneciente á la brigada del mayor general Pringie. Este general y el teniente coronel Bruce, dd 39.°, fueron por desgracia heridos,</t>
  </si>
  <si>
    <t>O-Daly, Pedro</t>
  </si>
  <si>
    <t>Pedro O-Daly</t>
  </si>
  <si>
    <t>…érmino, les parará el perjuicio que haya lugar. Habiendo fallecido el brigadier D. Henrique YVhite siendo gobernador de S. Agustín de la Florida, y dexado un legado de i® pesos al coronel D. Pedro O-Daly, capitán de granaderos del regimiento de Hibernia, y 500 pesos á D. Gui llermo Q-Cancanen, teniente retirado á la plaza de Tuy, se hace saber á ios inte resados á fin de que acudan á su albace3 el capitán D. Fernando de la Puente, en Florida , para tratar sob…</t>
  </si>
  <si>
    <t>O-Donoju, Juan</t>
  </si>
  <si>
    <t>Juan O-Donoju</t>
  </si>
  <si>
    <t>…rdal', pero con mal éxito. Dios guarde á V. E. muchos años. Quatrel general de S. Juan de Luz 19 de diciembre dé 1813. = Exorno. Sf.—Wellington, duque de Ciu dad-Rodrigo. = Exemo. Sr. D. Juan O-Donoju.» Al paso dé las tropas del general Soult por las inmediaciones del rio1 Júcar en el mes de octubre/de i8r.a, saquearon la casa de campo de Doña María Roxo. En uno de los muchos baúles escondidos que descubrieron habia varios vales reales, de los qpales se ha…</t>
  </si>
  <si>
    <t>O-Donojú, Juan</t>
  </si>
  <si>
    <t>Juan O-Donojú</t>
  </si>
  <si>
    <t>23 cuya vida guarde Dios muchos años. San Juan de Luz 14 de diciembre de 1813. Welington, duque de Ciudad Rodrigo. = Excmo. Sr. D. Juan O-Donojú. Resumen de la pérdida que ha tenido el exército aliado del mando del señor duque de Ciudad -Rodrigo en las acciones ocurridas en los dias jo, II, J2 y ig de diciembre de 18 ig con motivo del paso del rio Nivé. Dia 9. Tres oficiales, 93 soldados y 2 caballos…</t>
  </si>
  <si>
    <t>…ón de la monarquía española, Rey de las Españas, y en su ausencia y cautividad la Regencia del Reyno nombrada por las Cortes generales y extraordinarias: Habiéndome hecho presente D. Juan O-Donojú, secretario de Estado y del despacho de la Guerra, que su quebrantada salud y el estado de debilidad á que ha llegado, sin esperanza de pronto recobro, le imposibilitaban conti nuar desempeñando la secretaría del despacho de la Guerra con la asidua asistencia…</t>
  </si>
  <si>
    <t>…ue dicha división ha tenido en esta gloriosa jornada. = Dios guarde á V. E. muchos años. =Quarte'l general de Irun 12 de Diciembre de i8i3. = Exckiq. Sr.= Manu.l Jdreyre. = Excmo. Sr. D. Juan O-Donojú. QUARTO EXERCITO_____CUERPO DEL ALA DERECHA.____ PRIMERA DIVISION DE INFANTERIA. Estado de pérdida que ha tenido esta división en la acción del _p de este mes ai paso del rio Nivé. 1' Primera brigada. Regimiento de León: 9 soldados heridos y 1 ahogado: total…</t>
  </si>
  <si>
    <t>…is se imprima, publique y circule.r: L. de Borbon , cardenal de Seala, arzobispo de Toledo, presidente. = Pedro de Agar. = Gabriel Cis car. =En palacio á i.° de Marzo de 1814.__ A D. Juan O-Donojú. En virtud de providencia del tribunal de Cortes, de 14 del corriente, se cita y emplaza por el presente edicto á D. Juan López de Reyna, diputado por la pro vincia de Sevilla en las presentes Cortes, para que en el término de nueve dias si guientes al de la…</t>
  </si>
  <si>
    <t>O-Donoju, Tomas</t>
  </si>
  <si>
    <t>Tomas O-Donoju</t>
  </si>
  <si>
    <t>…a.1' De Real orden lo traslado á V. para su inteligencia y efectos conve nientes. D os guarde á V. muchos años. Madrid 2 de Noviembre de 18142.a El Inspector general de Infantería D. Tomas O-Donoju, á consecuen cia del Real decreto de 30 de Mayo ultimo, que trata de los Españoles que siguieron el pariido del Gobierno intruso, e&lt;puso la duda que le ocur ría sobre si lo que se determina por el artículo 3.° del expresado Real de creto se*entiende con solo…</t>
  </si>
  <si>
    <t>O-Lawlor, José de</t>
  </si>
  <si>
    <t>José de O-Lawlor</t>
  </si>
  <si>
    <t>…D. Pedro Dávalos Santa María, D. Vicente Osorio, D. Joaquín Ibarra, D. Guillermo Parker Carrol , D. Juan de Pontous y Moxica , t D. José de, Aymerich , D. José María de Ezpeleta., D. José de O-Lawlor, D. Manuel de Artazo, D» Francisco D’IIautregard, D. José</t>
  </si>
  <si>
    <t>O-Lawlor, Josef</t>
  </si>
  <si>
    <t>Josef O-Lawlor</t>
  </si>
  <si>
    <t>…ampo sir Eduardo Packenan, de los tenientes coroneles lord Fitt Roí Somerset, Campbell, y de los oficiales adictos á mi persona. Remito este pliego por mi secretario de campaña el brigadier D. Josef O-Lawlor, y ruego se me permita recomendarlo á la protección de V. E.,</t>
  </si>
  <si>
    <t>O-mulrian, José</t>
  </si>
  <si>
    <t>José O-mulrian</t>
  </si>
  <si>
    <t>…González: para el corregi miento de Oateniente á D. Juan María Garrido: para el de Ja ciudad de Borja á D* Liborio Tudela: para la vara de alcalde mayor de la ciudad de Orihuelá á D. José O-mulrian; y para la de la villa de Moreda á D. Juan Francisco de Murcia y Montero. &gt; El comandante general de Canarias ha hecho presente que habiendo ma nifestado á D. Agustín Cabrera Betancourt, coronel de milicias de la isla de FuerteVehtitra, que en ninguna ocasión…</t>
  </si>
  <si>
    <t>O-Reylly</t>
  </si>
  <si>
    <t>…grosa operación en ésta estación del año, con un grado de habilidad y bizarría que pocas veces podrán igualarse. El; teniente general sir Coleo H oppe hace particular mención, del capitán O-Reylly» y de los comandantes Cherhire, Douples y Collins de la Marina real, y debo por mi parte infinito al almirante por el cordial auxi lio que me ha prestado durante los preparativos de este plan, y también por el que ha dado al general Hoppe al tiempo de execüts…</t>
  </si>
  <si>
    <t>Obando, Juan</t>
  </si>
  <si>
    <t>Juan Obando</t>
  </si>
  <si>
    <t>…e Motezuma, conde de Orgaz, y duque de Abrantes. Jdem con entrada. A D. Joaquín.Palacios y Goúy, á X&gt;. José María de Tinco, y al mar ques de Vista florida. Mayordomos de semana. A D. Juan Obando, marques de Santa Coloma, I&gt;. Melchor de Mon— toya , y D. Manuel de Castro. Cruces pensionadas de la Real y distinguida orden española de Cárlos III, Al conde de Viílapaterna, mayordomo de semana; D. Manuel de Pa lomera , secretario de la mayordomía mayor; D.…</t>
  </si>
  <si>
    <t>Obispo</t>
  </si>
  <si>
    <t>…órdoba quando ocurrió lá desgracia dé su sobrino, tuvo á bien el general W. Clinton mandar que se omitiese por entonces dar al público su nombre, con el fin de preparar primero al general Obispo por medio del Timo. Sr. obispo de aquelíá ciudad, como asi se hizo , igualmente que có» los padres del difunto, quienes se hallaban en Madrid. ; , ' . nLa hojalde servicios de aquel desgraciado joven, que á la edad de 18 ¿ños supo adquirirse por su valor y di…</t>
  </si>
  <si>
    <t>…de otro modo, á D. Alfonso Luzeño, bo ticario en la calle ancha de S. Bernardo en Madrid. Se desea saber el paradero ó suerte de D, Miguel Allué, provedor que fue del cxército del general Obispo, el qual por Enero del año de 11 se hallaba con dicho general en el sitio de Valencia, y quando esta se tomó se retiró á Alicante; y no habiéndose tenido noticia de él desde aquella época, se suplica á la persona que si pa si existe ó ha fallecido lo avise en…</t>
  </si>
  <si>
    <t>Obispo, José</t>
  </si>
  <si>
    <t>José Obispo</t>
  </si>
  <si>
    <t>' Siendo dicho ¡oven el objeto de ma5 aprecio y amor para su tio el ma riscal de campo D. José Obispo, que se hallaba en el consejo de generales de Córdoba quando ocurrió lá desgracia dé su sobrino, tuvo á bien el general W. Clinton mandar que se omitiese por entonces dar al público su nombre, con el fin de preparar primero al general Obispo por medio del Tim…</t>
  </si>
  <si>
    <t>Obregon, Gabriel</t>
  </si>
  <si>
    <t>Gabriel Obregon</t>
  </si>
  <si>
    <t>…cio Vaicárcel y.Var gas, á D. Celestino Sánchez, prior.de la colegiata de S. Hipólito de Córdo ba*, .para otra canongía de la iglesia catedral de Valladolid, vacante por muerte de D. Gabriel Obregon, á D. Manuel de Orbaneja: para una ración de la iglesia metropolitana de Burgos, vacarte por fallecimiento de D. Ma nuel Andrés ’ del Hierro, á I&gt;. Esteban Martínez de Tobílias, cura párroco en el obispado de Sigüénza : para el beneficio simple servidero del…</t>
  </si>
  <si>
    <t>Obregon, Mateo</t>
  </si>
  <si>
    <t>Mateo Obregon</t>
  </si>
  <si>
    <t>…. Asimismo se ha dignado S. M. nombrar para el beneficio de Santo Do mingo de la villa de Muía,.diócesis de Cartagena, que vacó por. muerte de D. Francisco Rodríguez Campománes, á D. Mateo Obregon ; y para otro beneficio de Santa María y S. Pedro de la villa de Alcaudete, en el obispa-r do de Jaén, vacante por muerte de D.: Esteban Qaerol, a D.'Fernan do Velez, entendiéndose esta gracia y la anterior con retención? de las capellanías de Honor que sirve…</t>
  </si>
  <si>
    <t>Ocampo, Ignacio</t>
  </si>
  <si>
    <t>Ignacio Ocampo</t>
  </si>
  <si>
    <t>…México 12 de Setiembre. Concluye el parte del coronel D. José Gabriel de Armijo. En el mismo dia 5 á la una del dia mandé marchar al capitán del batasllon de Fernando vil de linea D. Ignacio Ocampo, con lafuerza de 190 hombres de su cuerpo y batallón Mixto, con orden que subiese la* montaña</t>
  </si>
  <si>
    <t>Ocaña, Andrés</t>
  </si>
  <si>
    <t>Andrés Ocaña</t>
  </si>
  <si>
    <t>…dignidades de aquella santa iglesia; en el partido de TruxíHo á D. Francisco Nágales, ma* yordomo del expresado cabildo4; éri el de Medéllin á D. Fructuoso Reta mar, y en Bejar á D. Andrés Ocaña; todos los quales están legítimamente habilitados para dar todas las instrucciones y noticias que puedan desear los compradores, á fin dé efectuar los contratos dé compra á la mayor breve dad , y con todas las seguridades de derecho. ’ s {} * , . ' .; " ^ * M…</t>
  </si>
  <si>
    <t>Ocharan, José María</t>
  </si>
  <si>
    <t>José María Ocharan</t>
  </si>
  <si>
    <t>…expresar sus sentimientos.” En este mismo dia se presentó igualmente á S. M. el ilustre colegio de abogados de esta corte , representado por su decano D. Luis Gabaldon y López, el diputado D. José María Ocharan, el maestro de ceremonias De n Julián Iturralde, y el secretario D. Lorenzo Hernarz López; que apadrina dos por el Excmo. Sr. marques de Vülanueva de Duero, conde de Vi iariezo, tuvieron la honra de besar ia mano á S. M. y AA.; con cuyo moti vo pronunció el d…</t>
  </si>
  <si>
    <t>Ofañez, Ignacio</t>
  </si>
  <si>
    <t>Ignacio Ofañez</t>
  </si>
  <si>
    <t>…s y Guerra, D. Manuel de Posada, y D. José Melendez Bruna. El Rey se ha servido nombrar para la dignidad de deán de la iglesia ca tedral de Cartagena, vacante por fallecimiento de D. Ignacio Ofañez, á Don Blas Ostoíaza, con retención de la capellanía de honor que sirve en la Real capilla; y para la canongía que ha vacado en la catedral de Barbastro por muerte de D. Silvestre Pueyo á D. Pedro Peralta y Balda ; para otra ca nongía de la de Cartagena, por…</t>
  </si>
  <si>
    <t>Oiedo, Pedro de</t>
  </si>
  <si>
    <t>Pedro de Oiedo</t>
  </si>
  <si>
    <t>…Gunchi, D. Bartolomé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t>
  </si>
  <si>
    <t>Oiruytiner, José</t>
  </si>
  <si>
    <t>José Oiruytiner</t>
  </si>
  <si>
    <t>…de Medina; esta vacante al de fusile ros D, Narciso Arascct; tenencia de fusileros ai subteniente de granaderos ' D. Francisco Rodríguez; esta resulta al subteniente de fusileros D. José Oiruytiner; y la subtenencia de bandera al cadete D. Castulo Guerra. * • • * • ■ ■&gt; * . ’ i , . . L -£ . * La fragataespañolaS. Juan Bautista, &lt;?apitan Arfarte, procedente del Callao de Lima con dinero y frutos, - fug apreSaaa poy una fragata de guer ra francesa, y-desp…</t>
  </si>
  <si>
    <t>Okñeta, Pedro Antonio de</t>
  </si>
  <si>
    <t>Pedro Antonio de Okñeta</t>
  </si>
  <si>
    <t>…orohel de ca ballería D. Jorge Baiüvian, el comandante dél esqüadroa de dragones par tidarios D. Saturnino Castro, el de los mismos de infantería D. Ramón Aquenza, el de cazadores D. Pedro Antonio de Okñeta, el de las guerri llas D. Manuel-Valle, y todos los oficiales hasta el último soldado han cum plido en sus respectivos destinos de una maneta que no hay voces con que elogiarlos. ,,En consecuencia» y para premio de estos dignos militares» he conce dido un esc…</t>
  </si>
  <si>
    <t>Ol, Francisco</t>
  </si>
  <si>
    <t>Francisco Ol</t>
  </si>
  <si>
    <t>…haber contribuido á desalojar al enemigo del fortín que ocupó en el primer avance. También debo hacer justicia al capitán del batallón ligero D. Hilario Díaz, y teniente del mismo D. Francisco Ol medo', al primero por haber resistido con muy pocas fuerzas á los rebeldes, ha {Lindóse guarneciendo el indicado fortín por concluir, y el segundo por haber salido á observar la fuerza de aquellos con quatro dragones, dando al comandante del Zapote los avisos…</t>
  </si>
  <si>
    <t>Olaera, Ignacio María de</t>
  </si>
  <si>
    <t>Ignacio María de Olaera</t>
  </si>
  <si>
    <t>…nzález Guiral, y D. Pedro Ristory. A g 'f s dé esqu tdra les brigadieres D. Salvador Mairía Chacón, D. Agustín de Figueroa, D. Juan Darrac, D. Bernardo Muñoz, D. José de Gardoqui, D. Ignacio María de Olaera, D. José de Quevedo Cheza, D. Tomas de Ayaide, D. Miguel Gasten,</t>
  </si>
  <si>
    <t>Olañeta, Pedro Antonio de</t>
  </si>
  <si>
    <t>Pedro Antonio de Olañeta</t>
  </si>
  <si>
    <t>…ome á expresar á V. E. por ahora, que el ala derecha, compuesta del regimiento número i.°, del m^ndo deí brigadier D. Francisco Picoaga, y del cuerpo de cazadores, al del teniente coronel D. Pedro Antonio de Olañeta, se distinguieron por su extraordinario valor, asi como la Izquierda formada del cuerpo de partida rios, mandados por el coronel la Hera; el esquadron montado del mi mo al del teniente coronel de exército J&gt;. Saturnino Castro, que con su oficialidad y tropa s…</t>
  </si>
  <si>
    <t>Olaortua, Carlos Overa y</t>
  </si>
  <si>
    <t>Carlos Overa y Olaortua</t>
  </si>
  <si>
    <t>…D. José Miguel Ramírez. Igualmente se ha servido nombrar pata una ración en la iglesia metropolitana de Lima á D. José Antonio Hur tado, y para media-ración en la misma iglesia á D. Carlos Overa y Olaortua. A: imismo ha nombrado S. A. para ia chantría de la iglesia catedral de Ciudad-Real de Chiapa á D. Ramón Ordoñez, y para la canongía lectora! de la misma iglesia á D. José Serápió Sánchez. Estando prontas á salir del puerto de Cádiz quatro embarcaciones do gu…</t>
  </si>
  <si>
    <t>Oldemburgo, Alexandro de</t>
  </si>
  <si>
    <t>Alexandro de Oldemburgo</t>
  </si>
  <si>
    <t>…mo de la escalera quando le vio el príncipe Gagarin, y lo anunció á la gran duquesa, la qual corrió luego á ver al emperador, quien la abrazó con vivo afecto,como también al joven príncipe Alexandro de Oldemburgo. Extendióse luego por la ciudad la noticia de la llegada del emperador, y agolpado el pueblo delante del palacio, hizo resonar los ayres con vivas acla maciones. Muchas veces se dignó S. M. asomarse á la ventana, y correspon der á los aplausos del pueblo con…</t>
  </si>
  <si>
    <t>Oliva, Joan Campo y</t>
  </si>
  <si>
    <t>Joan Campo y Oliva</t>
  </si>
  <si>
    <t>…ando Rey. En Lugo..i...... D. José María Gayoso.. En Patencia.... D. Marcelino de la Torre. Jim Palma...... D. Lorenzo Gibert. En Pamplona.. D. Miguel*D Echarri. ^ En Pías encía.. D. Joan Campo y Oliva. En Sevilla...... D. Nicolás Jo‘é Areipacochaga. En Segovia...... Viuda de Ramiro y Mesa. En Santiago.... D. Manuel de la Riba Moreno. En Soria......... D. Joaquín Tutor Iba Izóla. En S lamanea D. F rancisco de Zúñiga y Barbosa. En Santander. Vial é hijo. En…</t>
  </si>
  <si>
    <t>Oliva, Juan Campo y</t>
  </si>
  <si>
    <t>Juan Campo y Oliva</t>
  </si>
  <si>
    <t>…........... D. Marcelino de la Torre. En Palma........................... D. Lorenzo Gibert. En Pamplona..................... D. Miguel Echarri. En Piase neta..................... D. Juan Campo y Oliva. En Sevilla.,......................... D. Nicolás José Areipacochaga» En Segovia,........................ Viuda de Ramiro y Mesa. En Santiago........................ D. Manuel de la Riba Moreno. En Soria............................. D. Joaquín Tutor Ibalzola.…</t>
  </si>
  <si>
    <t>Olivan, Miguel</t>
  </si>
  <si>
    <t>Miguel Olivan</t>
  </si>
  <si>
    <t>…a 3 del mes próximo pasado el cabildo dé la santa iglesia catedral, de la ciudad de Jaca tuvo la honra de felicitar y besar la mano á S. M. por medio de sus comisionados los Sres. D. Miguel Olivan, capellán de honor de S. M., juez de la real capilla y auditor general castrense, caballero de la real y distinguida orden española de Cárlos ni, y D-. Antonio Allue, también capellán de honor de S. M.;- el primero de los quales habló en los términos siguient…</t>
  </si>
  <si>
    <t>…contenia el hoinenage de su amor, respeto y fidelidad. En el mismo dia tuvo también el honor de cumplimentar á S. M , á nombre del limo, cabildo de la santa iglesia de Tortosa, el Sr. D. Miguel Olivan, dignidad de prior mayor de la misma, capellán de honor de S. M.,</t>
  </si>
  <si>
    <t>Olivan, Miguel de</t>
  </si>
  <si>
    <t>Miguel de Olivan</t>
  </si>
  <si>
    <t>2310 £1 mismo dia tovíeron también con igual motivo el honor de presentar se áS. M. y besar su Real mano y las de de los Sres, Infantes los Sres. Don Miguel de Olivan, caballero de la Real y distinguida orden de Carlos iii, capellán de honor de S. M., juez de su Real capilla, y dignidad de prior mayor de la santa iglesia catedral deTortosa, y D. Ignacio Garcini, coronel de infantería, intendente de exército, ministro del C…</t>
  </si>
  <si>
    <t>Olivares, Nicolás</t>
  </si>
  <si>
    <t>Nicolás Olivares</t>
  </si>
  <si>
    <t>…nsulado.[de comercio de Cádiz , por providencia de 18 de Noviembre próximo pesado, manda citar y emplazar á qoalquicra que se consi* de re con derecho al concurso de acreedores de D. Nicolás Olivares y su depen dencia, para que en el preciso término de tres meses ocurran á formalizarlo con los documentos que lo comprueben; prevenidos que su omisión les parará el per juicio que haya lugar, y los pagos sucesivos se executarán sin el gravamen de fíanr za, ca…</t>
  </si>
  <si>
    <t>Olive, José Felipe de</t>
  </si>
  <si>
    <t>José Felipe de Olive</t>
  </si>
  <si>
    <t>…omisarios, que lo fueron los Sres. D. Jesualdo José Aguado, beneficiado y cura propio de la parroquia de S. Nicolás de esta capital; el comisario de guerra de los reales exércitos D. José Felipe de Olive; el M. R. P. Fr. Miguel Pedreño, prior del convento de carmelitas calzados de esta ciudad; y el contador honorario de exército D. José Barnuevo, en cargando á su zelo y puntualidad todo lo relativo á la función. Elegido el dia 4 del corriente Junio, y el magn…</t>
  </si>
  <si>
    <t>…triunfo de la economía política.” Concluida la lectura de cada disertación, fueron examinados detenida mente los tres referidos discípulos por el catedrático de economía política D. José Felipe de Olive, comisario dé guerra de los Reales exércitosé in dividuo de mérito de esta sociedad r preguntando á cada lino quanto le pa reció indistintamente sobre la ciencia en general, y sobre las materias que abraza en particular. El señor censor de este Real cuerpo co…</t>
  </si>
  <si>
    <t>Oller, Andrés</t>
  </si>
  <si>
    <t>Andrés Oller</t>
  </si>
  <si>
    <t>…conformidad á lo dispuesto en los artículos 157 y ijg de la Constitución política de la monarquía, han nombrado para individuos de la diputación permanente de Cortes- á los Sres. D. Andrés Oller, dipu tado por la provincia de Cataluña; D. Pedro García Coronel, que lo es su plente por el Perú; D. Miguel Antonio Blanes, diputado por la provincia de la Mancha; D. Salvador Samartin, suplente por Nueva-España; Don Martinrano Francisco Pastór, diputado por…</t>
  </si>
  <si>
    <t>…ordinarias, constituidas en su segunda legislatura, han nom brado por su presidente al Sr. D. Vicente Ruiz Albillos, diputado por la provincia de Salamanca; por více-presidente al Sr. D. Andrés Oller, dipu tado por la provincia de Cataluña; y por secretarios á les Sres. D. Manuel María Aldecoa, diputado por la provincia de Vizcaya; D. Blas Ostolaza por la del Perú ; D. Juan José Sánchez de la Torre por la de Búrgos, y Don Tadeo Joaquín Gárate por la del P…</t>
  </si>
  <si>
    <t>625 D. Gerónimo Antonio Diez. D. Francisco Ibañez Leiba. D. Jayme Alvarez Mendieta. D. Andrés Oller.,. D. Diego María Badillos. Se revoca como injusta la sentencia pronunciada por el tribunal especial creado por las Cortes generales y extraordinarias contra el señor D. Miguel de Lardizabal y Uribe; y en conformidad á la calificación de la junta suprema de C…</t>
  </si>
  <si>
    <t>…ía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cirujano mayor de exército, se servirá avisarlo en esta corte en la calle de Santiago, casa núm. 10, quarto segundo, en donde…</t>
  </si>
  <si>
    <t>Olloqui, Francisco</t>
  </si>
  <si>
    <t>Francisco Olloqui</t>
  </si>
  <si>
    <t>…eño com parezca á recibir las llaves, y usar del derecho que tenga.. Por providencia del tribunal del consulado de comercio de Cádiz , dictada en autos de concurso de acreedores á D. Francisco Olloqui, se manda citar y empla zar á quar.tos se estimen con derecho á los bienes de dicha quiebra para que en el término preciso de 15 meses se presenten á deducirlo con los documentos que les comprueben, baxo apercibimiento de que pasado el referido plazo, se d-cr…</t>
  </si>
  <si>
    <t>Olmedo, José Joaquín de</t>
  </si>
  <si>
    <t>José Joaquín de Olmedo</t>
  </si>
  <si>
    <t>…D. Tadeo Gárate, goberna dor, electo intendente de la provincia de Puno, diputado por la misma; D. Martin Muxica, diputado por Guamanga; D. Mariano Rivero, diputa do por Arequipa; D. José Joaquín de Olmedo, D. Vicente Rocafuerte, diputados por Guayaquil, y D. Pablo González, diputado por Tarma; de los quales el primero dixo : ,, Señor: ios que logramos el alto honor de presentarnos á V. M., hemos venido de las mas remotas y opulentas provincias de Ja Monarquía,…</t>
  </si>
  <si>
    <t>Olmedo, Mariano Rodríguez</t>
  </si>
  <si>
    <t>Mariano Rodríguez Olmedo</t>
  </si>
  <si>
    <t>…ncia de la Mancha; D. Salvador Samartin, suplente por Nueva-España; Don Martinrano Francisco Pastór, diputado por la provincia de Valencia; Don Tadeo Gárate, suplente por el Perú; D. Mariano Rodríguez Olmedo, su plente ípor las provincias del Rio de la Plata; y en clase de suplentes á Don Tomas May ano Rodríguez, diputado por la provincia de Valladolid, y á D. Angel Alonso de ia Pántiga, que lo es por la provincia de Mérida de Yucatán. Extractó del parte dado aí…</t>
  </si>
  <si>
    <t>Olmedo, Mariano Rodríguez de</t>
  </si>
  <si>
    <t>Mariano Rodríguez de Olmedo</t>
  </si>
  <si>
    <t>652</t>
  </si>
  <si>
    <t>…, á esta academia en quantas* ocasiones le ha cumplimentado en los grandes acontecimientos de la monar-^ quía.” ; El viernes 3 del corriente tuvo el honor-de besar la mano á S. M. Don Mariano Rodríguez de Olmedo, canónigo de Charcas, y de presentarle una caxa de medallas acuñadas en perpetua memoria del señalado triunfo conse guido en los campos de Vitoria el 21 de Junio de-1813 , y en testimonio de la gratitud española al lord Wellington, duque de Ciudad^Rodrigo, di…</t>
  </si>
  <si>
    <t>Olmo, Antonio del</t>
  </si>
  <si>
    <t>Antonio del Olmo</t>
  </si>
  <si>
    <t>…er se á sus reates pies y besar su real mano el cuerpo de los directores de las reales esc«e!as de primera educación de esra capital D. José Cándano , Don Francisco Zazo de Lares, D. Antonio del Olmo, D Sebastian Arrióla, Don Francisco Leocadio Zazo y D.. Antonio Navarrete; y el primero como de cano dixo: • , „Señor: el cuerpo de directores de las ocho escuelas reales de primera educación, nombrados por real decreto del augusto padre de V. M. de 25 de Dic…</t>
  </si>
  <si>
    <t>Olorn, Pedro Mateo</t>
  </si>
  <si>
    <t>Pedro Mateo Olorn</t>
  </si>
  <si>
    <t>…de id. D. Francisco Villariño, id. de id. D&gt; Francisco Rúa, teniente del de Oviedo. D. Ramón Gastellá; id. de id. D. Ramón Collast, subteniente de id. D. José Ordoñez, id. de id. D. Pedro Mateo Olorn, sargento mayor del i.° Cántabro. Don Juan Suarez, capitán de id. D. Vicente Carvajal, id. de id. D. Juan Piñal, teniente de id. D. Francisco Mediavilla, id de id. D. Ramón de Arribas, subteniente de id. D. Silvestre Hidalgo, teniente coronel del de Laredo. D…</t>
  </si>
  <si>
    <t>OmulrriannD, Ignacio</t>
  </si>
  <si>
    <t>Ignacio OmulrriannD</t>
  </si>
  <si>
    <t>…ango. = D. Francisco Ibañez Leyva. = D. Juan Gualberto González, Fiscal. = D. Estéban Varea, Secre tario-= Sala segunda de Gobierno. = D. Pedro Aparíci. = Conde de TorreMuzquiz. = D. Ignacio OmulrriannD. Cayetano Urbina. = D. Juan Ro bledo. = D. Francisco Xavier Caro. = D. Josef Aycinena. = D. Antonio Cal derón , Fiscal. = D. Silvestre Collar, Secretario. = Sala tercera de Justician D. Ramón de Posada.s= Di Francisco Josef Viaña. =D. Joaquín Mosque ra, =D. A…</t>
  </si>
  <si>
    <t>Ondarza, Manuel de</t>
  </si>
  <si>
    <t>Manuel de Ondarza</t>
  </si>
  <si>
    <t>…nte por promoción de D. José de Navia y Bolaños á la de la extinguida audiencia de Madrid, á D Manuel de León Santos de San Pedro. Y para la de Canarias, vacante por traslación de D. Manuel de Ondarza á la de Sevilla, á D. Tadeo Ma nuel Delgado. De&lt;de principio hasta mediado de Setiembre próximo venidero saldrán de la bahía de Cádiz dos buques correos de la Real Armada con destino á Ve racruz y Costa-firme. Este último llevará también la correspondencia de…</t>
  </si>
  <si>
    <t>Ondarza, Marcelo de</t>
  </si>
  <si>
    <t>Marcelo de Ondarza</t>
  </si>
  <si>
    <t>…Pascual Dávila; Contador general de Millones; Don Francisco López de Aícaraz, y D. Jacobo de Parga y Puga. Fiscales. D. Manuel de Lartiga, y D. Bernardo Mozo Rosales. Secretarios. D. Marcelo de Ondarza, de Gobierno; y D. Alfonso de Ibarra, de MiUoiies. Ministros del Tribunal de Contaduría mayor. D. Pedro Regalado-de Garro; Marques de las Hormazas; D. Nicolás de Otamendi; D. Sebastian Jócano; D. Carlos de JEspinosa; D. Pablo Ruiz de la Bastida. = Palacio n d…</t>
  </si>
  <si>
    <t>Ondaveytia, Juan Nicolás</t>
  </si>
  <si>
    <t>Juan Nicolás Ondaveytia</t>
  </si>
  <si>
    <t>…ho consejo,á D. Juan Rar mon de Matute; y para una de ministro togado en la Cámara de Comptos á D. Joaquín Eiio y Jaureguizar: para una de oidor de la chancillería de Valladolid á D. Juan Nicolás Ondaveytia, ministro de la audiencia de Oviedo: para otra de la misma chancillería á D. Pedro Tiborcio Gutiérrez: para una de alcalde del crimen á D. .José Reguerra: para una de oidor de</t>
  </si>
  <si>
    <t>Ondicota, Anselmo</t>
  </si>
  <si>
    <t>Anselmo Ondicota</t>
  </si>
  <si>
    <t>…y* el ayudante del &gt;2.° de tiradores de Can tabria \D. Alfonso'Pozo. Los heridos «omtres oficiales y 5ó soldados, siendo ios-priméros el cípitan dd.:2.° de tiradores de Cantabria D. Anselmo Ondicota,?el tenrénte del 3.0 de tiradores de Cantabria D. Felipe de Lama, y el subteniente del 2.0 de Vizcaya D. Valentín Abrisqueta; y contusos los te nientes del 2.0 de tiradores de Cantabria D. Pedro Vega y D. Alberto del Campo, y ademas 13 soldados. Laredo 2 de M…</t>
  </si>
  <si>
    <t>Ontiyeros, Juan Manuel López de</t>
  </si>
  <si>
    <t>Juan Manuel López de Ontiyeros</t>
  </si>
  <si>
    <t>…á D. Juan de Exargue y Cer rera, capellán párroco del exército; y para el referido beneficio préstamo de Lcgrosan , que resulta vacante por pr.p.mocion del D. Josef de Urrutia, á D. Juan Manuel López de Ontiyeros, vicario y juez eclesiástico del partido de Bejar, en dicho obispado de Plasencia: para una capellanía, vacante en Ja Real capilla de Sresí Reyes’ nüevcs dé Toledo &lt;por muerte de D. Barto lomé-de Cañas, á D. Domingo Cantero: para otra, capellanía de la misma…</t>
  </si>
  <si>
    <t>Oppen</t>
  </si>
  <si>
    <t>…or y la primera brigada: las demas se Jiallan en estas inmediaciones.. El cuerpo de Lutzow ha pasado el Eiba con el exército sueco. La vanguardia del general Bulow, mandada por el general Oppen, ha hecho movimiento hacia el Issel, y ha permanecido en Doesburgo des de el 23. El general Bulow con el resto de su exército está en las orillas del Rhin y en las fronteras de Plolanda. En el ataque de Doesburgo fue destruida una gran parte de la guarni ción…</t>
  </si>
  <si>
    <t>…que es taba atrincherado en la aldea de Merxen en el camino de Ao béres. Al mis mo tiempo arrojaron los cosacos al enemigo de Turnhout: el general Borstel marchó á S. Antonio: el general Oppen á S. Job , y las tropas inglesas á Kapelle. El día 13 se pusieron todas las columnas en marcha para acercarse á Ambéres. El general Tuben , favorecido por una maniobra de los ingleses en su flanco derecho, tomó los atrincheramientos y la aldea, en donde esta…</t>
  </si>
  <si>
    <t>Oquendo, Mariano Lafuente y</t>
  </si>
  <si>
    <t>Mariano Lafuente y Oquendo</t>
  </si>
  <si>
    <t>…s: para que continúe por ahora en el corregimiento de Lucena á E). Manuel Ortiz de Pinedo: para la vara de alcalde mayor, te niente primero de asistente de la ciudad de Sevilla, á D. Mariano Lafuente y Oquendo: para e! corregimiento de Arévalo á D, Manuel Martin Bayon: pa ra e! de Sto. Domingo de la Calzada á D. Pablo de Arispe: para el de las merindades de Castilla la vieja á D. Luis Amonio del Campo: para que sirva interinamente el de Avila á D. Manuel de Toro: p…</t>
  </si>
  <si>
    <t>Oraa, Marcelino</t>
  </si>
  <si>
    <t>Marcelino Oraa</t>
  </si>
  <si>
    <t>…por asalto en la madrugada del 5 del corriente por los regimientos 5.0 y 7.0 de la división de mi mando, como Verá V. E. por el parte que acompaña, que me ha di rigido el teniente coronel D. Marcelino Oraa, comandante accidental del 5.0, y encargado dé continuar las operaciones contra aquella, y es como sigue: Mi general: aprovechándose los enemigos de quantos auxilios proporciona ba esta plaza para su subsistencia, quise desde luego apoderarme de ella por ased…</t>
  </si>
  <si>
    <t>Oraá, Marcelino</t>
  </si>
  <si>
    <t>Marcelino Oraá</t>
  </si>
  <si>
    <t>…rriba se expresa, y firmamos ssTantesio, capitán- de artillería y oficial de ingenie ros. = El coronel Joaquín Gómez. = A. Rey de Mbrande, capitán del 10.® de línea. = El teniente coronel Marcelino Oraá, = La presente capitulación ha sido ratificada hoy 17 de Febrero de 1814 por mí el gefe de batallón» comandante superior = Dessórtis.=: La presente capitulación ha sido ratifica da hoy 17 de Febrero de 1814 por mí. el mariscal de campo y comandante de las tro…</t>
  </si>
  <si>
    <t>…ubalternos y soldados, á quienes reco miendo á V. E., y muy particularmente al coronel D. Sebastian Fernan dez, coma&amp;danjfce del, 5 .° -régifínernp, „al teniente coronel del mismo Don Marcelino Oraá, y aljdp. igual ^ clase comandante del 7.0 D. Antonio Oro, los que de^di^y, de npphe y sin cesar han contribuido, á la par de sus ofi ciales y. so Idatfesjá 3Gt;ivar}las obras , en términos de serles temible á los ene migos, que recelosos dé un asalto, para e…</t>
  </si>
  <si>
    <t>Orange, Federico de</t>
  </si>
  <si>
    <t>Federico de Orange</t>
  </si>
  <si>
    <t>…as que formaban parte de nuestro territorio antes de 1795 &gt; deben? serévá* Guadas por los franceses ante&amp; defc 3 de Mayo próximo; ; / *.» : 0 SS. AA. RR. el príncipe heredero y el príncipe Federico de Orange, que se hallaban en el exército, acabarle? tíegar,á esta residencia. Se asegura que se han comunicado órdenes para que las tropas holande sas vayan á ocupar á Maeslneht» * W"fnló luego que las evacúen los franceses. *At' llegaaquFS;jAi élp'íírtcipé dtf^Heste-…</t>
  </si>
  <si>
    <t>…ados de América, recibirán hoy las correspondien tes instrucciones, y saldrán en seguida para Dowres con ei objeto de em barcarse para Ostende. Ayer mañana llego á esta capital el príncipe Federico de Orange, acom pañado del mayor Iroy; y poco después fué á casa de lord Castlereagh, quien le presentó al Príncipe Regente.</t>
  </si>
  <si>
    <t>Orbaneja, Manuel de</t>
  </si>
  <si>
    <t>Manuel de Orbaneja</t>
  </si>
  <si>
    <t>…s, á D. Celestino Sánchez, prior.de la colegiata de S. Hipólito de Córdo ba*, .para otra canongía de la iglesia catedral de Valladolid, vacante por muerte de D. Gabriel Obregon, á D. Manuel de Orbaneja: para una ración de la iglesia metropolitana de Burgos, vacarte por fallecimiento de D. Ma nuel Andrés ’ del Hierro, á I&gt;. Esteban Martínez de Tobílias, cura párroco en el obispado de Sigüénza : para el beneficio simple servidero del puerto dé Sta. María * di…</t>
  </si>
  <si>
    <t>Orbezua, Joaquín Nogués de</t>
  </si>
  <si>
    <t>Joaquín Nogués de Orbezua</t>
  </si>
  <si>
    <t>…han pasado estos últimos dias el Rhin para trasladarse al que fue obispado de Mantua y de Tréveris y al ducado de Dos-Puentes. ESPAÑA. Madrid 21 de Octubre. El 28 de Julio último D. Joaquín Nogués de Orbezua, presbítero, co misionado por el ayuntamiento de la M. N. y L. villa de Alcántara de voto en cortes para felicitar al Soberano, tuvo el honor de besar la Real mano de S. M. y AA., y pronunciar el siguiente discurso: ,,Señor: la villa de Alcántara, cabeza de l…</t>
  </si>
  <si>
    <t>Ordoñez, José</t>
  </si>
  <si>
    <t>José Ordoñez</t>
  </si>
  <si>
    <t>…e id. D. Tomas Nogueyra, id. de id. D. Francisco Villariño, id. de id. D&gt; Francisco Rúa, teniente del de Oviedo. D. Ramón Gastellá; id. de id. D. Ramón Collast, subteniente de id. D. José Ordoñez, id. de id. D. Pedro Mateo Olorn, sargento mayor del i.° Cántabro. Don Juan Suarez, capitán de id. D. Vicente Carvajal, id. de id. D. Juan Piñal, teniente de id. D. Francisco Mediavilla, id de id. D. Ramón de Arribas, subteniente de id. D. Silvestre Hidalgo,…</t>
  </si>
  <si>
    <t>Ordoñez, Manuel de San Pedro</t>
  </si>
  <si>
    <t>Manuel de San Pedro Ordoñez</t>
  </si>
  <si>
    <t>…der, va cante por fallecimiento de D. Juan Nepomueeno del Puerto, á D, Juan López Muñíz , cura párroco de la misma catedral; y para otra ración de la misma , vacante por muerte de D. Manuel de San Pedro Ordoñez, á Don Antonio Arango, sacristán mayor, dé la propia catedral. Asimismo el Rey nuestro Señor en atención á:los méritos y servicios del presbítero D. Alexandro Riquelmé, teniente de cura de la catedral de Ceu ta, ha venido en nombrarle para una radon de la mis…</t>
  </si>
  <si>
    <t>Ordoñez, Miguel</t>
  </si>
  <si>
    <t>Miguel Ordoñez</t>
  </si>
  <si>
    <t>…de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-igual nombre D. Toaquin González -de Mench&amp;ca; el de‘ Cariñena al brigadier D. Josef Antonio Sanz, coronel comandante del exting…</t>
  </si>
  <si>
    <t>Ordoñez, Ramón</t>
  </si>
  <si>
    <t>Ramón Ordoñez</t>
  </si>
  <si>
    <t>…onio Hur tado, y para media-ración en la misma iglesia á D. Carlos Overa y Olaortua. A: imismo ha nombrado S. A. para ia chantría de la iglesia catedral de Ciudad-Real de Chiapa á D. Ramón Ordoñez, y para la canongía lectora! de la misma iglesia á D. José Serápió Sánchez. Estando prontas á salir del puerto de Cádiz quatro embarcaciones do guerra, que han de llevar las correspondencias de las islas Filipinas, Monte video, Puerro-Rico, Costa-firme, el Pe…</t>
  </si>
  <si>
    <t>Orduña, José Adanez</t>
  </si>
  <si>
    <t>José Adanez Orduña</t>
  </si>
  <si>
    <t>…licas de vuestros fieles vasallos.” En este mismo dia también fué admitida á felicitar á S. M. una diputa ción del cabildo de la. iglesia catedral de león., compuesta de los Dres. Don José Adanez Orduña , dignidad de tesorero, y canónigo magistral de ella, y D. Gabriel Alonso, canónigo «dé la misma; dé los quales el primero arengó á S. Ai. en los términos siguientes: ,, Señor: el cabildo de vuestra iglesia catedral de León ,&lt;jue entre las mu chas y singulare…</t>
  </si>
  <si>
    <t>Orellana, Esteban Antonio de</t>
  </si>
  <si>
    <t>Esteban Antonio de Orellana</t>
  </si>
  <si>
    <t>…ieros....... Al Mariscal de^Campo D. Manuel Zappino. Par Artillería,....... Al Tejiente general D. José Cienfuegos. Por Intendente...... D. Anselmo de Rivas. Por Togado..i........ D. Esteban Antonio de Orellana. Por Político........... Ai Coronel D. Francisco Antonio Diz. Fiscal militar........ Al Mariscal de Campo D. Martin González deMenchaca# JA D. Luis Bertrán, Oficial mayor primero de mi Se¿tere ano...............^ cretaría de Estado y del Despacho de la Guerra…</t>
  </si>
  <si>
    <t>Oria, Julián Gárc-ía de</t>
  </si>
  <si>
    <t>Julián Gárc-ía de Oria</t>
  </si>
  <si>
    <t>…saber leer y escribir, pues deben enseñar esto á sus discípulas. Para que los memoriales no padezcan extravío se dirigirán por Villarejo de Salvanés. Se desea saber el paradero de D. Julián Gárc-ía de Oria, que salió disfrazado de esta corte á principios de Febrero de 1809 para incorporarse en uno de los exércitos españoles que á la sizon hacian la guerra á los enemigos. El referido Don Julián fue alférez del regimiento de infantería de Nobles de Asturias en la…</t>
  </si>
  <si>
    <t>Oria, María de</t>
  </si>
  <si>
    <t>María de Oria</t>
  </si>
  <si>
    <t>…da en casa de una parienta, y no ha sabido de su padre desde su salida. Quien supiere el paradero del mencionado ofi cial tendrá la bordad de avisarlo de palabra ó por el correo á Doña María de Oria, que vive en la plaza Mayor, encima del peso real, escalera del alguacil mayor. Idea sencilla de las razones qué motivaron el viage del Rey D. Fernando vil i Bayona en el mes de Abril de i3ó8, dada al publico de España y de Europa por ei Excmo. Sr. D. Juan Es…</t>
  </si>
  <si>
    <t>Orioff</t>
  </si>
  <si>
    <t>694</t>
  </si>
  <si>
    <t>…rá nuestra causa , porque es justa—En mi quartel general de Lubeck á 21 de Mayo de 1814. — Carlos Juan Los comisarios que los soberanos aliados envían á Noruega son, por Ru sia el conde Orioff, que ha llegado ya á Copenhague ; por Austria el gene ral barón de Steigenbesch, que pasó el 13 por Altona; y por la Prusia el mayor Martens. Se ignora quien sea el comisario de Inglaterra. Se cree que las tropas aliadas permanecerán en Altona hasta que los s…</t>
  </si>
  <si>
    <t>Orlc</t>
  </si>
  <si>
    <t>…diferentes naciones; pero se tranquilizaron ios ánimos con las providencias vigorosas que se tomaron, asi como contra las indiscretas voces de algunos partidarios de Bonaparte. El conde Orlc ff llegó á Dover el 18 del corriente para anunciar la pró xima venida del emperador de Rusia y del rey de Prusia, lo que da á en tender que la paz tal vez estaba próxima á concluirse. También han llegado á Dover muchas tropas, y el duque de Cfarence habia ena…</t>
  </si>
  <si>
    <t>Orloff</t>
  </si>
  <si>
    <t>…e Napoleón en Fontainebleau, al mismo tiempo que Monsieur en nombre de su real her mano tomaba posesión de su antigua capital, destinó una escolta de 2$ co sacos á las órdenes del conde Orloff para escoltarle hasta la isla de .Elba: se cree que los , cosacos permanecerán alli custodiándole , pues no se quiere darle demasiada libertad. ¡ M ; ......... Dícese que el exército ingles de Francia pasará inmediatamente á los Estados-Unidos para hacer alli…</t>
  </si>
  <si>
    <t>Ormaechea, Miguel</t>
  </si>
  <si>
    <t>Miguel Ormaechea</t>
  </si>
  <si>
    <t>…uerte de la tercera fue la mas in feliz, pues habiendo sido cortada, y no pudiendo romper por: ningún costa do , quedó prisionera la mayor parte, habiendo muerto sus dos tenientes Don Miguel Ormaechea y D. Mariano Ustarroz; siendo' la pérdida total la de 3 muertos y 22 heridos del í.°; 5 muertos, 30 heridos, 10 contusos y 44 pri sioneros oel 2.0, y 10 heridos del 3.- El capitán de laí tercera,compañía .del 2.0 regimiento D. José Iturria fué igualmente herido. Harispe pudo conse…</t>
  </si>
  <si>
    <t>Oro, Antonio</t>
  </si>
  <si>
    <t>Antonio Oro</t>
  </si>
  <si>
    <t>…ce el mérito de esta brillante acción, sabrá reco mendar al Gobierno el valor y subordinación de estos beneméritos oficíales y soldados, y principalmente el del comandante del 7.0 D. Antonio Oro, y el del subteniente del 5.0 D. Ramón Marañen, quien habiendo subido ia escala hasta el ultimo peldaño, cayó , y recibió un grande golpe (como se dexa ver por la elevación de la muralla); y despreciándolo, volvió á subir con la mayor bizarría ; el de! capitá…</t>
  </si>
  <si>
    <t>…rticularmente al coronel D. Sebastian Fernan dez, coma&amp;danjfce del, 5 .° -régifínernp, „al teniente coronel del mismo Don Marcelino Oraá, y aljdp. igual ^ clase comandante del 7.0 D. Antonio Oro, los que de^di^y, de npphe y sin cesar han contribuido, á la par de sus ofi ciales y. so Idatfesjá 3Gt;ivar}las obras , en términos de serles temible á los ene migos, que recelosos dé un asalto, para el que estaban tomadas todas las medidas, si no hubiesen ca…</t>
  </si>
  <si>
    <t>Orovio, Juan Antonio de</t>
  </si>
  <si>
    <t>Juan Antonio de Orovio</t>
  </si>
  <si>
    <t>9*0 Ibarra, de D. Juan Antonio de Orovio, actual Director cíe Rentas,, y de D. Luis Sanz de Bedoya, Administrador general de Rentas de la Provincia . de Cartagena, he venido en nombrarles Directores generales de Renta- y en tendiéndose en comisión con respecto á D. Josef de Ibarra, y en quanto á ‘Or…</t>
  </si>
  <si>
    <t>Orozco, Antonio</t>
  </si>
  <si>
    <t>Antonio Orozco</t>
  </si>
  <si>
    <t>…llón veterano de M racaybo concedido grado de capitán, con la antigüedad que se ie conñrió sq retiro, al teniente D. Antonio Inarte: en el de Guay^ana grado de teniente coronel al capitán D. Antonio Orozco; y en el regimiento de caballería vo luntarios de la Colonia del Sacramento nombrado primer comandante y sar gento mayor á D. Juan Guerrero y Serón; Para pago de acreedores, y en virtud de providencia dél Sr. D. Francisco A^sin, teniente de corregidor de esta…</t>
  </si>
  <si>
    <t>Orrantia, Francisco</t>
  </si>
  <si>
    <t>Francisco Orrantia</t>
  </si>
  <si>
    <t>…y trincheras. Los rebeldes se colocaron al momentQ en todas sus líneas de defensa. No pudiéndose aun ver con claridad el número de gentes dispuse que el teniente coronel graduado D. Francisco Orrantia, con el batallón segun do de la Corona y el batallón fixo de México, con 200 caballos y una pie za, hiciese un reconocimiento sobre la línea enemiga, con el doble objeto de que descubriesen todas sus tuerzas; y si hubiese un momento favorable se atacase la lí…</t>
  </si>
  <si>
    <t>Ortega</t>
  </si>
  <si>
    <t>…tá preparando en Puebla una fuerte expedición contra Morelos, que se ignora en qué punto reside de la provincia de Oaxaca. Está nombrado de general en gefe del excrcito del sur el señor Ortega, brigadier coronel de ar tillería-----Ocupan partidas grandes de rebeldes el camino de México sobre los llanos. Ayer se presentaron á tiro de estos baluartes 60 de ellos á caba llo, corretearon en la playa, y nos tiraron algunos fusilazos: se les hizo fuego d…</t>
  </si>
  <si>
    <t>…de 1814. = A las nueve de la noche. = Félix de la Madrid. = Sr. general en gefe del exército del Sur brigadier D. Ramón Díaz de Ortega. Xidapa 14 de Abril, Por carta fidedigna del Sr. Ortega, fecha 7, y recibida aquí el 11, se sabe que las tropas leales entraron en Oaxaca el 27 de Marzo sin tirar un tiro.__ : Castilla volvió sobre Tehuacan con r.oticia de estar allí Rayón con 600 hom bres , que es la mayor reunión de las que han quedado. Después…</t>
  </si>
  <si>
    <t>Ortega, Andrés</t>
  </si>
  <si>
    <t>Andrés Ortega</t>
  </si>
  <si>
    <t>…ído: el segundo á 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t>
  </si>
  <si>
    <t>Ortega, José</t>
  </si>
  <si>
    <t>José Ortega</t>
  </si>
  <si>
    <t>…ado cuer-? pó cumplieron sus deberes con el zelo é inteligencia que en todas ocasiones los han distinguido, y tienen el dolor de haber perdido uno de sus mas dig nos individuos en D. José Ortega , que ha fallecido de resultas de sus heri das en esta noche pasada. Los oliciales y tropa del cuerpo de zapadores han cumplido con sus funciones de un modo que nada me ha dexado que deseari Tengo la mayor satisfacción en informar á V. E. que las diez piezas…</t>
  </si>
  <si>
    <t>…In genieros , en atención á haber acreditado su idoneidad en los exámenes que han sufrido con arreglo á lo prevenido en la ordenanza del mismo Real Cuer po, á D. Valentín del Río, D. José Ortega y D. Francisco Belda, subte niente el primero, y cadetes los otros del regimiento Real de ZapadoresMinadores; á D. Antonio Porta, cadete deí regimiento-de infantería de Ansona; á D. Pedro Bayo, D. Mariano Bayo y 1&gt;. Rafael Lara, alumnos de la escuela militar de la Isla de León; y…</t>
  </si>
  <si>
    <t>Ortega, José Gavino</t>
  </si>
  <si>
    <t>José Gavino Ortega</t>
  </si>
  <si>
    <t>…s Ostolaza , capeliiii de honor de S. M., su confesor honorario, y en exercicio del Sermo. Sr. Infante O. Carlos; el Dr. D. Pedro García Coronel, párroco del pue blo de Ayabaca, y D. José Gavino Ortega, párroco del pueblo de Paiian^ el primero de los cuales pronunció el discurso siguiente: ,,Señor: los diputados de la provincia de Truxillo del Perd tienen él* honor ce hacer presente á V. M-» por medio de mi débil voz, los sentímienros de aquella benemérita…</t>
  </si>
  <si>
    <t>Ortega, Juan Batte y</t>
  </si>
  <si>
    <t>Juan Batte y Ortega</t>
  </si>
  <si>
    <t>…Xavier Rincón : para la de Cabra á D. Vicente Ruiz Morquecho: para la de Bui¡trago á D. Estanislao Guilarte; para la.de Potes á B. León González del Camino: para la de Algeciras á D. Juan Batte y Ortega: para la de'Máfchena á D. Cristóbal Izquierdo de los Santqsi para lá de'Priego á D., Vi** cente Pereda: para la de Alcalá de Henares á D. Joaquín Zeñgotita y Benoa: para el corregimiento de Lerma á D. Pedro Tagle Velarde: para el de -orea á D. José Guillen de…</t>
  </si>
  <si>
    <t>Ortega, Lojrenzo</t>
  </si>
  <si>
    <t>Lojrenzo Ortega</t>
  </si>
  <si>
    <t>…udiese elegir á dos para el gobierno y administración del arzobispado; y sin embargo de esto , á los dos dias noticioso el mismo arzobispo de que por disposición de su gober nador D. Lojrenzo Ortega se publicaban los decretos y manifiesto, escribió al arcipreste de Faro D. Juan Ignacio Sarasola, prohibiéndole la publicación baxo pena de excomunión , y encargándole circulase esta orden á los de-, mas arciprestes. Asi lo verificó el de Faro, entorpeciendo…</t>
  </si>
  <si>
    <t>Ortega, Rafael María</t>
  </si>
  <si>
    <t>Rafael María Ortega</t>
  </si>
  <si>
    <t>…na perfecta inteligencia.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costumbre. Reus ij de Enero, Hace algunos dias que recibimos una ca…</t>
  </si>
  <si>
    <t>Ortega, Ramón Alonso de</t>
  </si>
  <si>
    <t>Ramón Alonso de Ortega</t>
  </si>
  <si>
    <t>…i.tarie, e"&gt; representación del cabildo del arciprestazgo de Uce da„e] Dr. D. Mariano Lozano , cura de,Uceda ; el Dr. D. Miguel Temé de la Fuente, cura de Torirela'gúna, y el Lie. D. Ramón Alonso de Ortega, cu ra de y^ldepeñas de la Sierra; el primero de los quales arengó á S. M. en la forma siguiente: „ Señor: los párrocos de Uceda , Torrelaguna, y Valdepeñas deja Sier ra , en representación de su cabildo del arciprestazgo de Uceda, tienen el ho nor de pre?ent…</t>
  </si>
  <si>
    <t>Ortega, Ramón Díaz de</t>
  </si>
  <si>
    <t>Ramón Díaz de Ortega</t>
  </si>
  <si>
    <t>…es de ayudante. Dios guarde á V. S. muchos años. San Juan del Rio y Febrero 16 de 1814. = A las nueve de la noche. = Félix de la Madrid. = Sr. general en gefe del exército del Sur brigadier D. Ramón Díaz de Ortega. Xidapa 14 de Abril, Por carta fidedigna del Sr. Ortega, fecha 7, y recibida aquí el 11, se sabe que las tropas leales entraron en Oaxaca el 27 de Marzo sin tirar un tiro.__ : Castilla volvió sobre Tehuacan con r.oticia de estar allí Rayón con 600 hom bres ,…</t>
  </si>
  <si>
    <t>Ortiz, Gatalina Roxas y</t>
  </si>
  <si>
    <t>Gatalina Roxas y Ortiz</t>
  </si>
  <si>
    <t>…nes i una de las huérfanas de los militares ó patriotas que hubieren muerto en' defensa de la justa causa de la nación, ha cabido en suerte del primer extracto de la de este dia á Doña Gatalina Roxas y Ortiz, hija dei patriota D. Tomas. ARTICULO DE OFICIO. , . • El Rey nuestro Señar se ha servido expedir el real decreto siguiente: la batalla de:Baylen , ganada el 19 de Julio de 1 $08 contra el general frailees Dupontydebe formar época en ia historia, por ser la q…</t>
  </si>
  <si>
    <t>Ortiz, Juan Ildefonso</t>
  </si>
  <si>
    <t>Juan Ildefonso Ortiz</t>
  </si>
  <si>
    <t>…diarios pagados mensual y puntualmente, y casa. Las que quisiesen pretender diri girán sus memoriales francos de porte á los patronos, que han de conferir dicha plaza, por mano de D. Juan Ildefonso Ortiz, cura párroco, uñó de ellos, antes del 4 del próximo agosto *, advirtiendo qué las pretendientas han de estar examina das, y han de saber leer y escribir, pues deben enseñar esto á sus discípulas. Para que los memoriales no padezcan extravío se dirigirán por…</t>
  </si>
  <si>
    <t>Ortiz, Juan López de Padilla y</t>
  </si>
  <si>
    <t>Juan López de Padilla y Ortiz</t>
  </si>
  <si>
    <t>…nuando aquella ciudad en su acos tumbrada complacencia, aunque comienza á sentir que se acerca el momen to de «verse privada de los objetos que han hecho tantos dias sus delicias. D. Juan López de Padilla y Ortiz, juez de primera instancia de Montanches, y su hermana Doña María del Amparo González de León y Or tiz, por efecto del placer que han recibido con la llegada del rey á territo rio español, y como únicos herederos de sus padres ceden, con destino á ves tir un…</t>
  </si>
  <si>
    <t>Ortiz, Juliana</t>
  </si>
  <si>
    <t>Juliana Ortiz</t>
  </si>
  <si>
    <t>…iciales españoles prisioneros que hayan estado en Francia comuniquen ú su madre Doña Polonia de los Santos, vecina de Málaga, la noticia efectiva de su existencia ó fallecimiento. Doña Juliana Ortiz, natural de Midrid , y viuda de D, Carlos Rodríguez, emi gró de esta capital, y parece murió en algún pueblo, que se ignora, por los me ses de Noviembre ó Diciembre del año de 1812: esta llevaba consigo papeles que interesan á dos hijos huérfanos. La persona,…</t>
  </si>
  <si>
    <t>Ortiz, Nicolás</t>
  </si>
  <si>
    <t>Nicolás Ortiz</t>
  </si>
  <si>
    <t>…dia, D. Rafael de Heredia, D. Alonso Aznar y D. Felipe de la Cámara: la subtenencia de granaderos á D. José Ireneo Guerra; y subtenencias de fusileros á D. Ma nuel Benito Quixano, D. Nicolás Ortiz, D. Agustín Sánchez, D. Arcadio Quixano, D. Joaquín Sánchez y D. Arcadio Cicero. Por los oficios que con fecha del 23 del corriente han dirigido el secre tario interino del despacho de Estado y el gefe político de la provincia de Valencia ha sabido Ja Regenci…</t>
  </si>
  <si>
    <t>Ortiz, Pedro Joaquin</t>
  </si>
  <si>
    <t>Pedro Joaquin Ortiz</t>
  </si>
  <si>
    <t>…, pues cargó y dispersó dos veces con la ba yoneta al enemigo con un valor igual al que por muchas veces los han he cho señalarse en las acciones: el capellán de este mismo cuerpo D. Pedro Joaquin Ortiz, que en esta ocasión y en todas las acciones anteriores se ha hallado en el fuego, estimulado de su zelo religioso, auxiliando á los heri dos, también se lo recomiendo á V. E., y lo mismo á los demas oficiales de estas compañías y sus valientes cazadores. Dio…</t>
  </si>
  <si>
    <t>Orueta, Melquíades</t>
  </si>
  <si>
    <t>Melquíades Orueta</t>
  </si>
  <si>
    <t>…es de alcance á su favor en las primeras cuentas que tiene rendidas en 1809 de la factoría de Reales provisiones, que sirvió por encargo de la jun ta superior de aquel principado. D. Melquíades Orueta, residente en la ciudad de Vitoria, recurrió en 20 de Setiembre de.; 1814 ante el señor alcalde y juez ordinario de ella , haciendo presen te que su hermano D. Cosme de Onnta y Gardoqui desapareció de la ci udad de Cádiz en el mes de Junio.de 1810, sin que de…</t>
  </si>
  <si>
    <t>Osaba, Patricio</t>
  </si>
  <si>
    <t>Patricio Osaba</t>
  </si>
  <si>
    <t>…cido, se suplica á la persona que lo supieref se sirva comunicarlo al corregidor de Logroño, ó á qualquiera de los curas párrocos de la expresada ciudad. Se desea tener noticia de D. Patricio Osaba, clérigo tonsurado, capellán tenor de la santa iglesia de Osma, que en el mes de O tubre-de 1808 salió de la villa del Burgo de Gima, incorporado á la división del general Cuesta, y que. habiéndo se unido al exército del general Castaños , filé destinado ai r…</t>
  </si>
  <si>
    <t>Osea, José de</t>
  </si>
  <si>
    <t>José de Osea</t>
  </si>
  <si>
    <t>…lez de Ribera; á segundo ayudante mayor á D. Antonio Romero; á segundos tenientes á D. José Joaquín de la Mata, de granaderos, al conde de Torrejon de ca zadores, y de fusileros á D. José de Osea, D. Andrés de Andrade, D. Ig nacio de Alava, D. Antonio María San Andrés y D. José Masón; á alfére ces, de granaderos á D. Alfonso de Tuero, y de cazadores á D. Miguel de Urguia y D. Lorenzo Fernandez Somera; de fusileros á D. Ignacio Mora les de los Ríos, te…</t>
  </si>
  <si>
    <t>Osorio, Domingo</t>
  </si>
  <si>
    <t>Domingo Osorio</t>
  </si>
  <si>
    <t>…Se suplica á la perso na que sepa su paradero ó muerte tenga la bondad de noticiarlo en Madrid á Don José Diaz, capitán agregado al regimiento de Málaga, y en Salamanca á su padre D. Domingo Osorio, teniente coronel de infantería retirado. El cura párroco de la villa de Ares, arzobispado de Santiago, desea saber la re sidencia de Doña Manuela González de Espinosa, para comunicarla asuntos que la interesar. Se dírsea saber el paradero de D. Francisco Cas…</t>
  </si>
  <si>
    <t>Osorio, Francisco Rodríguez</t>
  </si>
  <si>
    <t>Francisco Rodríguez Osorio</t>
  </si>
  <si>
    <t>…S. Luis de Potosí. S. M. se ha servido Conferir en el regimiento de milicias urbanas de ca ballería de Truxillo compañía al teniente D. Fermín Matos: empleo de al férez al cadete D. Francisco Rodríguez Osorio; y de portaestandartes á los cadetes D. Jo.ié María Lizarzaburu* D. Manuel María Muñoz y al soldado distinguido D. José Francisco de Leca. En ei de Luya y Chillaos el empleo de coronel al sargento mayor del propio cuerpo D. Mariano Rodríguez. En el de León* d…</t>
  </si>
  <si>
    <t>Osorio, José</t>
  </si>
  <si>
    <t>José Osorio</t>
  </si>
  <si>
    <t>43$ Juan de Asas, capitán de Marina. D. Ramón Ayala, teniente de id. D. Juan Moreno, id de id. D. José Osorio, subteniente de id. D. Ramón Rerigel, te niente coronel, comandante de voluntarios de Asturias. D. Pablo Herce, capi tán de id. D. Andrés Pardo, a&gt; udante de id. D. Bernardo Pita , teniente de ¡d. IX Ramón Nuñez, id de id D. José Villamil, subteniente de id.…</t>
  </si>
  <si>
    <t>Osorio, Vicente</t>
  </si>
  <si>
    <t>Vicente Osorio</t>
  </si>
  <si>
    <t>…uel María Prosterla, D. José Bucareli, 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 de Artazo, D» Francisco D’IIautregard, D. José</t>
  </si>
  <si>
    <t>Osteret, Antonio</t>
  </si>
  <si>
    <t>Antonio Osteret</t>
  </si>
  <si>
    <t>…jar,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 histórico del emperador Trajano, á que siguieron la palabra del maestro seis discípulos del último curso,…</t>
  </si>
  <si>
    <t>Ostoiaza, Blas</t>
  </si>
  <si>
    <t>Blas Ostoiaza</t>
  </si>
  <si>
    <t>…para una plaza efectiva de juez auditor de la Rota á D. Vicente Ruiz de Albillos. Asimismo ha concedido S. M. gracia de capellanes de honor á D. Ma tías Vinuesa López de Alfaro; á D. Blas Ostoiaza, y á D. Alfonso Ximenez de Cisneros. Los honores del consejo de Hacienda á D. Manuel López de Araujo, á D. Francisco González Estéfani, á D. Francisco Ortiz Taraa* co, á D. Nicolás Lamiel, y á D. José Teodoro Santos. Conformándose el Rey nuestro Señor con el…</t>
  </si>
  <si>
    <t>Ostoíaza, Blas</t>
  </si>
  <si>
    <t>Blas Ostoíaza</t>
  </si>
  <si>
    <t>…de Posada, y D. José Melendez Bruna. El Rey se ha servido nombrar para la dignidad de deán de la iglesia ca tedral de Cartagena, vacante por fallecimiento de D. Ignacio Ofañez, á Don Blas Ostoíaza, con retención de la capellanía de honor que sirve en la Real capilla; y para la canongía que ha vacado en la catedral de Barbastro por muerte de D. Silvestre Pueyo á D. Pedro Peralta y Balda ; para otra ca nongía de la de Cartagena, por fallecimiento de D. J…</t>
  </si>
  <si>
    <t>Ostolaza, Blas</t>
  </si>
  <si>
    <t>Blas Ostolaza</t>
  </si>
  <si>
    <t>…a; por více-presidente al Sr. D. Andrés Oller, dipu tado por la provincia de Cataluña; y por secretarios á les Sres. D. Manuel María Aldecoa, diputado por la provincia de Vizcaya; D. Blas Ostolaza por la del Perú ; D. Juan José Sánchez de la Torre por la de Búrgos, y Don Tadeo Joaquín Gárate por la del Perú. El señor duque de Ciudad-Rodrigo ha dirigido al señor secretario de Estado y del despacho de la Guerra el parlte siguiente: „Excmo. Señor: conform…</t>
  </si>
  <si>
    <t>…quía ; y por tanto continúa con las ple garias al cielo para que conserve la preciosa vida de V. M. por muchos anos en la mayor prosperidad y grandeza.” El 12 del corriente el Dr. D. Blas Ostolaza, capellán de honor, confe-</t>
  </si>
  <si>
    <t>…ión católica, y felicidad de sus héroycos vasallos. ” Al dia siguiente fueron asimismo admitidos á besar la mano de S. M. los diputados de ia provincia de Truxillo del Peni el Dr. D. Blas Ostolaza , capeliiii de honor de S. M., su confesor honorario, y en exercicio del Sermo. Sr. Infante O. Carlos; el Dr. D. Pedro García Coronel, párroco del pue blo de Ayabaca, y D. José Gavino Ortega, párroco del pueblo de Paiian^ el primero de los cuales pronunció el…</t>
  </si>
  <si>
    <t>…ervirá comunicarlo en el almacén de aceyte de la plazuela de Sto. Domingo. Verd&lt;dera filosofía del alma, ó diario de meditaciones para todos los días de! mes, compuesto por el Dr. D. Blas Ostolaza, capellán y confesor de S. M. y de S. A. el Sr. Infante D. Carlos, á quien lo dedica. Véndese en la librería de Ma tute, calle de las Carretas, á 5 tí. en rústica. Su producto está destinado á beneficio de los pobres enfermos del hospital Gcne-rai de esta cor…</t>
  </si>
  <si>
    <t>Ostolaza, Blas de</t>
  </si>
  <si>
    <t>Blas de Ostolaza</t>
  </si>
  <si>
    <t>…ide..... Toledo (excepto Madrid) Uclés y . . León en tas Ordenes. Sr. D. Luis Melendez Bruna............ .Sevilla, Sigüenza, Jaén y Pamplona* En atención á los buenos servicios de D. Blas de Ostolaza, capellán de honor y confesor que ha sido de .S. M., ha tenido á bien mandar se le dé alojamiento en palacio, y que se le guarden los honores y demas preemi nencias que como á tal ie competen. H ibíendo llegado á Trípoli en el mes de Abril de este año D. Josó…</t>
  </si>
  <si>
    <t>Otamendi, Nicolás de</t>
  </si>
  <si>
    <t>Nicolás de Otamendi</t>
  </si>
  <si>
    <t>…retarios. D. Marcelo de Ondarza, de Gobierno; y D. Alfonso de Ibarra, de MiUoiies. Ministros del Tribunal de Contaduría mayor. D. Pedro Regalado-de Garro; Marques de las Hormazas; D. Nicolás de Otamendi; D. Sebastian Jócano; D. Carlos de JEspinosa; D. Pablo Ruiz de la Bastida. = Palacio n de Agosto de 1814. = Señalado de la Real mano de S. M. 2.0 Restablecido mi Consejo de Hacienda por decreto de hoy para en tender en Jos negocios contenciosos y gubernativos…</t>
  </si>
  <si>
    <t>Oudinot</t>
  </si>
  <si>
    <t>…exér cito permaneció' en sus respectivas posiciones de una y otra parte del rio* Tos prisioneros dicen que las fuerzas enemigas se componían de los cuer pos 7*° y 9&gt;° al mando del mariscal Oudinot, ademas de un gran cuerpo de caballería.. : ... . Entre dos. y tres de la tarde, estando el feld- mariscal Blucher recono ciendo Ja- posición del enemigo en el pueblo, recibió una contusión en- la pierna de una bala de fusil, ia q.ual le pasó la bota, aunque…</t>
  </si>
  <si>
    <t>…nstante. El general Wreue tomo entonces por asalto el puente de la Guillotitre, echó de él al enemigo con pérdida, y ganó asi toda la posición. Amenazado por todas partes, hizo el mariscal Oudinot retirar su exér cito sobre el camino de Troyes. La caballería del general Wittgenstein le dió en su retirada varias cargas pon buen éxito. Diez piezas de artillería, &lt;4 oficiales y a® prisioneros son los resultados de la acción. El enemigo fué perseguido hast…</t>
  </si>
  <si>
    <t>Ovalle, Pedro</t>
  </si>
  <si>
    <t>Pedro Ovalle</t>
  </si>
  <si>
    <t>…rce, capi tán de id. D. Andrés Pardo, a&gt; udante de id. D. Bernardo Pita , teniente de ¡d. IX Ramón Nuñez, id de id D. José Villamil, subteniente de id. D. Manuel Uznia, id. de id. D. Pedro Ovalle&gt; id. de id., D. Juan Canal, capitán del de Santiago. D. Juan de Castro, teniente de Id. D. Benito Martínez, id. de Id. D. Juan Guillen, subteniente de id. D. Francisco Quiroga, id. de id. D. Juan Cancela, id- de id. D. Bernabé de las Pallas, id. de id. D. Mar…</t>
  </si>
  <si>
    <t>Ovanguren, Diego</t>
  </si>
  <si>
    <t>Diego Ovanguren</t>
  </si>
  <si>
    <t>…-o: el coronel Don José Menaut 25: el capitán D. Santiago Agesta 25 : D. Cárlos Santos Gon zález 25: el capitán D. Francisco Valdes de Velasco 10: D. Manuel Ages ta y Otamendi 40: D. Diego Ovanguren 12 : D. Juan Baptista Echegaray,, administrador de tabacos, 6: D. José Ncdar 12: D. Santiago Chaves y Villota 6: D. Tomas Castillo 6; y D. José Antonio Salamanca, cura vi cario de Puquina, 12. Total 1126 pesos. Real cédula de S. M. y señores del Consejo, por…</t>
  </si>
  <si>
    <t>Owen</t>
  </si>
  <si>
    <t>…mer secretario de la embaxada. Extracto de varios oficios remitidos por el almirante Young d bordo del Invencible en el Roompot d ip de diciembre de 1813. Habiendo desembarcado el capitán Owen con las tropas de marina en la parte meridional de la isla de Beveland, remito la relación del modo con que ha sido recibido por los habitantes. Ter-Goes 17 de diciembre. ,,Esta mañana a-1 amanecer me hice á la vela con los destacamentos de tropas de marina q…</t>
  </si>
  <si>
    <t>…sajos que lian recibido de ios habitantes. = G. W. O-wen, capitán del Cornwaíl.” Invencible 20 de diciembre. ,, Ruego á V. participe á los lores comisarios del almirantazgo que el capitán Owen estaba el 18 de este mes en Borselen (parte meridional de Bevelan) Habiendo sabido dicho capitán que el enemigo hacia requisiciones en Krabbendyke para Batz, envió al mayor Bartíeman, cuyas tropas, de sando sus mochilas, persiguieron al enemigo, aunque no pud…</t>
  </si>
  <si>
    <t>Oyen, José</t>
  </si>
  <si>
    <t>José Oyen</t>
  </si>
  <si>
    <t>…del Cas tillo, á D. Marcos Ponce de León ; y para el beneficio curado de la villa de Andoain , diócesis de Pamplona, vacante por fallecimiento de D. Juan Bau tista de Barberena, á D. José Oyen.¡rte, teniente de cura de la parroquia de S. Vicente.de la ciudad de S. Sebastian. . f . Por real resolución á consulta de la Cámara ha nombradoS. M. para nna plaza del Consejo Reai, vacante por fallecimiento de D. Juan Antonio In— guanzo, y renuncia de D. Pe…</t>
  </si>
  <si>
    <t>Oyenarte, José</t>
  </si>
  <si>
    <t>José Oyenarte</t>
  </si>
  <si>
    <t>…rcía del Castillo , á D. Mar cos Ponce de Leen: para el beneficio curado de la villa de Andoain , dióce sis de Pamplona, vacante por fallecimiento de D. Juan Bautista Barberena, á D. José Oyenarte, teniente de cura de la parroquia de S. Vicente de ú ciudad de S. Sebastian. Para el deanato primera silla de la iglesia catedral de Canaria, vacante por muerte de D. Miguel Mariano de Toledo, á D. Santiago José Benco mo ; y para la dignidad de chantre de la…</t>
  </si>
  <si>
    <t>Oyven</t>
  </si>
  <si>
    <t>…El general Graham avanzó hoy, y luego que se rinda Berg opzootn, marchará el exército á Ambéres. Se supone que B^tz*. al,sur, d% Beveland, se rindió á las fuerzas mandadas por el capitán Oyven.___Se asegu ra que los franceses recibieron orden de evacuar el Brabante,; ío que parece cierto, pues habiendo el general Mortier salido de París cpq todas las fuer zas que pudo reunir con dirección á los Paises-Baxos, recibió contraorden, y volvió repentinam…</t>
  </si>
  <si>
    <t>O’Doneli, Cárlos</t>
  </si>
  <si>
    <t>Cárlos O’Doneli</t>
  </si>
  <si>
    <t>…s de campo marques de Casa-Cagi— gal, D.. Rámon de Alós, D Pedro Ignacio Correa, D. José de Zarauz* D. Francisco Salinas de Moñino, D. José del Pozo y Sucre, conde de Bel— bedel , D. Cárlos O’Doneli, D. Bernardo de Acuña , D. José Marta de Carvajal, el marques de Zayas, D. José María de Alós , D. Felipe de Paz, Príncipe de Anglona, D. Juan Senen de Coimeras, D. Felipe KeatingRoche, y D. Francisco Cabrera. A mariscales de campo á los brigadieres D. Miguel…</t>
  </si>
  <si>
    <t>P, María Estrella</t>
  </si>
  <si>
    <t>María Estrella P</t>
  </si>
  <si>
    <t>…suerte de D. Manuel de Bu&amp;tamante., subteniente del regimiento de infantería de Guad.íi áxara, que pasó al Norte; el dél teniente del mismo D. Juan de Mata Sánchez, ó de su muger Doña María Estrella P/ado; el de D. Domingo xMartinez, capitán del batallón de infantería ligera de Campomtypr, ó sus herederos, para comunicarles asuntos de intereses; á cuyo efecto podrán pa sar i verse con D. Bernardino Gómez, que vive en Madrid, calle de las Huertas, esquina á…</t>
  </si>
  <si>
    <t>P, Pedro</t>
  </si>
  <si>
    <t>Pedro P</t>
  </si>
  <si>
    <t>…toria, ó tratado elemental de las operaciones de cirugía: escrita en francés por el ciudadano Pedro ¿assus, profesor de la junta de sanidad de París, y traducida al cástellano por D. Pedro P^réz, ayudante» de cirujano mayor de Jos Reales exército*., Era necesario publicar un nuevo tratado del arte de curar las en* fermedades por la operación de la manó,; y juntar los descubrimientos de Ibs mo derno», comparando sus observaciones con las de los an…</t>
  </si>
  <si>
    <t>P-icton</t>
  </si>
  <si>
    <t>…de detallar, el general Huí arrojó at enemjgo de sus obras exteriores en el arrabal sobre la izquierda del Garona, hasta encerrarlo dentro de la anti-. gua muralla; y el teniente general P-icton con la división tercera arrojó al enemigo dentro de la cabeza de puente sobre el del cana!, que está mas in mediato al rio. Pero habiendo hecho sus tropas un esfuerzo para apoderarse de él fi.eroñ rechazadas con alguna «pérdida. El mayor general Brisbaune fué…</t>
  </si>
  <si>
    <t>Pa</t>
  </si>
  <si>
    <t>…renta real. Su precio 4 rs. Nueva gramática de la lengua francesa y castellana, nuevo método para apren der el francés en poquísimas lecciones y casi sin necesidad de maestro: por D. Pa blo Antonio Novella, maestro de lengua italiana, francesa y castellana. Este com pendio ademas contiene cartas de amistad, de comercio y de cambio, una especie de vocabulario doméstico, 20 diálogos familiares, una tabla para conjugar qualesquiera verbo con la…</t>
  </si>
  <si>
    <t>Pa, Felipe</t>
  </si>
  <si>
    <t>Felipe Pa</t>
  </si>
  <si>
    <t>…e dicha de disfrutar de la presencia del mejor de los Soberanos por es* pació de quatro horas y media. ■ r ■. t ; 1 ' ' ' i El dia 28 de Julio último D. Cristóbal Roxo y Carabaño, D. Felipe Pa reja iy.D^ Juan Santana, comisionados por ria villa de Brihuega, del partido de Alcalá, en la*provincia de Toledo, tuvieron5el honor de cumplimentar á $. M. ; con cuyo motivo el prinierode ellos dixo : * í ,,Señor: D. Cristóbal dlbxo y Carabaño , D. Felipe Pa…</t>
  </si>
  <si>
    <t>Pa, Manuel de</t>
  </si>
  <si>
    <t>Manuel de Pa</t>
  </si>
  <si>
    <t>…Coloma, I&gt;. Melchor de Mon— toya , y D. Manuel de Castro. Cruces pensionadas de la Real y distinguida orden española de Cárlos III, Al conde de Viílapaterna, mayordomo de semana; D. Manuel de Pa lomera , secretario de la mayordomía mayor; D. Domingo Ramírez de Aieiláno, y D. Isidoro Montenegro^ gentileshombres de cámara con entrada. Asimismo se ha servido S. M. promover en este día á capitán general de sus Reales exércitos'al teniente general marques…</t>
  </si>
  <si>
    <t>Pab</t>
  </si>
  <si>
    <t>…aliados se dirigieron sobre París. El 18 Bonaparte acometió en Nangis, con un grueso cuerpo de caballería, al cuerpo avanzado de la división del conde Wittgenstein, mandado por el conde Pab len , y le rechazó con una pérdida considerable , tanto en hombres como en artillería. Entonces el príncipe Schwartzenberg hizo retirar su exército al otro lado del Sena. El dia 19 acometió el enemigo por tres veces y furiosamente at cuerpo del príncipe real…</t>
  </si>
  <si>
    <t>Pablen</t>
  </si>
  <si>
    <t>3 2 cuerno. El conde Pablen sobre la derecha empezaba ya á amenazar la reta* guardia dei enemigo. En este momento el príncipe Schwartzemberg mando á cinco batallones fvivaros pasar el Barce cerca de Courcerange, establecerse en los bosques de la derecha de este rio, y ponerse en comunic…</t>
  </si>
  <si>
    <t>Pablo</t>
  </si>
  <si>
    <t>…sia el nó'mbre dél Rey intruso.’' ' * . . •' ' ' . - »- . . . r i . • - * - &lt; ' AI*día siguiente tuvieron asimismo é! honor de cumplimentar y besar a. S* M.. su. reai mano el Lio. D. Pablo* Román , regidor de la villa de Sepul-</t>
  </si>
  <si>
    <t>…nte por fallecimiento de D. Pedro José Victoria, á Frey Don ^Domingo María Tordera;,y para una ración de la iglesia primada de Tole«lo , vacante por.muerte de D. Fermín Quadros, á D. Pablo de la Torre. , Atendiendo el Rey á la infatigable y ardiente caridad cristiana y amor 'decidido á la patria de Doña Pauta Atienza , vecina de esta corte, y natu ral de la villa de Humanes, provincia de Goadaíaxar.- , y considerando qoaa dignas de premio son l…</t>
  </si>
  <si>
    <t>Pablo, Antonio</t>
  </si>
  <si>
    <t>Antonio Pablo</t>
  </si>
  <si>
    <t>…delirios, capitán de granaderos del regimiento de voluntarios distin guidos de la Concordia española del Perú, se ha servido el Rey promoverle á Brigadier de sus reales exercitos. D. Antonio Pablo ríe Uríaeía, del comercio de Guadalaxara, remitió á Don Agustín Dallares, do Barcelona, en 5 de Junio de 1808, dos vales realas de 150 pesos, creación de i.° de Enero, números 24^458 y 258345, sin mas endosos ene e! de Udneta á Dallares; y no habiendo llegado…</t>
  </si>
  <si>
    <t>Pacca</t>
  </si>
  <si>
    <t>…ITALIA. Roma ¿1 de Agosto. Acaba de llegar aquí el príncipe de Esterhasy* encargado de una misión, extraordinaria de ia corte de Viena cerca deS.S.': ha sido ya presentado al Emo. cardenal Pacca, pro-secretario de Estado, por el caballero de Lebzeltern, ministro plenipotenciario de Austria; y mañana le dará audiencia S. S. SUECIA. ...........Gotemburgo i.° de Setiembre. Según una nota de oficio fixada hoy en la Lonja, se han abierto ya los puertos de…</t>
  </si>
  <si>
    <t>…á solemnizar estas públicas demostraciones. ITALIA. Roma 25 de Agosto. El 15 del corriente se publicó aqui un edicto del camarlengo de la Santa Sede y pro-secretario de Estado el cardenal Pacca, concerniente al restable cimiento de las órdenes religiosas, cuyo contenido es el siguiente: Entre los males que han ocasionado los trastornos de que hemos sido testigos, uno de los mas graves ha sido sin duda la opresión y la ruina casi rotal de las familia…</t>
  </si>
  <si>
    <t>…de ausencia, él caballero D. Antonio Vargas y Laguna, ministro ple nipotenciario y enviado extraordinario de S. M. Católica cerca de la S nta Sede. Al dia siguiente se presentó al cardenal Pacca , pro-secretario de Es tado, y después tuvo audiencia de S. S., de quien fue recibido con suma afabilidad y afecto. El Padre Santo ha tenido grande satisfacción en ver nue vamente á este caballero,que por su invicta firmeza en los trabajos, por su amor y adhe…</t>
  </si>
  <si>
    <t>Paccat</t>
  </si>
  <si>
    <t>…, la facultad de irse á sus casas. El sabio P. Fontana, general de los barnavítas; monseñor Gregorio, secretario de la congregación de los Concilios; Mr. Pedicini , secretario del cardenal Paccat ministro secretario de Estado de S. S., encerrados hace</t>
  </si>
  <si>
    <t>Pacheco, José de Miera y</t>
  </si>
  <si>
    <t>José de Miera y Pacheco</t>
  </si>
  <si>
    <t>…ector general de espolios y vacantes: para una canongía de la iglesia colegial de Antequera, dió cesis de Málaga, vacante por fallecimiento de D. Francisco de Paula Man— silla , á D. José de Miera y Pacheco : para una canongía de la iglesia primada dé Toledo, vacante por tallecí miento de D. Francisco Xavier de Cóntreras, á D. Cayetano de Campos, canciller deja inigne orden del Toyson de Oro y cura del Real palacio: para una ración de la iglesia cate dral de Mál…</t>
  </si>
  <si>
    <t>Pacheco, José Victoriano Gallar do</t>
  </si>
  <si>
    <t>José Victoriano Gallar do Pacheco</t>
  </si>
  <si>
    <t>…cardo de Alava para su inteligencia y satisfacción. Dios guarde á V. S. muchos años. Madrid 24 de Noviembre de 1814. = Francisco Eguía* El Rey nuestro Sr. se ha servido conceder á D. José Victoriano Gallar do Pacheco el permiso de poder llevar la cruz de la Flor del Lis, con que S. M. Cristianísima le ha condecorado en premio del valor y constante ad hesión que ha mostrado á la augusta casa de les Borbones. Habiéndose vuelto á establecer el correo de Italia como se hallab…</t>
  </si>
  <si>
    <t>Pacheco, Tomas</t>
  </si>
  <si>
    <t>Tomas Pacheco</t>
  </si>
  <si>
    <t>…ar nuestras baterías de aquel punto, pasando la barra que está entre la laguna y el mar; pero siempre fueron rechazados con mucha pérdida ..por el valor del comandante de la barra D. Tomas Pacheco, y por hMÓestreza de la batería del Pueblo viejo. El se reforzaron los buques de mar con otros 12 mas, entre ellos una corbeta, dos bergantines, tres lanchas cañoneras, y las demas goletas de varios por tes. El 14 en la noche, protegidos por la obscuridad, in…</t>
  </si>
  <si>
    <t>Pack</t>
  </si>
  <si>
    <t>…es qüe él general Freyre püdverá formarse, y volver al ataqüé. Luego que esto se verilicó continuó, eírnaríscal su movimiento por toda la cresta dé ia altura, y con la brigadi del general Pack tomó los reductos principales y la casa fortificada que el enemigo tenia en su centro. El enemigo hizo un esfuerzo desesperado desde el canal pára volver ó tomar e! reducto ; pero fue rechazado con pérdida considerable, y continuando la sexta división sú movi…</t>
  </si>
  <si>
    <t>Padilla, Miguel</t>
  </si>
  <si>
    <t>Miguel Padilla</t>
  </si>
  <si>
    <t>…a de la nación. El día 16 del corriente fué admitida á besar la R. M. de S. M. y AA. una diputación de la ciudad de Badajoz, capital de la provincia de Extrema* dura, compuesta de D. Miguel Padilla, D. Diego de Ibarra y Moya, y D. Pedro Perez Pedrero, quienes después de cumplimentar á S. M. y AA. entregaron en sus reales manos la siguiente carta de su ilustre ayuntamiento.</t>
  </si>
  <si>
    <t>Padillay, Miguel</t>
  </si>
  <si>
    <t>Miguel Padillay</t>
  </si>
  <si>
    <t>…Ttrluca en Nueva-Es pan a; i D.rjuan: Francisco-Sánchez, y Tena, canónigo de la santa iglesia de Astorga; á D. Tomas Vallejo j(;Zumaran=, regidor y alcalde provincial de.'Limá ; a'D. Miguel Padillay coronel graduado de-mi licias; al baton de-Herves D. RafáelRam dé VJu y'Pueyo 5 á D. Alonso Adam, ayudante^retirado del regimiento de infantería de.línea de Córdoba; át D . F rancisco Galvez, dignidad: de tesorero de ia* santa iglesia de Córdoba; dt Me Japina…</t>
  </si>
  <si>
    <t>Padre, Rey</t>
  </si>
  <si>
    <t>Rey Padre</t>
  </si>
  <si>
    <t>…ingún Prelado Eclesiástico pudieran ponerse en execucion sin la concurrencia de ambas calidades. Con igual propósito de atajar abusos de no menos consecuencia tuvo á bien el mismo Señor Rey Padre mandar por resolución á consulta del Con sejo, y Real cédula expedida en 23 de Febrero de 1806 , que se retuviesen los Breves que habian impetrado de S. S. varios Regulares secularizados pa ra ob:en;r Beneficios eclesiásticos, y que en lo sucesivo no se admit…</t>
  </si>
  <si>
    <t>Padró, Diego</t>
  </si>
  <si>
    <t>Diego Padró</t>
  </si>
  <si>
    <t>…vino del Norte con el Excmo. Sr. marques de la Romana, para comunicarle noticias que le son muy interesantes. El mismo interesado ó la persona que le represente podrá dirigirse al Sr. D. Diego Padró, presbítero, prior de la iglesia parroquial de la villa de Reus en Cataluña. . Los hermanos, cuñados, sobrinos ó qualesquiera persona que tenga algún pa rentesco con D. Mariano Saavedra y Molina, guardia de Corps que fué de la com pañía española, tendrán la b…</t>
  </si>
  <si>
    <t>Padrón, Antonio José Ruiz de</t>
  </si>
  <si>
    <t>Antonio José Ruiz de Padrón</t>
  </si>
  <si>
    <t>…r de Pinarejos, del obispado de Segovia, ó el de sus hijos Lorenzo y Vicenta Vega, se servirá avisarlo á D. Juan Manuel Marcos, cura párroco del mismo pueblo. Carta segunda al Dr. D. Antonio José Ruiz de Padrón, ex.ministro calificado del extinguido santo oficio, abad de Viilansartin de Vaideorres, y diputado que Tue en las Cortes extraordinarias por las Islas Canarias, sobré varios puntos "de sil dictámen en orden al tribunal de la Inquisición, leído en la sesión p…</t>
  </si>
  <si>
    <t>Paez, Dionisio</t>
  </si>
  <si>
    <t>Dionisio Paez</t>
  </si>
  <si>
    <t>…itán déla mis ma arma D. Amadeo Mora, y al sargento mayor D. Cayetano Blengua. A subtenientes en el batallón de milicias disciplinadas de infantería de Chiquimula, en Goatemala, á D. Dionisio Paez, D. Manuel José Sandoval y Don Juan José Palma, sargentas del propiobeuerpov &lt; * ; ' D. Gonzalo de Herrera, diputado en Cortes por la isla de Cuba, deseo so de dar pruebas de su amor á riuestró monarca el Sr. D. Fernando vn, ha puesto á disposición del Gobier…</t>
  </si>
  <si>
    <t>Paez, Francisco Verdejo</t>
  </si>
  <si>
    <t>Francisco Verdejo Paez</t>
  </si>
  <si>
    <t>…n la de Atvarez, y en Sala manca en la de Barco. Tratado de agrimensura ó arte de medir tierras y aforar líquidos, para el uso é instrucción de agrimensores y labradores: su autor D. Francisco Verdejo Paez, el hijo. Esta obrita, que es tal vez la mas completa de las que en el dia se conocen, se divide en dos partes: la primera es un tratado elemental de aritmética, que ade mas de servir de introducción á la segunda parte, puede ser muy útil para todos l&lt;os que…</t>
  </si>
  <si>
    <t>Pagóla, José</t>
  </si>
  <si>
    <t>José Pagóla</t>
  </si>
  <si>
    <t>…nchaca# JA D. Luis Bertrán, Oficial mayor primero de mi Se¿tere ano...............^ cretaría de Estado y del Despacho de la Guerra. Sala de Justicia. rk D. Guillermo de Vargas. 1A D. José Pagóla. , J A D. Ramón Navarro Pingarron. Togados................... &lt;j ^ j)# jUa0 pagZ de la Cadena. | A D. Francisco Ugarte. CA D. Ramón Pisón, Fiscal. =Tendreislo entendido, y lo comunicareis á quien corresponda para su cumplimiento. e= Señalado de la Real mano d…</t>
  </si>
  <si>
    <t>Pagóla, Pedro</t>
  </si>
  <si>
    <t>Pedro Pagóla</t>
  </si>
  <si>
    <t>…rer, D. Juan Puig, D. Inocente Mercadillo, D. Francisco Zarracina, D. Francisco Trovano, y á los soldados del f.° regimiento de la propia arma í). Joaquín; Irizar, D. Pablo López, D. Pedro Pagóla, D. Pedro Larrumbé y D. Ca yetano Ortega, en atención á su constante aplicación al estudio , aprove chamiento y buena conducta. Se avisa al público que el lunes 8 de este mes á las 10 de su mañana en la cata del ayuntamiento de la ciudad de Pamplona se encend…</t>
  </si>
  <si>
    <t>Pahleut</t>
  </si>
  <si>
    <t>…como quiera ha adquirido mucha gloria en este dia. Las tropas francesas han sido arrojadas con pérdida considerable de to das las posiciones que ocupaban en este lado del Aube. El conde Pahleut les hizo mucho daño al pasar el puente de Doulancour. El general Wrede ha establecido su vanguardia en Spoy, en el antiguo camino de Vandeouvre. Parece que el enemigo ha tenido en la acción de este dia los cuerpos del mariscal Víctor, de Oudinot y parte del d…</t>
  </si>
  <si>
    <t>Pajol</t>
  </si>
  <si>
    <t>…del duque de Belluno y del general Girard delante de Nogent, y el séptimo cuerpo del duque de Reggio en Provins, encar gado de la defensa de los puentes de Bray y Montereau, y ai .general Pajol cerca de Montereau^y de Melun. ; „ Habiendo sabido el duque de Belluno que varias divisiones del exérci to austríaco habían marchado de Troyes el día 10 para avanzar sobre No gent, hizo que volviese á pasar el Sena su cuerpo de exército, dexando al general Bo…</t>
  </si>
  <si>
    <t>…cuerpo de Wrede y los wirtemburgueses estaban en la posición de Montereau, se dirigió allá con los cuerpos de Víctor y de Girard , y con la guardia de in fantería y caballería. El general Pajol marchó también de Melun á Moñtereau. El enemigo quiso defender la posición; pero fué destrozado con tanto vigor, que la ciudad y puentes del Yone y Sena fueron tornados á viva fuerza, quedando intactos para perseguir por ellos ai enemigo. Tenemos .a tualmente…</t>
  </si>
  <si>
    <t>Pakenham</t>
  </si>
  <si>
    <t>…ha de las últimas noticias á 30 millas de Annápolis. Está prohibida la extracción de harinas y granos en el Baxo-Canadá, excepto para la costa de Labrador. Se asegura que el mayor general Pakenham está nombrado para suceder al desgraciado general Ross en el mando de nuestro exército de América. Este valeroso oficial es cuñado del duque de Wellington, y hermano del conde de Longíbrd, y sé halló de ayudante general del exército ingles en lá última guerra…</t>
  </si>
  <si>
    <t>Palacio, Francisco Ventura de</t>
  </si>
  <si>
    <t>Francisco Ventura de Palacio</t>
  </si>
  <si>
    <t>…én ingleses ,que esta mañana han salido para Francia. Madrid 23 de Mayo. El lunes 16 del corriente besaron la mano y cumplimentaron á S. Mi, á nombre de su cabildo,D. Tomas Lapeña,D. Francisco Ventura de Palacio, D. Ramón María de Adurriaga y D. Eugenio Gómez Alfaro, canónigos de )a santa iglesia metropolitana de Burgos, el primero de los quales arengó á S. M. en los términos siguientes: „ Señor: el cabildo de vuestra iglesia metropolitana de Burgos tiene el honor de…</t>
  </si>
  <si>
    <t>Palacio, Joaquín</t>
  </si>
  <si>
    <t>Joaquín Palacio</t>
  </si>
  <si>
    <t>…ónigo de la iglesia metropolitana de Zaragoza , se ha servido S. M. nombrarle para la plaza del tribunal de la Rota de la Nun ciatura apostólica, vacante por renuncia que ha hecho D. Joaquín Palacio, auditor decano de dicho tribunal. El Rey ha resuelto que se reponga á D. Miguel Cabanellas en su em pleo de director general de epidemias de los rey nos de Valencia y Mur cia , mandando se publique en la gaceta esta soberana resolución. Los que tengan algún…</t>
  </si>
  <si>
    <t>Palacios, Esteban de</t>
  </si>
  <si>
    <t>Esteban de Palacios</t>
  </si>
  <si>
    <t>…M. una diputación de Venezuela, en la América del Sur, compuesta de los Sres. D. José Domingo Ros, fiscal de Real Hacienda1 por S. M* , y nom brado especialmente por Maracaybo, y D. Esteban de Palacios, del:Conse jo de S. M., ministro del tribunal de la Contaduría mayor; y tomando efe primero la palabra habló en los términos siguientes: „.Señor: las provincias leales de Venezuela, entre ellas M racaybo, que me dió todos sus poderes, tienen hoy el alto honor…</t>
  </si>
  <si>
    <t>Palacios, Francisco</t>
  </si>
  <si>
    <t>Francisco Palacios</t>
  </si>
  <si>
    <t>…la segunda compañía. Otro tiro llevó el brazo izquierdo al de igual clase de la tercera, Herrero, é hizo una contusión un casco de ella al ayudante del mis mo cuerpo de zapadores D. Francisco Palacios. Los tiros en este dia serian unos 300 El 2 ha hecho muy poco fuego la plaza: la batería de la derecha ha que dado perfectamente construida, y sentadas sus explanadas; por la noche de bía hacerse llevado la artillería; pero dicen se ha detenido á causa de con…</t>
  </si>
  <si>
    <t>Palacios, Francisco Ventura</t>
  </si>
  <si>
    <t>Francisco Ventura Palacios</t>
  </si>
  <si>
    <t>…Valladolid, por consideración á sus méritos literarios y dilatados buenos servicio^: para la canongía que resulta vacante en Ja iglesia metropolitana deBúr-. go^, por promoción de D. Francisco Ventura Palacios á la abadía de Covarrobias, dignidad de la misma iglesia, á D. José Maza Pedrueza ; y en re muneración á los distinguidos servicios que ha hecho á la religión y al esta do D. Juan Antonio Mantilla, capellán mayor del oratorio de S. Felipe Neri de la ciudad de…</t>
  </si>
  <si>
    <t>Palacios, Manuel</t>
  </si>
  <si>
    <t>Manuel Palacios</t>
  </si>
  <si>
    <t>…la propia clase D. José Torres , D. José Alexo de los Ríos, D. Juan Manuel Piñeyro y D. Juan Felipe Negron. En el de milicias urbanas de dragones de Carabayllo tenencia al alférei D. Manuel Palacios; y esta resulta ai cadete D**Melchor Velasco. En el de Chota el empleo de teniente coronel al comandante de esqua dron D. Gregorio de la Torre; y esta resulta á D; Manuel Bernal, sargen to mayor del propio cuerpo. En el de Andahüaylaí compañíasf al ayudante D…</t>
  </si>
  <si>
    <t>Palafi, José</t>
  </si>
  <si>
    <t>José Palafi</t>
  </si>
  <si>
    <t>…Dios guarde á V. I. muchos años. Madrid 24 de Junio de 1814. El Rey.se ha servido nombrar capitán general del exército y reyno de Aragón al capitán general de los reales exércitos D. José Palafi x. Tamben se ha dignado S M. conferir la capitanía general de la costa de Granada al mariscal de campo conde del Montijo.</t>
  </si>
  <si>
    <t>Palafox, José de</t>
  </si>
  <si>
    <t>José de Palafox</t>
  </si>
  <si>
    <t>Gazeta de la Regencia de las Españas n.º 42 (extraordinaria)</t>
  </si>
  <si>
    <t>…ARTICULO DE OFICIO. CARTA DEL REY A LA REGENCIA DEL REYNO. Me ha sido sumamente grato el contenido de la carta que me ha escrito la Regencia con fecha de 28 de Enero, remitida por D. José de Palafox: por ella he visto quanto anhela 3a Nación mi regreso; no menos lo deseo Yo para de dicar mis desvelos desde mi llegada al territorio español á ha cer la felicidad de mis amados vasallos, que por tantos títu los se han hecho acreedores á ella. Tengo la satisf…</t>
  </si>
  <si>
    <t>Palafox, Josef de</t>
  </si>
  <si>
    <t>Josef de Palafox</t>
  </si>
  <si>
    <t>1040</t>
  </si>
  <si>
    <t>…territorio; y de su recibo me dará V. aviso. Dios guarde á V. muchos años. Madrid 5 de Setiembre de 1814. Circular del Ministerio de Guerra. AI Capitán General del Reyno de Aragón D. Josef de Palafox digo con esta fecha lo que sigue: „He dado cuenta al Rey de quanto V. E. me manifiesta en su pape! de 4 del actual relativo á hacerse extensiva la gracia concedida á los Generales, Gefes y Oficiales por el segundo sitio de Zaragoza, á los Soldados y habi tant…</t>
  </si>
  <si>
    <t>Palaifox, Francisco Xavier Castaños y D José</t>
  </si>
  <si>
    <t>Francisco Xavier Castaños y D José Palaifox</t>
  </si>
  <si>
    <t>…cipalmente con el’ de Hacienda; y en consecuencia se sirvió S. M.conformándose con la propuesta de S. A. R., nombrar para que compongan la e'prenda Junta á los Capitanes Generales D. Francisco Xavier Castaños y D José Palaifox; los Tenientes Generales Marques de Castelar y D. Ramo &gt; Vilialha; los Mariscalesade Campo D’. Carlos O Donell, D. Tomas O Donejú y D.Lu isW imptén, y para Secretario al Brigadier Capitán de Reales Guar dias Españolas Marques dé la-Roca.” H1 Rey nuestro Señor…</t>
  </si>
  <si>
    <t>Palarea, Juan</t>
  </si>
  <si>
    <t>Juan Palarea</t>
  </si>
  <si>
    <t>…n Iojs retratos á caballo, que formarán colección: c) teniente general D. Pedro Villacampa, D. Juan de Tapia,, el barón de Eróles, D. Juan Martin el Empecinado, D. Julián Sánchez, D. Juan Palarea (el Médico), D. Francisco Abad (Chaleco), á 8 rs. iluminados y á 4 en negro. Se irán publicando los restantes heroes que mas se han distinguido en. defensa de la patria. MADRID EN LA IMPRENTA NACIONAL.</t>
  </si>
  <si>
    <t>…Xavier Mina á caballo en medio pliego, que hace co lección con los de D. Juan Martin (el Empecinado), el barón de Eróles, D. Juan de Tapia, D. Pedro Yiilscampa, D. Julián Sánchez, D. Juan Palarea (el Médi co) y D. Francisco Abad y Moreno. Se continúa grabando los demas patriotas que mas se han distinguido en defensa de la patria. Se venden en ¡a librería de Quiroga, calle de las Carretas, fonda del Angel, y en el almacén de estampas calle Mayor, frent…</t>
  </si>
  <si>
    <t>…r su distinguido mérito: contiene el primer quaderno que se da al público los retratos del marques de la Romana, D. José Palafox y Melcy, D. Martin de la Carrera, el Empecina do , D. Juan Palarea, el Médico, y D# Juan de Tapia , el Cura, con sus correspon dientes epígrafes, cuya obra se ha hecho con el mayor esmero, como obra que en todo tiempo honrará la nación. Se hallarán de venta este y los demas quedemos que se publicarán en Madrid en la Real cal…</t>
  </si>
  <si>
    <t>Palatino</t>
  </si>
  <si>
    <t>2007 aon se dice que estos matrimonios se celebrarán durante él congreso. Hace algún tiempo se hablaba del matrimonio dei príncipe Palatino con la gran duquesa de Oldemburgo; pero en el dia se dice que es el archiduque Carió* quien pide la mano de esta princesa. El archiduque debe salir inmédiatamente con una comitiva muy numerosa á recibir al rey de Pruna. SUIZA. Basilea 7 de Setiembre, Los cant…</t>
  </si>
  <si>
    <t>Palatox, José de</t>
  </si>
  <si>
    <t>José de Palatox</t>
  </si>
  <si>
    <t>…y otros mu chos personages distinguidos , todos á caballo. S. M. venia acompañado, en el carro triunfal, de S. A. el $r. Infante D. Cárlos y de los generales duque de San Cárlos y D. José de Palatox. . Los triunfos de ios emperadores romanos y de los conquistadores dexaban en ,sü‘carrera impresas las huellas de la ambición y del orgullo de todas las pasiones; pero esta entrada triunfante en Zaragoza solo respira fidelidad,</t>
  </si>
  <si>
    <t>Palencia, Juan López</t>
  </si>
  <si>
    <t>Juan López Palencia</t>
  </si>
  <si>
    <t>…mismo dia tuvieron igualmente el honor de felicitar y besar la Real mano de S. M. y Sermos. Sres. Infantes en diputación por la villa de Moratalla, del rey pode Murcia, los Sres. D. Juan López Palencia, regidor per» petuo y del 'primer estado de ella , y El. Simón Gallardeo y Rqxq, coman dante del batallón de patriotas de la misma villa; de los quales el primero dixo á S. M. lo que signe: &gt;, Señor: la villa de Moratalla siempre leal á la augusta Persona &lt;J.…</t>
  </si>
  <si>
    <t>Palenzuela, Juan José González</t>
  </si>
  <si>
    <t>Juan José González Palenzuela</t>
  </si>
  <si>
    <t>…J donde se les enterará de su valor, y mani festarán Jos títulos de legitimidad. , ; Los hijos ó herederos que hayan quedado por muerte d* D. Pedro Manuel de .Folgueras, y el Licu D. Juan José González Palenzuela,'que según noticias falle cieron en esta corte, acudirán á D. Mar#cel de’Velasco, vecino y del comercio de la misma, en su casa sita calle de Bordadores, núm. 16 y 17, quarto principal, pa ra comunicarles varias noticias interesantes, Se halla vacante la plaz…</t>
  </si>
  <si>
    <t>Paliza, Pedro López</t>
  </si>
  <si>
    <t>Pedro López Paliza</t>
  </si>
  <si>
    <t>…do-cercado con pared de cal y canto de io pies de altura, y con Ja circunstancia de estar la iglesia á 100 pasos de distancia; el que quisiese comprarla acudirá á su administrador D. Pedro López Paliza, residente en Trucios, en di— ch as inmediaciones de Laredo, quien dará de todo las noticias convenientes, y en esta corte á D. Manuel Martínez, que vive en la calle de S. Isidro á S. Francisco, liúm. 25, quarto principa!. Doña Josefa Aznar, muger del adminis…</t>
  </si>
  <si>
    <t>Palma, IBlas Joaquín Alvsrcz de</t>
  </si>
  <si>
    <t>IBlas Joaquín Alvsrcz de Palma</t>
  </si>
  <si>
    <t>…uctor de embaxadores. Ultimamente S. M. se ha servido nombrar para el arzcbipado de Grana da, que se halla vacante por fallecimiento dei limo. Sr. D. Juan Manuel Mo ^coso, al limo Sr. D. IBlas Joaquín Alvsrcz de Palma, obispo -de Jferuel, para la dignidad de arcediano de Huete en la iglesia catedral de Cuenca, vacante per muerte de D. José de las Casas Maán, á D. Bernardo Martí nez, c nónigo de la de Orense ; para una canongía de la iglesia catedral de Oviedo, vacante por…</t>
  </si>
  <si>
    <t>Palmarola</t>
  </si>
  <si>
    <t>…page. El 2 marcharon todos ios dragones, el 3 los vivanderos y cafete ros , y el 4 los 30 soldados que había en Castellón , y el receptor. En ei castillo de $an Fernando quedan el general Palmarola en clase de gobernador, el batallón número 8ó.°, dos del 14.°, uno del 121.0 y dos compañías de artilleros. 1En la villa de Figueras se hallan los generales Lamarque y Nogues con dos bata Iones del 121.°, uno del número 14.0, tren de artillería y equipages. E…</t>
  </si>
  <si>
    <t>Palomares, Manuel</t>
  </si>
  <si>
    <t>Manuel Palomares</t>
  </si>
  <si>
    <t>…ación, situada en la calle del Duque de Alba, casa del establecimiento del Crédito púbiico, y en las provincias á los comisionados siguientes: En Avila............................ D. Manuel Palomares. En Badajoz....................... D. Carlos Sebastian Malagamba. En Barcelona.................. D. Ramón Llordella. En Burgos.......................... D. Ramón Martínez Montaos. En Bilbao........................... D. Francisco de la Mata. En Cádiz.........…</t>
  </si>
  <si>
    <t>…le del Duque de Alba, casa dei establecimiento del Crédito público, y en las provincias á los comisionados siguientes: • t ■ i, j , ■ i ■ ¡ ■ • i En Avila.................... .... D. Manuel Palomares. En Badajoz^.....*.......... ;D. Cáríos Sebastian ^íalagamba» ¡ , En Barcelona..*...... ..... - D. Ramón Llordella. En Burgos...,...;.............. D. Ramón Martínez Montaos* En Bilbao.-........................ D. Francisco de la Mata. En Cádiz...............…</t>
  </si>
  <si>
    <t>Pan, José Salvador del</t>
  </si>
  <si>
    <t>José Salvador del Pan</t>
  </si>
  <si>
    <t>…se ha servido nombrar gobernador de la sala de alcaldes de Casa y Corte á 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t>
  </si>
  <si>
    <t>Paniagua, José</t>
  </si>
  <si>
    <t>José Paniagua</t>
  </si>
  <si>
    <t>…rnandez Gamboa, juez letrado de esta villa de Madrid, pronunciada en 15 del corriente mes, se ha mandado ci tar y emplazar á todas y qualesquier personas que tengan parentesco con D. José Paniagua, que falleció en 1 2 de Diciembre dei año pasado de 1813, y también á todos sus acreedores por qualquier. título ó causa, para que dentro del término de 20 días, que por tres, y el último perentorio, se íes señala, contados desde 18 del mismo mes, comparezcan…</t>
  </si>
  <si>
    <t>Pantiga, Angel Alonso y</t>
  </si>
  <si>
    <t>Angel Alonso y Pantiga</t>
  </si>
  <si>
    <t>…uín Perez, canónigo msgistraí de aquella santa igle sia. Y para el de Durango al marques de Castañíza, rector del colegio de S. Ildefonso de México. Igualmente ha nombrado S. M. á D. Angel Alonso y Pantiga, cura pár roco y castrense de la ciudad y puerto de Campeche', para una canongíá de la catedral de la Puebla de los Angeles. Para otra de la santa iglesia de Du rango a D. José Francisco Alvarez , cura de la Ciniega de los Olivos en Iá provincia de Nueva-Vizc…</t>
  </si>
  <si>
    <t>Pardillo, Bernardo</t>
  </si>
  <si>
    <t>Bernardo Pardillo</t>
  </si>
  <si>
    <t>…le tributen, llamándolo so verdadero padre.’* ! &gt; \ ! . V El dia 30 del mismo tuvo el honor de cumplimentar y besar la mano i S. M::el procurador general del ducado de Medinaceli D. Bernardo Pardillo</t>
  </si>
  <si>
    <t>Pardo, Andrés</t>
  </si>
  <si>
    <t>Andrés Pardo</t>
  </si>
  <si>
    <t>…nte de id. D. Juan Moreno, id de id. D. José Osorio, subteniente de id. D. Ramón Rerigel, te niente coronel, comandante de voluntarios de Asturias. D. Pablo Herce, capi tán de id. D. Andrés Pardo, a&gt; udante de id. D. Bernardo Pita , teniente de ¡d. IX Ramón Nuñez, id de id D. José Villamil, subteniente de id. D. Manuel Uznia, id. de id. D. Pedro Ovalle&gt; id. de id., D. Juan Canal, capitán del de Santiago. D. Juan de Castro, teniente de Id. D. Benito Ma…</t>
  </si>
  <si>
    <t>Pardo, Lucas</t>
  </si>
  <si>
    <t>Lucas Pardo</t>
  </si>
  <si>
    <t>….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costumbre. Reus ij de Enero, Hace algunos dias que recibimos una carta de la fronte…</t>
  </si>
  <si>
    <t>Paredes, José-Gacela de</t>
  </si>
  <si>
    <t>José-Gacela de Paredes</t>
  </si>
  <si>
    <t>…eridas á fle car tinos puestos en que haciendo los mayores esfuerzos, eran de !a m;i•yór utilidad por su váÜor y 'conocimientos. Debo ios mayores elogios á los Mariscales de campo D. José-Gacela de Paredes y D. Antonio Garcés de ^Mafórliáj^ónlahdánte’de la división provisional, por su asistencia y el zeló cfüé empléáron eh sus respectivas*Funciones, como también á los ge fes de bri gada T&gt;; Ramón Romay y D. Francisco Plaséncia. Será siempre sentida en él exército la pérdida de los…</t>
  </si>
  <si>
    <t>Paredes, Juan Miguel García de</t>
  </si>
  <si>
    <t>Juan Miguel García de Paredes</t>
  </si>
  <si>
    <t>…a iglesia de Du rango a D. José Francisco Alvarez , cura de la Ciniega de los Olivos en Iá provincia de Nueva-Vizcaya. Para una ración de la catedral de la Puebla de los Angeles á D. Juan Miguel García de Paredes ,* cura de la parroquia de S. Juan Tianguismanalco, en aquel obispado. Para dos raciones y una media ración de la santa iglesia de Guadalaxara de Indias á D. José Domingo Sán chez, D. Diego de Aranda y D. José Miguel Ramírez, curas párrocos del mismo obispado…</t>
  </si>
  <si>
    <t>Pareja, Felipe</t>
  </si>
  <si>
    <t>Felipe Pareja</t>
  </si>
  <si>
    <t>…l partido de Alcalá, en la*provincia de Toledo, tuvieron5el honor de cumplimentar á $. M. ; con cuyo motivo el prinierode ellos dixo : * í ,,Señor: D. Cristóbal dlbxo y Carabaño , D. Felipe Pareja y D. Juan Sántana, comisionados por vuestra villa de Brihuega, dentro de cuyos n)uros y en sus campos inmediatos á Villaviciosa vió con admiración y com placencia afirmar en las sienes del primero de los Borbones y su augusta di nastía la, corona de estos vuestros Rey nos en l…</t>
  </si>
  <si>
    <t>Pareja, Francisco</t>
  </si>
  <si>
    <t>Francisco Pareja</t>
  </si>
  <si>
    <t>…nto. Entonóse un solem nísimo Te Deum , el qual concluido se ordenó una magnífica procesión, que dirigieron los Sres. D. Ramón Tirry, prebendado de esta santa iglesia cate dral, y D. Francisco Pareja, empleado en la real hacienda. Abrían la mar cha varios piquetes de tropa, siguiendo en dos filas un lucido y numeroso acompañamiento de militares de todas graduaciones, vestidos de gala, y otras personas distinguidas con hachas de cera, interpoladas diversas…</t>
  </si>
  <si>
    <t>Pareja, Patricio Ortiz</t>
  </si>
  <si>
    <t>Patricio Ortiz Pareja</t>
  </si>
  <si>
    <t>…a distinción. Las Reales hermandades de Toledo, Ciudad'Real y Tatavera» repre sentadas por sus individuos ios señores marques de Hermosif a, el Dr. Doá Alexandro Merino de Porras, D. Patricio Ortiz Pareja y D. Diego Muñoz, alcalde, regidor y procurador síndico general de la de Toledo, y caballero maestrante el último de Granada, tuvieron el honor de cumplimentar y besar la mano á S. M. y AA. en 17 de Julio; y tomando la palabra el se gundo, dirigió el discurso siguiente: „Seño…</t>
  </si>
  <si>
    <t>París</t>
  </si>
  <si>
    <t>36 Oyarzun j/ de diciembre, En la línea no ha ocurrido novedad particular estos-dias. El tio Adour divide los exércitos aliado y enemigo. Se dice que el general París ha recibido algún socorro de caballería é in fantería. Valencia 4 de enero ' En B enicarló y Vinaroz continúan reuniéndose algunos pertrechos para -el sitio de Peñíscola, el qual consideramos muy inmediato á realizarse. 4 ' ARTICULO DE OFICIO. El señor duque…</t>
  </si>
  <si>
    <t>…e colocó en Orcuray, teniendo la brigada de dragones ligeros británicos, del mando del coronel Vivían, en Hasperen, con el fin de que observasen los movimientos de la división del general París, que se había retirado á St. Palais-quando efectuamos el paso del Nivé..! En la misina" mañana del io se puso en marcha-todo eL exército enemi go, á excepción dé las tropas que guarnecían las obras delante de la posición de sir Rolando Hill, desde su campo at…</t>
  </si>
  <si>
    <t>…rte superior «deteste rio. .Tenían los puestos avanzados de su derecha enfrente de Anglet y hacia Biavitz; con su izquierda defendían el rio Nivé, y comunicabahcon la división del;general París, que siendo del exército de Cataluña, estaba en S. Juan de Pie de Puerto, teniendo un considerable cuerpo acantonado en Villafranca y Monguerre. Había determinado pasar ei Nivé luego que pasé el Nivelle; pero me lo impidieron^el mal estado de los cambios, y l…</t>
  </si>
  <si>
    <t>Paris</t>
  </si>
  <si>
    <t>…s fuerzas para alejarlos, y yo me dirigí con las demas á realizarlo: luego que los franceses fueron arrojados del cerro de Arrocaray é inmediatos, supe por unos prisioneros que el general Paris habia abandonado á Louhoussa, y to mado la dirección de S. Juan de Pie de Puerto.__ Todos los gefes, oficiales y tropa se han conducido en este dia con los mejores deseos; pero no puedo</t>
  </si>
  <si>
    <t>…s tropas del general Hill continuaren en alcance del enemigo, que se ha bía retirado á una fuerte posición enfrente de Garis, en cuyo punto se Jé había incorporado la división del general París, que habia sido llamada otra vez después de empezada su marcha al interior de Francia, y otras tropas que venían del centro del enemigo. ,,La división española del general Morillo, después de arrojar los pues tos avanzados, tuvo orden de marchar hacia St. Pal…</t>
  </si>
  <si>
    <t>París, Cook de</t>
  </si>
  <si>
    <t>Cook de París</t>
  </si>
  <si>
    <t>…Cacho , ayudante de campo del general D. Manuel Freyre, los partes si guientes ; ' ' • ; ’ : \ I.° . ,,Excmo. Sr.: en la tarde del dia 12, como tengo participado á V. E , llegó el coronel Cook de París para informarme de los acontecimientos de aquella ciudad hasta la noche del 7. Le acompañaba en su viage ei coroi eí Sr. Simón, encargado por el gobierno provisional de París de informar á los mariscales Soult y Suchet de los mismos acontecimientos. Al princi…</t>
  </si>
  <si>
    <t>París, Juan Pedro</t>
  </si>
  <si>
    <t>Juan Pedro París</t>
  </si>
  <si>
    <t>…ecutado este pequeño movimiento todas las compañías con el mayor orden y preci sión militar; siéndome muy sensible la pérdida del subteniente de cazadores del regimiento de Laredo D. Juan Pedro París, que fué gravemente herido, y me temo que á estas horas haya muerto, por su gallardía muy acreditada; también ha sido muy contuso el subteniente de la sexta compañía del i.° de tiradores de Cantabria D. Ramón Pedrosa; siendo el total de la pérdida la de los d…</t>
  </si>
  <si>
    <t>Parño, Domingo</t>
  </si>
  <si>
    <t>Domingo Parño</t>
  </si>
  <si>
    <t>…n la de 24 de Octubre del miuno año, á espitan á D. Miguel Santos; á ayudante mayor á D. Miguel de la Vega; á teniente de granaderos á D. Miguel Piñeyro ; á subtenientes dé ídem a D. Domingo Parño y D. José Ignacio Castro, y á subtenientes de bandera al cadete D. Jo&lt;é González Oso río y al sargento primero D, Francisco Azquen. Con la de 17 de Febrero de 812, á teniente de fusileros á D. Domingo Patino; á subteniente de granaderos á D/Jo^é Viüafranca, y á subteniente de bandera…</t>
  </si>
  <si>
    <t>Parrella, Jayme</t>
  </si>
  <si>
    <t>Jayme Parrella</t>
  </si>
  <si>
    <t>…cías, en cuyo tiempo se hallaba en el hospital militar de Andujar. Se suplica á quien tenga alguna noticia la comunique al portero del .Real colegio de Sto. Tomas de esta corte. , D. Jayme Parrella, oficial de Reales Guardias Waíonas, caballero del orden de Sr Juan, fue prisionero por los franceses, y en Febrero de este año salió enfer mo del hospital de Bon , y pasó al de Dijon; y n© habiendo sabido de 61, desea su familia tener noticias de si existe,…</t>
  </si>
  <si>
    <t>Parro, Justo Ramón</t>
  </si>
  <si>
    <t>Justo Ramón Parro</t>
  </si>
  <si>
    <t>…ando de dos en dos tomos, de los quales los primeros se pondrán de venta en el próximo mes de Agosto. ESPAÑA. Madrid 15 de Agosto. El día 3 del mes próximo pasado felicitó á S. M. D. Justo Ramón Parro, abogado de los reales-coasejos, vecino de Villacañas, á nombre y como di putado de su ayuntamiento, en los términos siguientes; „ Señor: el noble ayuntamiento de Viliacañas,pueblo de la Mancha,me honra con el encargo de poner en las manos de V. M. este memor…</t>
  </si>
  <si>
    <t>Pas</t>
  </si>
  <si>
    <t>…será presentado e ta noche por el senado en cuerpo á S. A. R. el conde de Artois. = £1 presidente y los secretarios. = Príncipe de Benevento, presidentes £7 conde de Valence.zzEl conde Pas toree , secretarios.” , S. A. R. contestó á este tnensage con el discurso siguiente: ,,Me he informado de la acta constitucional que vuelve á llamar para ocupar el trono de la Francia al Rey mi augusto hermano: no tengo sus poderes para aceptar la constitució…</t>
  </si>
  <si>
    <t>PORTUGAL. Lisboa 6~ de Junio. El cónsul y agente de S. M. Católica en el rey no de Portugal D. Pas cual Tenorio y Mosco^o queriendo dar un testimonio público del mas acri solado amor á su legítimo Soberano, y de la fidelidad y alegría de que se halla poseído por la suspirada restitución y exaltación de S. M. el Sr. Don Fernando vn al trono y soberanía de l…</t>
  </si>
  <si>
    <t>Pascual</t>
  </si>
  <si>
    <t>…gunos de ellos un joven que se supone hijo suyo, y que ha estado prisionero en Francia, y baxo de estas consideraciones ha percibido varias cantidades de dinero ; y no teniendo.el D. Pascual tal hijo, ni pariente alguno que se halle en dicho caso, lo hace saber, y declara que no satisfará</t>
  </si>
  <si>
    <t>…ha comunicado lo que sigue: ' ‘ I „El 5 del corriente resolvió el Rey nuestro Señor enviar á Nueva-Es^ paña una expedición de ocho mil hombresj, al cargo del Mariscal "de CarrTpc* D. Pascual tiñan, y en el mismo dia previne á la Junta Militar .de Indias propusiese el plan de todo do que1 creyese; necesario párasqué Té1 realizase aquella á la brevedad posible. En su cumplimiento me dixo 'la Junta entre, otras cosas con fecha del 12 haber acordado…</t>
  </si>
  <si>
    <t>Pascual, Fernando</t>
  </si>
  <si>
    <t>Fernando Pascual</t>
  </si>
  <si>
    <t>,~r • . • ■ . . „ . . . . . . • . t 2249 ñor, acuyo tféct© habiendo comisionado ai brigadier de los Reales exércitos D. Fernando Pascual, gobernador militar y político de la expresada villa, tuvo este el* i.° del corriente la honra Sé presentarse á S. M.j y felicitarle en los términos siguientes: &gt; » „ Señor : Hehá de entusiasmo Vuestra villa dé Alcíra ; porque V. M. se dignó ádniitiF él óó'rt…</t>
  </si>
  <si>
    <t>Pastor, Ildefonso</t>
  </si>
  <si>
    <t>Ildefonso Pastor</t>
  </si>
  <si>
    <t>786</t>
  </si>
  <si>
    <t>…drid II de Julio. El dia 20 del mes próximo pasado tuvo el honor de ser presentado i cumplimentar á S. M. en nombre del cabildo eclesiástico de la villa de Navarrete, en la Rioja, D. Ildefonso Pastor, individuo de él; y con este mo tivo dirigió á S M. la arenga siguiente: „Señor: el cabildo eclesiástico de la iglesia parroquial de la villa de Na— varrete, en la Rioja, noticioso de la alevosía executada con V. M. en Ba yona, se llenó de tanto sentimiento y…</t>
  </si>
  <si>
    <t>Pastor, Joaquín</t>
  </si>
  <si>
    <t>Joaquín Pastor</t>
  </si>
  <si>
    <t>…os á los gefes de ellos el capitán del cuerpo nacio nal de artillería D. Manuel Pilón , el teniente coronel de ingenieros D. Ba silio Augustin, y el ministro de hacienda del sitió D. Joaquín Pastor____ 7.0 Dé esta ¿capitulación se sacarán dos copias, y apenas sea ratificada, se pondrá en exécucion. Fecha en el fuerte de Laredo á las ocho y media de la noche del 24 de Febrero de 1814.—Juan Doz, gefe del estado mayor. s= Bergaminy. 2= Ratificada por ambas…</t>
  </si>
  <si>
    <t>Pastór, Martinrano Francisco</t>
  </si>
  <si>
    <t>Martinrano Francisco Pastór</t>
  </si>
  <si>
    <t>…aluña; D. Pedro García Coronel, que lo es su plente por el Perú; D. Miguel Antonio Blanes, diputado por la provincia de la Mancha; D. Salvador Samartin, suplente por Nueva-España; Don Martinrano Francisco Pastór, diputado por la provincia de Valencia; Don Tadeo Gárate, suplente por el Perú; D. Mariano Rodríguez Olmedo, su plente ípor las provincias del Rio de la Plata; y en clase de suplentes á Don Tomas May ano Rodríguez, diputado por la provincia de Valladolid, y á…</t>
  </si>
  <si>
    <t>Pastoriza, Tomas</t>
  </si>
  <si>
    <t>Tomas Pastoriza</t>
  </si>
  <si>
    <t>…uegos, id. de id. D. Ramón Gqqzajez^J^pe i3. D. Santos San Miguel, teniente coronel deí 2.0 de Asturias. D. Jos&amp;M^íía Noroa , sargento mayor de id. D. Diego Quirós, capitán de id. D. Tomas Pastoriza , teniente de id. D. Gumersindo Muros, subteniente de id. D. Benito Llórente, capitán del de Guadalaxara. D. Camilo Marquina, id. de id. D. Juan de Novoa, id. de id. D Francisco Vega, ayudante primero de id. D. José Guerra, subteniente de id. D. Eduardo Jdosq…</t>
  </si>
  <si>
    <t>Pastrana, Inocencio</t>
  </si>
  <si>
    <t>Inocencio Pastrana</t>
  </si>
  <si>
    <t>…de presentarse á S. M. y besar su Real mano, igualmente que á SS. A-A. los Sres. Infantes, el comí* sario ordenador honorario de los Relies exércitos D. Ensebio Mariano Lamota, y D. Inocencio Pastrana, capellán de las monjas de Sta. Teresa de esta corte, quienes, en representación de la villa d¿ Cifaentes, provincia de Guadalaxara, como comisionados por ella al intento, cumplimentaron á S. M.; y éi primero pronunció el-siguiente discurso: ,, Señor: la vill…</t>
  </si>
  <si>
    <t>Paszkowsky</t>
  </si>
  <si>
    <t>…s de organizar nuevamente el exército polaco. Se compondrá este, según dicen, de 50© hombres, 30© de infantería y 20© caballos. El general Krukowicky ha sido enviado á Londres, el general Paszkowsky á Hungría, y otro general á Berlín para acelerar el regreso de los prisione ros polacos que se hallan en aquellos países.</t>
  </si>
  <si>
    <t>Patan, José</t>
  </si>
  <si>
    <t>José Patan</t>
  </si>
  <si>
    <t>…o de esta corte , calle del Carmen, núm. 6, frenté á la botillería. Se desea saber el paradero de Pablo Llobet, natural de Barcelona, de oficio ga lonero, trabajó en la fábrica de D. José Patan, de esta corte, calle de la Flor ba sa.' Antes de la invasión de los enemigos se dixo si éra portero dél colegio de No bles de esta corte; y como después no se haya vuelto á saber de su existencia, se suplica al que tenga alguna noticia de su paradero ó muert…</t>
  </si>
  <si>
    <t>Paterson</t>
  </si>
  <si>
    <t>…n éxito. El Capitán John Smith ha escrito al ministro de Marina, coa Fecha de 23 de Setiembre, desde la Nueva-Orléans,que la expedición que partió de este puerto á las órdenes del capitán Paterson ha conseguido destruir ente ramente el nido dé piratas en la isla Barataría , y ha tomado nueve buques con dinero, muchas mercancías, así como al segundo comandante y muehos prisioneros. Está probado que Unas embarcaciones proéeJéites de NuevaOrleañs con pasa…</t>
  </si>
  <si>
    <t>Patino, Domingo</t>
  </si>
  <si>
    <t>Domingo Patino</t>
  </si>
  <si>
    <t>…Ignacio Castro, y á subtenientes de bandera al cadete D. Jo&lt;é González Oso río y al sargento primero D, Francisco Azquen. Con la de 17 de Febrero de 812, á teniente de fusileros á D. Domingo Patino; á subteniente de granaderos á D/Jo^é Viüafranca, y á subteniente de bandera al cadete D. Francisco Elouza. Con la de 24 de Setiembre de 814, á capitán á D. Bartolomé Guilloto ; á ayu dante mayor á D José Benigno Cepero; teniente á D. José Ignacio de Castro;…</t>
  </si>
  <si>
    <t>Patinó, Francisco</t>
  </si>
  <si>
    <t>Francisco Patinó</t>
  </si>
  <si>
    <t>llamaba mi atención por encerrar algunas desgraciadas familias de Acapulco , que al abrigo de aquel benemérito cura licenciado D. Francisco Patinó se habiin refugiado, y das consideraba expuestas á ser víctimas de los malva dos que se habían fugado; En efecto seguí mi marcha por aquel ardiente arenal el trecho de seis leguas de un pfeo floxo, que no permitía fixar el pie, á lo que se allego que habiendo…</t>
  </si>
  <si>
    <t>Pauchin</t>
  </si>
  <si>
    <t>…arse en el.país; solo avanzaron hasta Lúea, y luego se retiraron sobre, Viareggio. El 12 se reembarcó el enemigo con pérdida de algunos centenares, después de verse atacado por el general Pauchin. HOLANDA. Alkmar 25 de Diciembre. Se continúa reclutando con el mejor éxito. El comandante Jonge toma las providencias mas convenientes para la seguridad y defensa del Helder, de modo que nada tememos por aquel punto. Las guardias nacionales mues tran el mayo…</t>
  </si>
  <si>
    <t>Paula</t>
  </si>
  <si>
    <t>…sirven; feliz mil veces el soldado que halla en su Rey su padre y su pro tector. ,,Considerando, pues, como una gracia hecha á los exponentes y á los démas con quienes la referida Doña Paula dispensó oficios de madre la que</t>
  </si>
  <si>
    <t>Paula, Francisco de</t>
  </si>
  <si>
    <t>Francisco de Paula</t>
  </si>
  <si>
    <t>…o de Estado me dice con fecha de 8 del actual lo. que sigue: - ■ _,,Excmo. Sr.: quando por las tristes ocurrencias del año de 1808 tuvie ron SS.. AA. los Srcs. Infantes D. Cárlos, D. Francisco de Paula, D. An tonio y D. Cárlos Luis, Rey de Etruria , que ausentarse de España, dexaron encomendada la administración de sus bienes y encomiendas á sus res pectivos secretarlos,4e cámara, lo's ¿que continuaron . én su «administración y en la satisfacción de las car…</t>
  </si>
  <si>
    <t>Paulo</t>
  </si>
  <si>
    <t>…ento de la orden de la Compañía de Jesús. El restablecimiento prescrito por esta bula es en todo conforme al que ya babia autorizado S. S. en 1801 én Rusia, á petición de S. M. el emperador Paulo 1 , y al que en 1804 solicitó y consiguió para el rey no de las Dos Siciiias el rey Fernando, sin mas diferencia que aquellas eran precisamente para aquellos reynos, y este es extensivo para todos los países católicos, en lo qua! expresa S. S. que no ha hecho…</t>
  </si>
  <si>
    <t>Pavía, Francisco de Paula</t>
  </si>
  <si>
    <t>Francisco de Paula Pavía</t>
  </si>
  <si>
    <t>…teniente coronel con mando en comisioii del mismo; el del Inhestó á D. Guillermo Ch'c'hery, te : e! del de Voluntarios de Méridániente coronel a2regadoc- al de_ !á Princesa_ f al coronel D. Francisco de Paula Pavía, comandante de tropas ligeras, y el de] de Lena á D. Miguel-Perez Mozun, coronel en comisión del mismo. La Regencia del Reyno se ha servido nombrar para cinco plazas de ma gistrados dé la audiencia’de Quito á D. Migu^Otermin, D. Manuel Galeano, D. Pedro López…</t>
  </si>
  <si>
    <t>Payan, Elias Izquierdo y</t>
  </si>
  <si>
    <t>Elias Izquierdo y Payan</t>
  </si>
  <si>
    <t>…piso baxo de las casas consis* toria!es&gt; se avisa al publico para su inteligencia. ^ Por decreto del Real tribunal del ¡consulado de,Cádiz, dictado en 17 de Se tiembre último ante D. Elias Izquierdo y Payan, escribano!honorario de cámara de ,S. M., se manda citar y convocar á quantos se estimen con derecho á la masa y bienes de la testamentaría de D. Guillermo Barron, para que en el término^e 18 meses se presenten á deducirlo ante el mismo tribuna! con. jos docu…</t>
  </si>
  <si>
    <t>Paz, Felipe de</t>
  </si>
  <si>
    <t>Felipe de Paz</t>
  </si>
  <si>
    <t>…linas de Moñino, D. José del Pozo y Sucre, conde de Bel— bedel , D. Cárlos O’Doneli, D. Bernardo de Acuña , D. José Marta de Carvajal, el marques de Zayas, D. José María de Alós , D. Felipe de Paz, Príncipe de Anglona, D. Juan Senen de Coimeras, D. Felipe KeatingRoche, y D. Francisco Cabrera. A mariscales de campo á los brigadieres D. Miguel de los Ríos , D. Car los de Gunchi, D. Bartolomé Georget, el barón de la Barre , D. José Fal ques, D. Manuel Mar…</t>
  </si>
  <si>
    <t>Pazos, Gabriel de</t>
  </si>
  <si>
    <t>Gabriel de Pazos</t>
  </si>
  <si>
    <t>…¡Paula Saavedr^ *-jteniúnteL cP^Or nel; á capitanes de fragata tenientes de navio D. :Fduaitdo~.Mosqiiera, sargento mayor, á D. Francisco íCafvo del Manzano, D. Felipe del $á#Q. y D. Gabriel de Pazos; á teniente de navio al de fragata D. Antonio Doral#</t>
  </si>
  <si>
    <t>Pdao, Silverio Antonio del</t>
  </si>
  <si>
    <t>Silverio Antonio del Pdao</t>
  </si>
  <si>
    <t>…, á ios tenieiités D. Francisco Xavier Arévalo y D. Pedro Nolascó .Teilo, y al marques de Mozobamba: y tenencias á los alféreces D. Juan Crisóstomo Altamirano, D. Eusebio Arandia, D. Silverio Antonio del Pdao y D. José Sarmiento. En el esquadron de Pacasmayo tenencia al alférez D. José Leandro Zamora. En ei de Amotape compañía al teiliente D. Joaquín de Helguero y Albo. Y en el esquadron de milicias disciplinadas de dragones de Guayaquil compañías á los tenientes D. Sebastian Baqueri…</t>
  </si>
  <si>
    <t>Pe</t>
  </si>
  <si>
    <t>…capital* que no pierde de *ista e! interesante objeto de la instrucción pública, acaba de establecer una escuela gratuita de física experimental, de la qual ha nombrado profesor á D. Pe dro Vich, primer ayudante de cirugía de los Reales exercitos. La abertura pública de esta escuela debe efectuarse el 29 del corriente en la sala de la casa-lonja; en cuyo acto, al qual concurrirán las autorida des de esta capital, pronunciará el profesor un d…</t>
  </si>
  <si>
    <t>Pé, Francisco Ignacio</t>
  </si>
  <si>
    <t>Francisco Ignacio Pé</t>
  </si>
  <si>
    <t>…nió con el capitán Callejo, á quien entregó un insurgente que había cogido en su transito; y estando el dia 3 en el rancho de San Bernardo, recibió parte del cura de Ixhuatlan Br. D. Francisco Ignacio Pé rez , de que estaban los rebeldes atacando su pueblo. En el momento se pu so,en camino, y á las quatro de la tarde llegó con su tropa, y vista por los malvados, que aun continuaban el fuego , resistido por aquellos patriotas desde las seis de la mañana, se pu…</t>
  </si>
  <si>
    <t>Pé, José</t>
  </si>
  <si>
    <t>José Pé</t>
  </si>
  <si>
    <t>…e la V. O. T. de S. Francisco de esta corre, compuesta del Excmo, Sr. marques de Villafranca, ministro de ella; Don Luis del Rio y del Barrio, presbítero y coadjutor del ministro; D. José Pé rez Ochoa y Sevillano, presbítero y secretario de gobierno; D. Eusebio EU gueta Vigil de Quiñones, secretario de enfermería; D. Félix María de Zurbano, procurador general; D. Juan Agustín Lepez Moron, presbítero, vi cario del culto divino, y el conde de Alba…</t>
  </si>
  <si>
    <t>Pearson</t>
  </si>
  <si>
    <t>…rriente llego el enemigo por la playa del rio á seis millas del puerto de Prescott: intentaba pasar aquel en la noche del 7 sin que le observasen ; pero la vigilancia del teniente coronel Pearson , que manda allí, frustro su intento: el enemigo tuvo que sufrir un fuego vivo y terrible en aquella operación. - . . .... .,Habiendo previsto la posibilidad que tema el gobierno americano de en viar todas sus fuerzas concentradas desde el lago Ontorio a esta…</t>
  </si>
  <si>
    <t>Ped</t>
  </si>
  <si>
    <t>…que tomaron solo las tropas de esta guarnición. La nuestra ha sido la del capitán graduado de dragones de Puebla Don Felipe Guizarnotegñi, y del teniente de dragones de Tulancingo D. Ped,ro del Valle, heridos; el primero murió de resultas de la,herida; quatro solda dos muertos, dos del batallón ligero , uno de voluntarios de Celaya y otro de patriotas efe Valladoíid; 22 cabos y soldados heridos, tres del batallón de la Corona, seis del ligero…</t>
  </si>
  <si>
    <t>Pedrero, Pedro Perez</t>
  </si>
  <si>
    <t>Pedro Perez Pedrero</t>
  </si>
  <si>
    <t>…tida á besar la R. M. de S. M. y AA. una diputación de la ciudad de Badajoz, capital de la provincia de Extrema* dura, compuesta de D. Miguel Padilla, D. Diego de Ibarra y Moya, y D. Pedro Perez Pedrero, quienes después de cumplimentar á S. M. y AA. entregaron en sus reales manos la siguiente carta de su ilustre ayuntamiento.</t>
  </si>
  <si>
    <t>Pedro</t>
  </si>
  <si>
    <t>…stancias que le hice no pude lograr que se retirase en todo el dia , dando con esto un exemplo dig no de admiración. Debo muyr particulares elogios al mérito del mariscal de campo D. Pedro de laBárcena, cuyo valor y serenidad me ayudaren en ex tremo durante toda la bata.Ua, con la circunstancia de haber trabajado á pie por la pedida de su caballo. El auxilio que me prestó este general lo consi dero como una de las cosas que mas; corjtribu}»eron…</t>
  </si>
  <si>
    <t>…como tal Presidente de dicha Asamblea. Por. quanto la dignidad de Gran Prior de Castilla y León de la Orden Militar y hospital de Jerusalen se halfa vacante por muerte del Infante Don Pedro,:que ,1a obtenía y y por no haber Yo decidido aun á qual corresponda suceder en ella de los dos Infantes D. Carlos de Ecpaña y D. Sebastian de Portugal; y mediante á que los graves perjuicios que resultan a la Re* lígion y al Estado por la falta autoridad con…</t>
  </si>
  <si>
    <t>…iones en Cortes y fuera de días, y de los escritos-1 que lo acreditaban;, de la alteración que sufrió en el año de 1752 con motivo de haber puesto el Sr. D. Fernando vi á cargo de D. Pedro Di*z dle Mendoza el manejo y dirección de dicho ramo ; enérgica con-uIra que á su consecuen cia hizo el mi Consejo, y Real resolución dada por ei Sr. D. Carlos nr, mi augusto Abuelo, en el añ© de 176a, declarando que todos los’ i'rv pios dei Reyno- habían de cor…</t>
  </si>
  <si>
    <t>…á D. Bartolomé Guilloto ; á ayu dante mayor á D José Benigno Cepero; teniente á D. José Ignacio de Castro; subteniente de granaderos á D. Jo é Romero, y á subteniente de bandera á D. Pedro de la Paz Acosta. Asimismo ha comedido S. M. el 3 dd corriente en el batallón veterano infantería de Valdivia, vireynató del Perú, retiro con agregación á aquella plaza al sargento mayor graduado de coronel D Ventura Garba ¡lo, y á los capitanes D. Dionisio R…</t>
  </si>
  <si>
    <t>…de D* Juan Josef Tenajaá, á D Ramón María de Adurriaga» canó nigo de la derBúrgos: para el de h cátedra! de -Córdoba, vacañite por falle cimiento de D. Felipe Ventura Gon¿alez, á D. Pedro&amp;zñarv’cura que'hal sido de HoTtaleza, y actualmente de-Tá parroquia de S.ÍPedro dé esta corte; y. para el arcedianato titular de la ígltesia catedral de Ositiay vacante por muerte de D. Simón Aparicio y Torre, á D. Sinforiano Blanco y Martínez, canónigo más a…</t>
  </si>
  <si>
    <t>Pedro, Manuel de León Santos de S.</t>
  </si>
  <si>
    <t>Manuel de León Santos de S. Pedro</t>
  </si>
  <si>
    <t>…Galicia á D. Juan Perez Villamil, ministro de la de Asturias: para una de ministro del consejo Real á D. Francisco Marin y Sánchez: para la re gencia de la audiencia de Galicia á D. Manuel de León Santos de S. Pedro: para la de Canarias á D. Manuel Delgado: para una plaza de la sala de al caldes de casa y corte á D. Ramón Satué: para otra de la misma sala á Don Vicente.......Cabero: para una plaza efectiva de juez auditor de la Rota á D. Vicente Ruiz de Albillos. Asimism…</t>
  </si>
  <si>
    <t>Pedro, Pablo</t>
  </si>
  <si>
    <t>Pablo Pedro</t>
  </si>
  <si>
    <t>…ara el bien y felicidad de la monarquía*” En este mismo día tuvieron igualmente el honor de besar la mano á S. M., como diputados del cabildo de la santa iglesia catedral dé Osma, D. Pablo Pedro de la Rocha» del hábito de Santiago, deán; D. Manuel Vetarde, ca nónigo , y D. Fermin Alvarez de Eulate, canónigo doctoral de la misma santa iglesia; el primero de los quales habló en estes términos: ,, Señor: el cabildo catedral de Osma, siempre fiel á sus R…</t>
  </si>
  <si>
    <t>Pedro, Tomas Muñoz de S.</t>
  </si>
  <si>
    <t>Tomas Muñoz de S. Pedro</t>
  </si>
  <si>
    <t>…á S. M. por me dio delExcmo. Sr. duque de. Abrantes ,üna diputación de la villa de Cáceres, en Extremadura, compuesta de su alcalde primero el licenciadoD. Félix Ce peda y Pardo, D. Tomas Muñoz de S. Pedro, regidor decano; y el licen ciado D Jacinto Hurtado, síndico primero; de los quedes el primero pro nunció el discurso siguiente: „ Señor: al tributar á V. M. la noble y leal villa de Cáceres, en Extre madura, lo? homemges delmas sincero amor y de la lealtad m…</t>
  </si>
  <si>
    <t>Pedrosa, Ramón</t>
  </si>
  <si>
    <t>Ramón Pedrosa</t>
  </si>
  <si>
    <t>…herido, y me temo que á estas horas haya muerto, por su gallardía muy acreditada; también ha sido muy contuso el subteniente de la sexta compañía del i.° de tiradores de Cantabria D. Ramón Pedrosa; siendo el total de la pérdida la de los dos referidos oficiales y 13 soldados heridos, la mayor parte de bastante peligro.__ No puedo menos de recomendará V\ E. al coronel D. Fermin Escalera por lo acertado de sus disposiciones, y á todos los ofi ciales y tr…</t>
  </si>
  <si>
    <t>Pedrosa, Vicente</t>
  </si>
  <si>
    <t>Vicente Pedrosa</t>
  </si>
  <si>
    <t>…osé Sánchez Cueto, y de sus individuos el Sr. D. Manuel de Torres Cónsul, fiscal mas antiguo del consejo y cámara de Castilla, y el Lie. D. Juan Lngigo, por indisposición dei Lict D. Vicente Pedrosa, relator del mismo con sejo; el primero de los quales arengó á S, M. diciendo: „ Señor: el colegio de Abogados de la capital del principado de Asturias, primer patrimonio vuestro, y punto de donde en todos tiempos ha partido la libertad española, tiene la glo…</t>
  </si>
  <si>
    <t>PedroTi-l</t>
  </si>
  <si>
    <t>…ieron el honor de felicitar á S. M., besar sa Real mano y la de SS. AA. á nombre del vicario eclesiástico, presidente y cabildo de la villa de Poza, provincia de Burgos, los Dres. D. PedroTi-l burdo Gutiérrez, catedrático de leyes de la universidad de Calamar:ca, y oidor electo de la Real chancillería de Vallado lid', y D—José Eleuterio-' Ba— roña ,.prebendado de la iglesia-colegial de Briviesc&amp;,‘ y empleado por en la Real biblioteca de esta corre;…</t>
  </si>
  <si>
    <t>Pedrueza, José Maza</t>
  </si>
  <si>
    <t>José Maza Pedrueza</t>
  </si>
  <si>
    <t>…la canongía que resulta vacante en Ja iglesia metropolitana deBúr-. go^, por promoción de D. Francisco Ventura Palacios á la abadía de Covarrobias, dignidad de la misma iglesia, á D. José Maza Pedrueza ; y en re muneración á los distinguidos servicios que ha hecho á la religión y al esta do D. Juan Antonio Mantilla, capellán mayor del oratorio de S. Felipe Neri de la ciudad de Valladoüd, ha venido S. M. en nombrarle para la canon gía vacante en la catedral…</t>
  </si>
  <si>
    <t>Pédto</t>
  </si>
  <si>
    <t>…i parte ño fté tenido mas pérdida .que la de un sargento y tres soldados del 5.0 regimientoemuertos, y derañábos 18 heridos, entre ellos los subtenientes del 5.0 D. Santos Besga y^D. Pédto La</t>
  </si>
  <si>
    <t>Pefíew, Eduardo</t>
  </si>
  <si>
    <t>Eduardo Pefíew</t>
  </si>
  <si>
    <t>…encargado la mas severa responsabi lidad á los oficiales encargados de ella. GRAN BRETAÑA. Londres 2 4 de Enero de 1814» SECRETARIA DEL ALMIRANTAZGO. Oficio del vicenalmirante el caballero Eduardo Pefíew , comandante en gefe &amp;c. , su fecha en el navio de S. M.. el Celedonia enfrente de Tloíoh el &lt;T de Noviembre, dirigido al conde Bathurst, ,,Señor: si no supiese que cada tiro de canon disparado contra la esquadra enemiga ha de ser pomposamente ridiculizado en…</t>
  </si>
  <si>
    <t>Pelegrin, Juan López</t>
  </si>
  <si>
    <t>Juan López Pelegrin</t>
  </si>
  <si>
    <t>…ha vacado en la catedral de Barbastro por muerte de D. Silvestre Pueyo á D. Pedro Peralta y Balda ; para otra ca nongía de la de Cartagena, por fallecimiento de D. José Zamora, á Don Juan López Pelegrin , con retención de la capellanía de honor que sirve en la Real capilla; para otra canongía de la iglesia catedral de Tarazona, por muerte de D. Gregorio López de Castro, á D. Policarpo Romea ; para uní ración de la catedral de Sigíienza, vacante por fallecimi…</t>
  </si>
  <si>
    <t>Pemielas, Luis Perez</t>
  </si>
  <si>
    <t>Luis Perez Pemielas</t>
  </si>
  <si>
    <t>…e ha señalado el domingo 27 del cor riente á las ocho y media de la mañana en casa de dicho señor juez para junta gene ral de acreedores á los bienes quedados por fallecimiento de D. Luis Perez Pemielas; lo que sé anunci'3 al público á fin de que la persona que tenga derecho á di chos bienes acuda ante el referido señor juez y escribanía de dicho Castro en el in sinuado dia y hora señíladi; en la inteligencia de que al que no acudiese, le para rá el perjuici…</t>
  </si>
  <si>
    <t>Peña, Francisco</t>
  </si>
  <si>
    <t>Francisco Peña</t>
  </si>
  <si>
    <t>…cio de dos afios. ■ vi-,;. s. En efectp* re tomaron todas las medidas que dictaba la prudencia» y se logró que dicho párroco me presentase el mes de Mayo ultimo al qüe .nom braban coronel D. Francisco Peña,y en su compañía 100 hombres, con 32 escopetas de medio servicio ,*y TóT aemas con lanzas. A todos he concedido la real gracia del indulto emnombreade-V; ÍW 4 y después de haber dado pruebas de su adhesiop , y deseando acreditarlo, les entregué sus armas, aut…</t>
  </si>
  <si>
    <t>Peña, Juan Isidro</t>
  </si>
  <si>
    <t>Juan Isidro Peña</t>
  </si>
  <si>
    <t>…, D. Francisco Antonio Gómez , .Don Juan Manuel de La-Puente y Bustamante, D. Mariano Espiel , D. Gabriel Sánchez Corbacho, D. Carlos Diez Canseco, D. José Fermín Diez Canse?co y D. Juan Isidro Peña. En el de León de Huanuco, de infantería urbana, subtenencias á Don Lúeas Caballero y D. Pedro Guerrero.</t>
  </si>
  <si>
    <t>Peña, Ramón</t>
  </si>
  <si>
    <t>Ramón Peña</t>
  </si>
  <si>
    <t>…apatos; D. Miguel de Salazar, dignidad de maestrescuela de la misma, 3 iden?; Han Antonio Villapar, 2 idem; D. Juan de Villapor, síndico, 12 ideih$ B. Jpr sé María Luaces, 5 idem; D. Ramón Peña, B. Juan Vjüamonte, 0. Ramon Seixas, D. Blas Vidal y D. Bernardo Lauro, 2 pares cada.uno; con cuyo auxíiio pudieron llegar á esta ciudad provistos de calzado. 1 , f Creemos que debe decirse que el referido comandante, D Antonio Ví^IIalba,dexó*en París en comp…</t>
  </si>
  <si>
    <t>Peñafiel, Mariano de</t>
  </si>
  <si>
    <t>Mariano de Peñafiel</t>
  </si>
  <si>
    <t>2o 06 pasimiro .de Lavadle, D. Juan Cisquero , D. Antonio Darcaurt, D, Fran cisco Fulgencio, D. Estéban Poriier, D- Antonio María de Mendoza, y Don Mariano de Peñafiel. A brigadieres á los coroneles D. Ramón de Figueroa, D. José de Morete, D. Repulido M.scdona!, D. José Martínez de San Martin, D. Cárlos de Coupigni, D. Francisco Xavier de Cavanes, D. Joaquín de los Ríos D. J xsé Marrón , D. Diego Luis Salido, D. José Castel…</t>
  </si>
  <si>
    <t>Peñalver, Mariano Blas Garoz y</t>
  </si>
  <si>
    <t>Mariano Blas Garoz y Peñalver</t>
  </si>
  <si>
    <t>…n las descripciones de los dos geroglíficos erigidos ,al Rey nuestro Señor D. Fernando vil en el año de 1808, baxo los mismos cálcu los y conceptos que está vinculada aquella, por D. Mariano Blas Garoz y Peñalver, 'oficial de la secretaría de Estado y del despacho de la Guerra. Se hallará á 4 tt» en las librerías de Perez, calle de las Carretas, y en la de Francés, calle Mayor. Colección de heroydas, traducidas del francés en verso castellano. Comprendo la carta de Só…</t>
  </si>
  <si>
    <t>Pendaríes, Juan Antonio</t>
  </si>
  <si>
    <t>Juan Antonio Pendaríes</t>
  </si>
  <si>
    <t>…an Nepomuceno de;Magati y Pacheco, guardia de Corps de menor edad, agraciado por $• M, D. Car los iv, D. Martin de Uriarte, D. Josef de'Trespuentes^j^, Josef E^ymun do de Náxera y D. Juan Antonio Pendaríes, dicípulos de la. academia pu blica de matemáticas,; que con iare atiprobácio ti^hageoch p años se, halla .esta blecida en está corte baxo la dirección de su 'catedrático Di Miguel;Dqlz, se presentaron á examen público en el salón de la diputación provincial…</t>
  </si>
  <si>
    <t>Penrose</t>
  </si>
  <si>
    <t>…de Bourdeaux. Mientras se executaban las operaciones que acabo de detallar á V. E. sobre la derecha del exérciro , el teniente general sir Co!en Hoppe , de concierto con el contra-almirante Penrose, se aprovechó de la oportunidad que Je ofreció el dia 23 de Febrero para pasar el Adour por debaxo de Bayona, y tomar posesión de ambas orillas del rio por su embo cadura. Los barcos destinados para formar el puente no pudieron entrar hasta el 24, en cuyo dia…</t>
  </si>
  <si>
    <t>Peón, Bernardino de</t>
  </si>
  <si>
    <t>Bernardino de Peón</t>
  </si>
  <si>
    <t>…nduxeron por las principales calles del pueblo el retrato de S. M., qive llevaban el coronel Don Pedro de Peón Heredia y los tenientes coroneles D. Francisco Miravalles linquerk y D. Bernardino de Peón, y llegados^ la iglesia de S. Francisco, de donde salió á recibirle la comunidad, se cantó en ella un solemne Te Deum\ y concluido, fue conducido de nuevo el retrato á la plaza principal del pueblo; y habiéndolo colocado debaxo de un magnífico dosel, se ento…</t>
  </si>
  <si>
    <t>Peral, Nicolás</t>
  </si>
  <si>
    <t>Nicolás Peral</t>
  </si>
  <si>
    <t>…ería de Villareal, calle de las Carretas; en Búrgos en la de Revi lla; en Soria darán razón en la botica de Valderrama; en Sto. Domingo de la Cal zada en la de Montejo; en Logroño D. Nicolás Peral; en Haro D. Manuel Fer nandez Mariaca; en Náxera el médico de ciudad; en Calahorra el de cabildo; en Pamplona D. Pedro Guardamíno, oficial primero del Crédito público, y en Vi toria D. Pedro López Alegría, calle de la Correría. Memoria geográfico-cconómico-po…</t>
  </si>
  <si>
    <t>Peralta, Joaquín</t>
  </si>
  <si>
    <t>Joaquín Peralta</t>
  </si>
  <si>
    <t>…reto de 6 del mismo mes se ha servido S.M. conferir 1a intendencia de la provincia de Córdoba al intendente de León D. Juan de •Modenes, y la de la provincia de León al de Córdoba D. Joaquín Peralta. Y por decreto de ti del propio mes, atendiendo á las circunstancias y servi cios de D. Manuel de Inca Yupanguy, ha venido en conferirle la intendea— cia de la provincia de Granada. Por otro decreto de 22 del mismo mes, en consideración á la decidi da adhesió…</t>
  </si>
  <si>
    <t>Pere</t>
  </si>
  <si>
    <t>…sa ojarnos de la posición del moli no del Prior desplegaron todas sus guerrillas, que sostenidas por las colum nas de ataque y artillería , avanzaron hasta la cumbre de la Cova de D. Pere, de nde colocaron dos obuses y un cañón: otra columna penetró por Jesús, y colocó sobre el puente un obús y un cañón , avunzó á nuestro frente, y des de luego se rompió el fuego por los puestos avanzados de uno y otro punto. En este estado dispuse que se adel…</t>
  </si>
  <si>
    <t>D. Pere, hasta ponerse al flanco de dicho molino: y la tercera traía U .ar tillería por el centro corriendo al galope para penetrar por dichos puntóse quedo burlado el enemigo por la disposición que se dio y executaron nues tras tropas después del ataque del 23 del p…</t>
  </si>
  <si>
    <t>Perea, José López de</t>
  </si>
  <si>
    <t>José López de Perea</t>
  </si>
  <si>
    <t>…D Blas Aguiriano y Gómez, á D. Fermín Francisco S. Juan, canónigo de la misma: para el arciprestazgo de Santa Olalla , en el arzobis pado de Toledo , vagante por fallecimiento de D. José López de Perea, á D. Manuel Carnicero: para el beneficio simple servidero de la iglesia parro quial de la villa de Moron , en el arzobi pado &lt;le Sevilla, vacante por muer te del expresado D. José López de Perea, á D. Francisco Antonio Gonzá lez del Campillo: paraje! benefic…</t>
  </si>
  <si>
    <t>Pereda, Tomas de</t>
  </si>
  <si>
    <t>Tomas de Pereda</t>
  </si>
  <si>
    <t>…bre de las merindades de Castilla la Vieja, los diputados D. José Ramón Bustillo,. teniente coro nel de los reales exércitos, y caballero del hábito de Calatrava, y el licen ciado D. Tomas de Pereda, vecinos ambos de la villa de Villarcayo, capi tal-de ellas, el primero de los quales hizo un discurso en estos términos: „Con la llegada de V* M. á su reyno se ha fixado el término de nues tras desgracias , y llenado los deseos y, esperanzas de toda la monar…</t>
  </si>
  <si>
    <t>Pereyra, Francisco</t>
  </si>
  <si>
    <t>Francisco Pereyra</t>
  </si>
  <si>
    <t>…lastre á esterpuerto. Goleta da Caridad,ode ©.(Cristóbal Jando, temible en manos de los in surgentes por su andar y buenas disposiciones para el corso. Goleta la Paula; mr caprtan D. Francisco Pereyra, sobre punta de Maysí, volviendo del norfe dé América á este puerto.-</t>
  </si>
  <si>
    <t>Pereyro, Diego Muñoz y</t>
  </si>
  <si>
    <t>Diego Muñoz y Pereyro</t>
  </si>
  <si>
    <t>2052 Vaidefuentss, y D. Diego Muñoz y Pereyro, maestrante de la Real de Granada ; y el primero arengó á S. M. en los términos siguientes: „ Señor: Ciudad Real» capital de la provincia de la Mancha, goza en este dia por medio de sus representantes el singular placer de acercarse A L. P. del trono, y reite…</t>
  </si>
  <si>
    <t>Perez, Alonso</t>
  </si>
  <si>
    <t>Alonso Perez</t>
  </si>
  <si>
    <t>…n dei ge neral Viilacampa, herido y hecho prisionero en la acción de Cariñena el 16 de Julio de 1810. La persona que supiere de él se servirá avisarlo en Madrid en la li brería de D. Alonso Perez, calle de las Carretas. Tratado de las enfermedades epidémicas, pútridas, malignas y contagiosas que de quando en quando afligen á la humanidad , en que se cotnprehende la fiebre, amarilla, disenteria Scc., extractado y sacado de las observaciones de los auto…</t>
  </si>
  <si>
    <t>Perez, Andrés</t>
  </si>
  <si>
    <t>Andrés Perez</t>
  </si>
  <si>
    <t>…ue se manifiesta el derecho de los párrocos á la percepción de los comunes, y e! especialisimo que tienen á lo^ novales» Se vende en Salamanca, calle de Zamor ra, núm. 44, casa de D. Andrés Perez, á 4 rs. enquadernado á la rústica. Ei teatro sin actores: loa ó drama nuevo representado en el teatro del Príncipe e! dia 4 de Noviembre de 1814 en celebridad del dia de 9. Cárlos. Se hallará de venta $n la librería de Perez, calle.de las Carretas, y et^ la…</t>
  </si>
  <si>
    <t>Perez, Antonio Joaquín</t>
  </si>
  <si>
    <t>Antonio Joaquín Perez</t>
  </si>
  <si>
    <t>…á la elección de presidente, vice-presidente y uno de sus secretarios, resultaron electos para presidente el Sr. D. Gerónimo Diez, diputado por Salamanca; para vice-presidente el Sr. D. Antonio Joaquín Perez de la Puebla, diputado por Nueva-España, y para secretario el Sr. D. Diego Ramos Aparicio, diputado por Extremadura. Actas de las Cortes ordinarias, para que el público sepa con certeza sus resolu ciones, y no extravie la opinión por medio de extractos equivo…</t>
  </si>
  <si>
    <t>…esivo s. ARTICULO DE OFICIO* Habiendo procedido las Cortes ordinarias á la elección de presidente, vice-presidente--y uno de sus secretarios, resultaron electos para presidente el Sr. D. Antonio Joaquín Perez, diputado por Nueva- Españ ; pura vice presidente elSr. D. Tomas Moyano, diputado por la provincia de Valladolid, y para secretario al Sr. D. Mariano Mendíoia, diputado por Nueva-España. El conde de Fernan-Nuñez, embaxador de S. M. en la corte de Lon dres. ha…</t>
  </si>
  <si>
    <t>…dente, vicerpresidente y uno de sus secretarios, resultaron electos para presidente rel-Sr. D. Francisca de. la Dueña y. Cisneros, diputad ► por la;Mancha; para vice-presidente el Sr. D. Antonio Joaquín Perez , diputado, por ,1a Puebla de los Angeles,; y para secretario el Sr. D. Tadeo Ignacio Gil , diputado por Valencia. ..</t>
  </si>
  <si>
    <t>lo 71 geles á D. Antonio Joaquín Perez, canónigo msgistraí de aquella santa igle sia. Y para el de Durango al marques de Castañíza, rector del colegio de S. Ildefonso de México. Igualmente ha nombrado S. M. á D. Angel Alonso y Pantiga, cura pár roco y castrense de la ciudad y puerto de Campeche',…</t>
  </si>
  <si>
    <t>Perez, Fernando</t>
  </si>
  <si>
    <t>Fernando Perez</t>
  </si>
  <si>
    <t>…n la asistencia de una orquesta de 34 mú sicos un magnífico Te Deum» al qual se siguió la misa, que celebró el Sr. D. Jesualdo José Aguado, ya referido, y en la que predicó el Dr. Don Fernando Perez, cura de Sta. María , á quien la sociedad eligió para cele brar los prodigiosos objetos de esta festividad, declarándolo por esto su so cio nato. Lo numeroso del concurso que asistió á este acto religioso, la satisfacción y complacencia que se veian retratada…</t>
  </si>
  <si>
    <t>…el arzobispado de Sevilla por muerte de D. Manuel Poncé, y la media prestamera de Sta. María Mag dalena, en la misma ciudad y arzobispado de Sevilla, vacante por falleci miento de D. Fernando Perez. Asimismo ha nombrado S. M. á D. Jacinto Becerril, cura párroco dé S. Salvador de Valladoüd , para el beneficio prés tamo del lugar de Mamblas, en el obispado de Avila, vacante por falleci miento de D, Migupl Díaz; a D. Joíé Lub, cura de S. Pedro de la misma…</t>
  </si>
  <si>
    <t>Perez, Francisco</t>
  </si>
  <si>
    <t>Francisco Perez</t>
  </si>
  <si>
    <t>…Santiago.... D. Manuel de la Riba Moreno. En Soria......... D. Joaquín Tutor Iba Izóla. En S lamanea D. F rancisco de Zúñiga y Barbosa. En Santander. Vial é hijo. En Toledo....... D. Francisco Perez. En Valencia.... D. Manuel López Maestre. En Valtidolid. D. Luis Francisco de Lu¡s¿ En Zaragoza., El Barón de la Torre.' ; En Zamora...... D. Manuel de Umara. En Zmta........ D. Pedro Huguet. En la extracción de la primitiva lotería real, executada en la tard…</t>
  </si>
  <si>
    <t>…..... D. Joaquín Tutor Ibalzola. En Salamanca................... D. Francisco de Zúñiga y Barbosa. En Santander................. . Vial é hijo. En Toledo....,..................... D. Francisco Perez.</t>
  </si>
  <si>
    <t>Perez, Francisco Ignacio</t>
  </si>
  <si>
    <t>Francisco Ignacio Perez</t>
  </si>
  <si>
    <t>…en gefe de la provincia de la Huasteca, dirigido al señor virey. Excmo. Sr.: el dia 20 del próximo pasado Junio me presentó en este pueblo el cura párroco de I'xhuatlan bachiller D. Francisco Ignacio Perez 91 hombres de su feligresía , que habian abrazado el partido de la insur rección, impetrando para ellos la gracia de indulto, y exhibiendo sus ar mas, que se componían de 36 fusiles y escopetas, y 45 lanzas; manifestad dome al mismo tiempo que desengañados po…</t>
  </si>
  <si>
    <t>Perez, Joaquín</t>
  </si>
  <si>
    <t>Joaquín Perez</t>
  </si>
  <si>
    <t>…V. M. para el bien de toda la monarquía.'* Igualmente en este día con el mismo objeto cumplimentó á S. M. en nombre del ayuntamiento é iglesia catedral de la Puebla de los Angeles Don Joaquín Perez, canónigo de la misma, en los términos siguientes: „ Señor: interpretando los sentimientos de lealtad, fidelidad y amor entra ñable a V. M. de la iglesia de la Puebla de los Angeles, á que pertenezco como su magistral, y del ayuntamiento de la misma ciudad, q…</t>
  </si>
  <si>
    <t>Perez, Joaquín María</t>
  </si>
  <si>
    <t>Joaquín María Perez</t>
  </si>
  <si>
    <t>…tora ó febril 5 pero defended mos que es error económico él creer que semejantes privilegios son siémpr# ¡perjudiciales á la producción ;** lo executó oportunamente. Lo mismo hizo D. Joaquín María Perez, que debía disertar se bre esteí „Las naciones, como los individuos, no sé enriquecen pe r inclinar e mas á tina industria que á otra,xinO por obtener mayores productos e» aquellas</t>
  </si>
  <si>
    <t>Perez, Joaquina</t>
  </si>
  <si>
    <t>Joaquina Perez</t>
  </si>
  <si>
    <t>…del Empecinado, que cayó prisione ro en Valencia. El que tuviese alguna noticia se servirá darla en la librería de Vi lla , plazuela de Sto. Domingo. D. Francisco López y su muger Doña Joaquina Perez, vecinos de Rivadeo, obispado de Mondoñedo , $n el reyno de Galicia, enviaron al exércíto á solicitar plaza de cadete á su hijo D. Manuel, el qual después de haber perdido su equipage en la.retirada de Tama mes, se distinguió, y fue agregado á la segunda comp…</t>
  </si>
  <si>
    <t>Perez, Juan</t>
  </si>
  <si>
    <t>Juan Perez</t>
  </si>
  <si>
    <t>…miento en tres plazos. Los pretendientes podrán dirigir sus memoriales hasta el dia 24 del corriente al alcalde constitucional. Se desea saber el paradero de las hermanas del Lie, D. Juan Perez, natural de Ribera del Miño, que falleció en la Concepción de Chile; é igualmente el de Don Manuel Visuada y de Dona Isabel Padilla. Los interesados podrán dirigirse á Don José Calvo y López, del comercio de Cádiz, calle del Sacramento, tienda baxo de la torr…</t>
  </si>
  <si>
    <t>liaba el comandante con el alférez de fragata D. Plácido Gutiérrez de Bustillos, el piloto D. José Vico, y el contador tercer piloto D. Juan Perez;? la tripulación corrió á sostenerlo, llevando á su cabeza a! bizarro teniente de navio de transporte D. Vicente Bauza, ayudado del alférez de navio D. Joaquín Vial. El choque fue terrible: murieron y quedaron heridos irmchr s de nuestra parte; entre elics fu…</t>
  </si>
  <si>
    <t>Perez, Juan Antonio Ximenez</t>
  </si>
  <si>
    <t>Juan Antonio Ximenez Perez</t>
  </si>
  <si>
    <t>…dorable religión y gobernar su monarquía.” En este mismo día besó también la mano á S. M., á nombre de la uni versidad de curas y beneficiados de la ciudad de Velez Málaga, el Dr. Don Juan Antonio Ximenez Perez, arcediano de Velez en la catedral de Mála ga , y gobernador de su obispado, y habló á S. M. en estos términos? ,, Señor: los curas y beneficiados de las iglesias parroquiales de la ciudad de Velez-Málaga me honran con el especial encargo de besar la Real ma…</t>
  </si>
  <si>
    <t>Perez, Pedro</t>
  </si>
  <si>
    <t>Pedro Perez</t>
  </si>
  <si>
    <t>…u precio 34 rs. á la rústica y 42 en pas ta. psMemoria sobre la prolongación de la lengua fuera de la boca: por el ciuda dano Pedro Lassus , y traducida a! castellano por el mismo D. Pedro Perez*. su pre cio * rs. Se hallarán en la librería do -Baylo, calle de las Carretas, casa núm. 4. ■■ "■ ■ ■ -■ i&gt;w' *■ Mt *?j! ■' ■■ ■ - n 11 "■—»"» ■ Nota. Enla gaceta núm. 154 del sábado 19 de Noviembre, fol. 1179, líri. 15, donde dice 2&gt;. Fernando de Sierra, lé…</t>
  </si>
  <si>
    <t>Perez, Simón</t>
  </si>
  <si>
    <t>Simón Perez</t>
  </si>
  <si>
    <t>…escala hasta el ultimo peldaño, cayó , y recibió un grande golpe (como se dexa ver por la elevación de la muralla); y despreciándolo, volvió á subir con la mayor bizarría ; el de! capitán D. Simón Perez, los subtenientes Don Pedro Espada y D. josef Vinegra; e! joven cadete D. Segundo Eríce; el sargento primero Josef Pavero , y los segundos. Eugenio Pipaon , Francisco jBraña. y Emeterio la Caridad, y los cabos primero y segundo Anselma. Na aclares y Juan Moli…</t>
  </si>
  <si>
    <t>Perigord, Carlos Mauricio Talleyrand</t>
  </si>
  <si>
    <t>Carlos Mauricio Talleyrand Perigord</t>
  </si>
  <si>
    <t>…España y de las Indias al Se ñor D. Pedro Gómez Labrador r Caballero de la Reai Orden Española de Carlos ni, su Consejero de Estado &amp;c.; y S. M.- él Rey de Francia y de Navarra al Sr. Carlos Mauricio Talleyrand Perigord, Príncipe de Benevetrto, Gran Aguila de la Legión de Honor, Caballero de la insigne Órden del Toyson de Oro, Gran Cruz de la Orden dé Leopoldo de Austria, Ca ballero de la Orden de S. Andrés de Rusia ; de las Ordenés del Aguila Ne gra y del Aguila Roxa de Prt…</t>
  </si>
  <si>
    <t>Perlacia, Sebastian Muñoz de</t>
  </si>
  <si>
    <t>Sebastian Muñoz de Perlacia</t>
  </si>
  <si>
    <t>…. Ildefonso Gonza lo Moron: para la de Pastrana á D. José Ruiz de Torre Milano % para ia de Torre la Vega á B. Vicente Manuel de la Hoz: para el corregimiento de Aranda de Duero a D. Sebastian Muñoz de Perlacia: para las plazas d,e oidores de ta chancillería de Valladojid, vacantes por haber sido ascendidos á regentes de Galicia y Canarias D. Manuel de Ileon Santos y D. Manuel Tadeo Delgado, á D. José de Coha y $aro y á D. José Reguera,,alcalde del crimen d la misma…</t>
  </si>
  <si>
    <t>Perú, Virey del</t>
  </si>
  <si>
    <t>Virey del Perú</t>
  </si>
  <si>
    <t>…ñádese que de resultas de esta acción el gran tren de artillería de reser va tuvo drden de dirigirse á Orleans. ESPAÑA. Havan a 14 de Enero. Extracto del fiarte qtte da al Exento. Sr. Virey del Perú, desde el quar tel general di Comiocondo en &lt;5 de Octubre, el general en geft del exér cito nacional en el alto Perú. El exército enemigo mandado por Belgrano fué atacado én la llanura del Velcapugio por el exército nacional del alto Perú, mandado por el ge-</t>
  </si>
  <si>
    <t>Pesquera, Juan</t>
  </si>
  <si>
    <t>Juan Pesquera</t>
  </si>
  <si>
    <t>…. De las tropas de esta guarnición solo se hallaron en la accipn del día 24 los cuerpos de S. Carlos» S Luis y Puebla, los dos primeros á las órdenes del teniente coronel graduado D. Juan Pesquera» y ei tercero al de igual clase D. Esteban Munuera. Toda la caballería de esta plaza se incorporó en las dos columnas con que se persiguió ai enemigo, y \á infantería quedó cubriendo ios puntos de ella el 25 » y á mí se me dio el mando de la infantería de tod…</t>
  </si>
  <si>
    <t>Petroni</t>
  </si>
  <si>
    <t>…á cargo de dicho hospjial la administración y cobranza, con objeto á que hechos sus fondos tres partes iguales as dos de ellas se distribuyesen entre sus parientes pobres y los de Doña Petroni la de óald.bal, su muger, y la otra restante para los pobres impedidos en dicho real hospital: en cuyos autos se ha mandado citar por edictos, como por el ore sente se llama ata y emplaza á todos los parientes pobres que crean tener derd cho á los producto, d…</t>
  </si>
  <si>
    <t>Pezuela</t>
  </si>
  <si>
    <t>…ando del señor Luaces, con dirección, según se creía, á la baxada de Sta. Felpara hacerse firmes en aquel punto,.y abrir la comu nicación con el Paraguay y cuerpo del exército del señor Pezuela, quien sé hallaba ¿27 leguas de Potosí.___Se sabe que Chile se entregó á las tropas del brigadier de marina Pareja, y que en Buenos-Ayres se harían rogativas por el feliz éxito de lasi armas revolucionarias al mando de Belgrano, acosa do por las tropas leales…</t>
  </si>
  <si>
    <t>Phfuí</t>
  </si>
  <si>
    <t>…sean prisioneros por los ingleses &lt;5 por Jos aliados. ,.E1 general Bulow pasó ayer aqui con parte de su estado mayor des de Utrech, donde tiene su quartel general: también vino el general Phfuí; y se espera por momentos al general Benkendorf.__ Aquellos dos genera les, lord Clancarty, el general Tavlor, ei teniente coronel Barclay, ios ofi ciales que acompañaron ai general Buiow, y varios caballeros dinamarque</t>
  </si>
  <si>
    <t>Phiílimore</t>
  </si>
  <si>
    <t>…la Puerta que tome posesión de la Dalmacia, en virtud de que por las cir cunstancias tienen que evacuarla los franceses. El almirante Keith ha remitido al ministerio una carta del capitán Phiílimore,de la fragata de S. M. iaEurotas., que da cuenta del apresamiento de la fragata francesa la Clorinda el 26 de Febrero, después de un combate obstinado y sangriento. Una y otra fragata quedaron desarboladas: el capi tán Phiilimore fué herido, y tuvo que retira…</t>
  </si>
  <si>
    <t>Piada, Benito Arias de</t>
  </si>
  <si>
    <t>Benito Arias de Piada</t>
  </si>
  <si>
    <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Corte á D. Ignacio Martínez de Villela, y ministros de ía misma á D. Manue…</t>
  </si>
  <si>
    <t>Pialanzat, Francisco Xavier</t>
  </si>
  <si>
    <t>Francisco Xavier Pialanzat</t>
  </si>
  <si>
    <t>…quarto exírcito. Muertos. * • , * ■ '■ i D. J uan Sánchez Garrido, teniente del 2.0 de Asturias. D. Carlos Calafiat, capitán del ó.° de Marina. D. Fermín Sollozo, teniente de id. D. Francisco Xavier Pialanzat, teniente coronel de voluntarios.de la Carona, D.*Mapuel José Pii^a, teniente de id. D. Francisco Ajan &gt; subtenienteid., D^Jos# Moreno, ayudante del de Oviedo. D. Pedro María Fernandez/ teniente de id. D. José Castañon, subteniente de ud. D. José Gómez, s.uSt…</t>
  </si>
  <si>
    <t>Piatow</t>
  </si>
  <si>
    <t>…residencia. El Príncipe Regente pasó á visitar al rey de Prusia, quien ocupa los apo sentos del duque de Clarence: iba acompañado de gran número de extran jeros, y entre otros del conde Piatow. S. M. Prusiana recibió al Príncipe con</t>
  </si>
  <si>
    <t>Picoaga, Francisco</t>
  </si>
  <si>
    <t>Francisco Picoaga</t>
  </si>
  <si>
    <t>…o, hasta recoger los partes de los gefes de los cuerpos respectivos, ciñéndome á expresar á V. E. por ahora, que el ala derecha, compuesta del regimiento número i.°, del m^ndo deí brigadier D. Francisco Picoaga, y del cuerpo de cazadores, al del teniente coronel D. Pedro Antonio de Olañeta, se distinguieron por su extraordinario valor, asi como la Izquierda formada del cuerpo de partida rios, mandados por el coronel la Hera; el esquadron montado del mi mo al del ten…</t>
  </si>
  <si>
    <t>Picoaga, Francisco de</t>
  </si>
  <si>
    <t>Francisco de Picoaga</t>
  </si>
  <si>
    <t>…caer en manos de los dra gones, que los siguieron hasta las ocho de la noche. ' - „Mi segundo el mariscal de campo D. Juan Ramírez, que mandaba la ' derecha, el de la misma clase D. Francisco de Picoaga, el mayor general -•brigadier D. MiguebTacon, que mandaba la izquierda, el brigadier y co— * rónfcl del 2.® regimiento D- Gerónimo Lombera, que sin embargo del ba lazo recibido en Vilcapugio, y con su herida abierta, estuvo á la cabeza dé</t>
  </si>
  <si>
    <t>Picton</t>
  </si>
  <si>
    <t>…dela , tomado un convoy que venia por tierra áJa plaza, y el Lord; con secuente á los movimientos de la izquierda, pasó el 24 el Gave de Gleron, quedando herido en esta ocasión el general Picton. ESPAÑA. ■ • ■ i Tarragona 20 de Febrero, Se ha recibido un diario de Barcelona que contiene la providencia si guiente: Según las órdenes del señor general barón Habert, comandante de la le gión de Honor, comendador de la orden imperial de la Reunión, coman d…</t>
  </si>
  <si>
    <t>…de su centro se reunieron enfrente de Or tés: el teniente general sir Stapleton Coton con la brigada de ca ballería de lord Eduardo Somerset, y la tercera división, al man do del general Picton, se colocaron cerca del puente destruido de Berens; y el mariscal Beresford con las divisiones quarta y sépti ma, mandadas por el general Colé y el mayor general Walker, y la brigada del coronel Viviane hácia el confluente del Gave de Oleron con la de Pau. Ha…</t>
  </si>
  <si>
    <t>…l Keane de la tercera división , y también por los ata ques simultáneos que daba por nuestra izquierda ei general Ausofi con su brigada de la quarta división , y por la derecha el general Picton con la sexta división , al mando del general Clinton , y coa los restos de la tercera división, desalojaron al fin al enemigo, y nos dieron la victoria. ,,Entre tanto el general Hill habla forzado el paso del Gave por baxo de Ortés, y viendo ei estado de la a…</t>
  </si>
  <si>
    <t>Pignaíelli</t>
  </si>
  <si>
    <t>…se había ve rificado en Vicenza la declaración definitiva-de Murat, esperada tanto tiem po há. En aquel misiño dia habían llegado alquartel general del feld mariscal Bellegarde el príncipe Pignaíelli, Mr. Graham, secretario del lord Bentinck, y Mr. Mentz, encargado de negocios de Viena en Ñapóles. Mr. Mentz había salido para el quaTtel general del emperador de Austria con el tratado de alianza entre Austria y Náppies. Los ingleses han tratado sobre lo res…</t>
  </si>
  <si>
    <t>Pignateli</t>
  </si>
  <si>
    <t>…vireyna^en esta amable princesa fundan en Italia las espe-5 ranzas los antiguds conquistadores, lo mismo que en Francia en la em? peratríz. : Según les avisos de Trente del 19, el príncipe Pignateli, teniente gene-</t>
  </si>
  <si>
    <t>Pignatelli</t>
  </si>
  <si>
    <t>…o de sus^coifazónes. El clero de Roma escoltará procesionalmente el cocbe .de S Sr, qué iba tirado por jóvenes, y rodeado por la guardia suiza con su antiguo unifórme. El teniente general Pignatelli iba a caballo á la derecha del coche, y el co mandante de la caballería austríaca á la izquierda, y. los oficiales del estado mayor del exército napolitano marchaban detras; fa puerta estaba vistosa mente adornada de ñores, y las aclamaciones del pueblo eran…</t>
  </si>
  <si>
    <t>Píinuose</t>
  </si>
  <si>
    <t>…ieza de artillería se tomó en el campo de batalla ; y otras mas, con gran cantidad de almacenes de toda especie se han cogido en la ciudad. Des de mi último oficio he recibido del almirante Píinuose una relación de las ventajas conseguidas en la Gironda por los botes de la esquadra de su man do. El general conde de Daihousye pasó su caballería casi al mismo tiempo que el almirante entraba en el rio, y arrojó las partidas enemigas que man daba el general…</t>
  </si>
  <si>
    <t>Pilar, Bruna del</t>
  </si>
  <si>
    <t>Bruna del Pilar</t>
  </si>
  <si>
    <t>…os á D. Domingo Hernández Leal, y de bandera á D. Lu s Román y Franco y.,D. José González Arauz. Y á subtenientes en ei batallón de milicias urbanas de. la plaza de Alburquerque á D. Bruna del Pilar y D. Manuel María Salvadores. Por dimisión del gefe de esquadra de la armada nacional D. Francisco Xavier de Uriarte y Borja ha quedado vacante la plaza de ministro que ob tenía en el tribunal especial de Guerra y Marina, y se admiten memoriales fen el consejo de Estado por término de 30…</t>
  </si>
  <si>
    <t>Pillado, Ramón Bernardo</t>
  </si>
  <si>
    <t>Ramón Bernardo Pillado</t>
  </si>
  <si>
    <t>…á D. Diego Vázquez Buceta, terierte vicario general del departamento del Ferrol: para otra de la iglesia colegial de IrLfLvia , diócesis de S ¡miago, va cante por fallecimiento de D. Ramón Bernardo Pillado 3 á D. Marón Acu ña y Malvar: para el beneficio simple servidero de la parroquia de A (man sa, diócesis de Cartagena, vacante por muerte de D, Ignacio Benedicto Ibañez, á D. Pedro Fernando Tavira: para una ración dé la igieóa catedral de Ceuta, vacante por fa…</t>
  </si>
  <si>
    <t>Pilón, Manuel</t>
  </si>
  <si>
    <t>Manuel Pilón</t>
  </si>
  <si>
    <t>…ertenecien tes á los ingenieros y las provisiones serán entregados por los respectivos encargados de estos ramos á los gefes de ellos el capitán del cuerpo nacio nal de artillería D. Manuel Pilón , el teniente coronel de ingenieros D. Ba silio Augustin, y el ministro de hacienda del sitió D. Joaquín Pastor____ 7.0 Dé esta ¿capitulación se sacarán dos copias, y apenas sea ratificada, se pondrá en exécucion. Fecha en el fuerte de Laredo á las ocho y med…</t>
  </si>
  <si>
    <t>Piñal, Juan</t>
  </si>
  <si>
    <t>Juan Piñal</t>
  </si>
  <si>
    <t>…amón Collast, subteniente de id. D. José Ordoñez, id. de id. D. Pedro Mateo Olorn, sargento mayor del i.° Cántabro. Don Juan Suarez, capitán de id. D. Vicente Carvajal, id. de id. D. Juan Piñal, teniente de id. D. Francisco Mediavilla, id de id. D. Ramón de Arribas, subteniente de id. D. Silvestre Hidalgo, teniente coronel del de Laredo. D. Bernardino García, capitán de id. D. Antonio González Villamil, ayu dante de id. D. José Alfonso, teniente de…</t>
  </si>
  <si>
    <t>Pinar, Manuel de Espejo y</t>
  </si>
  <si>
    <t>Manuel de Espejo y Pinar</t>
  </si>
  <si>
    <t>…as de este largo y penoso servicio. Madrid 27 de Mayo. El tónes 16 del corriente besaron Ja mano y cumplimentaron á S. M. en nombre de su obispo y cabildo D. Agustín de los Arcos, D. Manuel de Espejo y Pinar, canónigos, y D. Migue! de Testa, prebendado de la santa iglesia de Córdoba, el primero de los quales arengó á S. M. en los términos siguientes: ,,Señor: el obispo de Córdoba, que hasta obtener el permiso y licencia de V. M. no puede ofrecer personalmente el…</t>
  </si>
  <si>
    <t>Pinera, Julián María de</t>
  </si>
  <si>
    <t>Julián María de Pinera</t>
  </si>
  <si>
    <t>802 bre de sus feligreses el Dr. D. Julián María de Pinera, cura párroco de San Nicolás de Trabadelo y sus anexos, en el rey no de Galicia, el qual en un enérgico discurso manifestó á S. M. la constante lealtad de aquellos vecinos, y su indecible satisfacción ai verlo colocado en el trono de sus mayores. ARTrcüLO DE…</t>
  </si>
  <si>
    <t>Piñeyro, José</t>
  </si>
  <si>
    <t>José Piñeyro</t>
  </si>
  <si>
    <t>…de presentarse á S. M. una comisión militar de la provincia de Zamora, compuesta del sargento mayor de aque lla plaza D. Joaquin Mexía, del capitán D. Juan Aldea y del subteniente D. José Piñeyro, del regimiento infantería de Compostela; quienes, des pués de haber tenido el honor de cumplimentar á S. M., entregaron en sti real mano varios documentos concernientes á su provincia. El dia 22 del mes próximo pasado* fueron admitidos á cumplimentar á S. M.…</t>
  </si>
  <si>
    <t>Piñeyro, Juan</t>
  </si>
  <si>
    <t>Juan Piñeyro</t>
  </si>
  <si>
    <t>…militar de S. Fernando al coronel D. Mariano Vi lla, al comandante del esquadron de Ubrique D. Francisco Saliqueti , y al capitán del regimiento primero de infantería de Cataluña D. Juan Piñeyro, y la de plata al soldado del propio regimiento D. Juan Vivó, mandando al mismo tiempo S. M. que al capitán del mismo regimiento D. Vicente Sánchez se le tenga presente para suS ascensos. En consideración á las circunstancias, méritos y servicios de D. Manuel…</t>
  </si>
  <si>
    <t>Piñeyro, Juan Manuel</t>
  </si>
  <si>
    <t>Juan Manuel Piñeyro</t>
  </si>
  <si>
    <t>…nacio Cabero: empleos de alféreces á los cadetes D. Andrés Truxillo y D, José Pió San tiago; y de portaguiones á los de la propia clase D. José Torres , D. José Alexo de los Ríos, D. Juan Manuel Piñeyro y D. Juan Felipe Negron. En el de milicias urbanas de dragones de Carabayllo tenencia al alférei D. Manuel Palacios; y esta resulta ai cadete D**Melchor Velasco. En el de Chota el empleo de teniente coronel al comandante de esqua dron D. Gregorio de la Torre; y esta resulta á…</t>
  </si>
  <si>
    <t>Piñeyro, Miguel</t>
  </si>
  <si>
    <t>Miguel Piñeyro</t>
  </si>
  <si>
    <t>…D. Juan de Dios Fuertes y D. Pab¡o Molina. Con la de 24 de Octubre del miuno año, á espitan á D. Miguel Santos; á ayudante mayor á D. Miguel de la Vega; á teniente de granaderos á D. Miguel Piñeyro ; á subtenientes dé ídem a D. Domingo Parño y D. José Ignacio Castro, y á subtenientes de bandera al cadete D. Jo&lt;é González Oso río y al sargento primero D, Francisco Azquen. Con la de 17 de Febrero de 812, á teniente de fusileros á D. Domingo Patino; á subt…</t>
  </si>
  <si>
    <t>Pingarron, Ramón Navarro</t>
  </si>
  <si>
    <t>Ramón Navarro Pingarron</t>
  </si>
  <si>
    <t>…trán, Oficial mayor primero de mi Se¿tere ano...............^ cretaría de Estado y del Despacho de la Guerra. Sala de Justicia. rk D. Guillermo de Vargas. 1A D. José Pagóla. , J A D. Ramón Navarro Pingarron. Togados................... &lt;j ^ j)# jUa0 pagZ de la Cadena. | A D. Francisco Ugarte. CA D. Ramón Pisón, Fiscal. =Tendreislo entendido, y lo comunicareis á quien corresponda para su cumplimiento. e= Señalado de la Real mano de S. M. = En Palacio á 18 de Agost…</t>
  </si>
  <si>
    <t>Pinilla, José López Juana</t>
  </si>
  <si>
    <t>José López Juana Pinilla</t>
  </si>
  <si>
    <t>…Carretas, y de Novillo, calle de la Con cepción gerónima. Proyecto de Real hacienda , que dedica al Rey nuestro Señor D. Fernando vn (que Dios guarde) el intendente de Guadalaxara D. José López Juana Pinilla. Se hallará á 4 rs. en la librería de Ranz, calle de la Cruz; y en el almacén de papel de D. Santiago Grimaud, calle de las Carretas. _En la misma librería de Ranz se hallan de venta exemplares del tratado teórico-práctico de los juicios de contra bando , que…</t>
  </si>
  <si>
    <t>Pinillos, Juan José Martínez de</t>
  </si>
  <si>
    <t>Juan José Martínez de Pinillos</t>
  </si>
  <si>
    <t>…á D. Raymun do Portocarrero, D. Juan Rubio, D. Antonio U'gartevidea, D. Martin Mi randa y D. José Gaspar del Campo. En el de Truxiüo, de caballería urbana, el empleo de coronel á D. Juan José Martínez de Pinillos: el de teniente coronel á D. Pedro José Cacho; el de comandante del tercer esquadton á D. Nicolás Bracamente, marques de-Herrera , y el de sargento mayor á D. José López Merino, En el deCumaná, de la propia arma, el empleo de coronel á D. Feli pe Antonio de L…</t>
  </si>
  <si>
    <t>Pino</t>
  </si>
  <si>
    <t>…y los aliados se hallan en el Rhin; es ya tiempo que realicen sus ofertas. Eri Turin, Alejandría y Plasencia se debe reunir un exército de reser va con nuevos conscriptos. ‘ : El general Pino entró el 28 en Ferrara, y obligó al enemigo á evacuarla. , El 5 hizo el consistorio israelítico de París una gran función en su sina goga en celebridad del aniversario de la coronación del emperador. El i°y 5 de este mes presidió el emperador un consejo de mi…</t>
  </si>
  <si>
    <t>Pino, José Manuel del</t>
  </si>
  <si>
    <t>José Manuel del Pino</t>
  </si>
  <si>
    <t>…Dr. D. Francisco Pantaleon Uztariz, cura ré'tor del sagrario de ídem, 24: D. Juan José de Cáceres, teniente de ídem, 4: D. Mariano Rodríguez, capellán de coro de idem, 6: el Lie. D. José Manuel del Pino, idem de idem, 2: D. Agustín de la Gala, idem dé idem, 4: el Dr. D. Juan d e Ta Cruz Eurrazquin , cura de Characato, 50: D. Antonio Tamayo, ídem de Sachaca, 10: el Dr. D. Manuei Mora</t>
  </si>
  <si>
    <t>Pinzón, Nicolás</t>
  </si>
  <si>
    <t>Nicolás Pinzón</t>
  </si>
  <si>
    <t>…los rebeldes. Habiendo colocado un obús y dos cañones de á 4 mandé romper el fue go y las granadas; dirigida su puntería por el teniente coronel graduado d#l cuerpo de artillería D. Nicolás Pinzón, cayeron en los puntos mas inme diatos que ocupaban los enemigos en el reducto y trincheras. Los rebeldes se colocaron al momentQ en todas sus líneas de defensa. No pudiéndose aun ver con claridad el número de gentes dispuse que el teniente coronel graduado D…</t>
  </si>
  <si>
    <t>Pió</t>
  </si>
  <si>
    <t>…la ma jestad del cuito con la piedad de los fules, y el entu:ia&gt;mo religioso con el regocijo patriótico del pueblo. Los augustos retratos de S. M. y de nues tro santísimo Padre e! Sr. Pió vil, colocados baxo un hermoso dosel en un lado del presbiterio, arrancaban al pueblo enternecido lágrimas de alegría y del amor mas sincero. Entre estas funciones se distinguió particularmente la que hicieron las niñas del establecimiento de escuela pia, cre…</t>
  </si>
  <si>
    <t>Piquero, Gregorio</t>
  </si>
  <si>
    <t>Gregorio Piquero</t>
  </si>
  <si>
    <t>894</t>
  </si>
  <si>
    <t>…eron su aprobación. Estos actos de humanidad y beneficencia fueron coronados con dar para un refresco al regimiento 50 doblones de su bolsillo. El coronel del expresado regimiento D. Gregorio Piquero, informado de la honra que acababa de dispensar S. M. al regimiento de su mando, se presentó al dia siguiente á S. M., y le felicitó en los términos siguientes: ,, Señor: el coronel que por V. M. tiene la dicha de mandar el regi miento de Málaga, acompañado d…</t>
  </si>
  <si>
    <t>…ta,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 consejo de Hacienda, es la de antigüedad del mismo tribunal, entendiéndose desdeT.° de Abrí! último. El Rey nues…</t>
  </si>
  <si>
    <t>Pisa, Miguel García de</t>
  </si>
  <si>
    <t>Miguel García de Pisa</t>
  </si>
  <si>
    <t>…templo, y otra militar en sus puertas. Celebró la misa el Dr. D. Juan Antonio de Castro, dignidad de chantre de da misma iglesia, y pronunció en ella una brillante oración el Dr. D. Miguel García de Pisa , canónigo lectoral de la misma &gt; todos individuos capitulares de la mencionada venerable congregación. Jívila 10 de Julio* El cabildo de esta santa apostólica iglesia catedral en acción de gracias por la feliz restitución de nuestro Santísimo Padre Pió Papa…</t>
  </si>
  <si>
    <t>Pisón, Ramón</t>
  </si>
  <si>
    <t>Ramón Pisón</t>
  </si>
  <si>
    <t>…tados á cumplimentar á S. M. por su restitución al trono como diputados por la ciudad de Sto. Domingo de la Calzada D. Francisco Campuzano, intenden te de la provincia de Alava, y D. Ramón Pisón, fiscal del tribunal especial de Guerra y Marina, pronunciando él primero el siguiente discurso: ,, Señor: la ciudad de Sto. Domingo de la Calzada-y penetrada del ma yor gozo por el regresó’ de V¿ M. á sus dominios, reiiúeva á V. M. los sin ceros votos de sü:…</t>
  </si>
  <si>
    <t>…e Justicia. rk D. Guillermo de Vargas. 1A D. José Pagóla. , J A D. Ramón Navarro Pingarron. Togados................... &lt;j ^ j)# jUa0 pagZ de la Cadena. | A D. Francisco Ugarte. CA D. Ramón Pisón, Fiscal. =Tendreislo entendido, y lo comunicareis á quien corresponda para su cumplimiento. e= Señalado de la Real mano de S. M. = En Palacio á 18 de Agosto de 1814, = A D. Fran cisco de Eguía. Por Real orden comunicada al Excmo. Sr. Nuncio de S. S. por la pr…</t>
  </si>
  <si>
    <t>Pita, Bernardo</t>
  </si>
  <si>
    <t>Bernardo Pita</t>
  </si>
  <si>
    <t>…d. D. José Osorio, subteniente de id. D. Ramón Rerigel, te niente coronel, comandante de voluntarios de Asturias. D. Pablo Herce, capi tán de id. D. Andrés Pardo, a&gt; udante de id. D. Bernardo Pita , teniente de ¡d. IX Ramón Nuñez, id de id D. José Villamil, subteniente de id. D. Manuel Uznia, id. de id. D. Pedro Ovalle&gt; id. de id., D. Juan Canal, capitán del de Santiago. D. Juan de Castro, teniente de Id. D. Benito Martínez, id. de Id. D. Juan Guillen,…</t>
  </si>
  <si>
    <t>Pizarro, José</t>
  </si>
  <si>
    <t>José Pizarro</t>
  </si>
  <si>
    <t>562</t>
  </si>
  <si>
    <t>…an de Hungría y de muchas otras: y S. M. Católica, y durante su ausencia y cautividad la Re gencia del Reyno, legítimamente elegida por las Cortes generales y extra ordinarias i á D. José Pizarro, secretario del Rey y de Estado, cballero pensionista de la orden distinguida de Carlos m, ministro, consejero y greíler de la del Toyson de csro, enviado extraordinario y minbtro plenipotenciario de S. M. Católica Fernando vn cerca de la corte de Prusia;dos…</t>
  </si>
  <si>
    <t>Planearte, Juan</t>
  </si>
  <si>
    <t>Juan Planearte</t>
  </si>
  <si>
    <t>…D. Martin Salazar, y á subtenientes de bandera á los cadetes D. Santiago de Castro , D. Manuel García y D. Francisco Geltz de la Luz, y á los sargentos primeros D- José • Trejo y D. Juan Planearte. Con la de 5 de Mayo de 811 , á subteniente de bar dera al cadete D. Luis Urrutia. Con la de 20 de Julio del mismo, á teniente de la sexta del primero á D. Martin Salazar; á subteniente de fu sileros al sargento primero D. José Castro, y á subtenientes de ban…</t>
  </si>
  <si>
    <t>Plardeg</t>
  </si>
  <si>
    <t>…de este mes, lo siguiente: La ciudad de Sens fué tomada por asalto el dia 11 por el príncipe real de Wurtemberg, quien inmediatamente marchó á*Bray por Pont del Yone. El dia 9 el conde Plardeg acometió la retaguardia del enemigo en Romilly y Sr. Hilaire; y habiéndosele reunido el general Wittgenstein, in mediatamente la acometió segunda vez cerca de St. Aubin y JVlarnay , y la arrobó hacia Nogent, que fué ocupada en parte por el conde Hardeg. £1 co…</t>
  </si>
  <si>
    <t>Plasencia</t>
  </si>
  <si>
    <t>…or su coman dante D. Ramón Rengel, con el objeto de reforzar mi izquierda sobre el camino real, y amenazar el flanco de los enemigos, que atacaban los desta camentos avanzados del coronel Plasencia: las compañías de cazadores fue ron relevadas durante todo el dia, que siguió el fuego por compañías de sus respectivos cuerpos. Poco antes de anochecer un destacamento de la briga da del coronel Vigo, que se situó á mi izquierda, relevó el punto que cu bría-…</t>
  </si>
  <si>
    <t>Plasencia, Francisco</t>
  </si>
  <si>
    <t>Francisco Plasencia</t>
  </si>
  <si>
    <t>…vimientos de los aliados por nuestra izquierda , he relevado los puestos que aquellos cubrían en fren te de Bayona. La primera brigada de la quinta división, al mando del co ronel D. Francisco Plasencia, y las dos de la quarta, al de su comandante general el brigadier D. José Ezpeleta, fueron encargadas de aquella opera ción , que han executado, desalojando á los enemigos de todos los puntos que ocupaban al amanecer, hasta dexarlos encerrados en el campo atr…</t>
  </si>
  <si>
    <t>Plaséncia, Francisco</t>
  </si>
  <si>
    <t>Francisco Plaséncia</t>
  </si>
  <si>
    <t>…^Mafórliáj^ónlahdánte’de la división provisional, por su asistencia y el zeló cfüé empléáron eh sus respectivas*Funciones, como también á los ge fes de bri gada T&gt;; Ramón Romay y D. Francisco Plaséncia. Será siempre sentida en él exército la pérdida de los coroneles D. Francisco Xavier Ba’anzat, dei de yólüntaritíi‘dé:*la Corona, y dé D. Leonardo Sicilia, del dé tiradores de Cantabria^: amfeósgefes eran de ios mas respetables del exército por sus virttídés…</t>
  </si>
  <si>
    <t>Platoíf</t>
  </si>
  <si>
    <t>…ce que pasó de Ginebra á Dola, y que su intención era ocupar á León. Para ahora debe estar ya ocupada Dijon. Se espera que el mariscal Blucher esté al presente en Metz. El general conde Platoíf, sostenido por el príncipe real de Wurtemberg, ha tenido una acción entre Epinal y Nancy , en la que tuvo el enemigo un numero consi derable de muertos y pasioneros. Ei general Wrede tuvo también otra , en la que se dice que el enemigo sufrió una pérdida cons…</t>
  </si>
  <si>
    <t>Platos</t>
  </si>
  <si>
    <t>…Bianchi á fQntainebleau. Mr. Robinson fué informado oficialmente yendo para Troyes de que el dia 17 de este mes habla sido tomado Fonrainebleau por los condes Hardes;, Thurn.y el general Platos: el enemigo perdió algunos cañones y prisioneros, y los puestos avanzados.de los aliados se dirigieron sobre París. El 18 Bonaparte acometió en Nangis, con un grueso cuerpo de caballería, al cuerpo avanzado de la división del conde Wittgenstein, mandado por e…</t>
  </si>
  <si>
    <t>Platow</t>
  </si>
  <si>
    <t>…hay apariencias de que haya sido reforzado. El príncipe real de Wúrtemberg ha tenido orden de marchar contra aquella ciudad, y se espera que es ta tarde se apodere de ella-----El general Platow con sus cosacos llegó i Neuf-Chateau, y sus patrullas se extienden hasta mas allá de aquel pueblo. _E1 quartel general de Blucher debía estar hoy enNancy. Los cosacos del príncipe Tcherbatoflf avanzaban hacia Toul, según ei último parte de este general. Tengo…</t>
  </si>
  <si>
    <t>paba á Epinal, y determinó atacarle. Con este objeto se adelantó el día 12, cooperando ageste movimiento el general Platow por la derecha del enemi go hacia Charmes á su retaguardia. Los franceses se retiraron ai avanzar ei príncipe de Wurtemberg, quien los alcanzó é hizo muchos prisioneros. El general Grechow , que mandaba la vanguardia del cuerpo del general Platow, cayó sobre…</t>
  </si>
  <si>
    <t>…, cogió mas de 300 caballos, 40 artilleros, y los equipages del general Girard.” . No habiéndose tenido noticias del feld-mariscal Blucher desde el 28 de Febrero, fué destacado el general Platow á Sezanne para mantener la co municación con aquel mariscal, y amenazar la retaguardia de Bonaparte. En esta marcha se apoderó el general Platow de Arcis, haciendo prisionera á su guarnición. Han llegado periódicos de París hasta el 12 de este mes, los quales…</t>
  </si>
  <si>
    <t>…objeto de mantener la comunicación con este oficial, y de amenazar la retaguardia de Bchaparte, que .actualmente marcha contra él, Ha man- | dado el príncipe de Schwartzemberg al conde Platow que marche sobre Se* zanne. En su marcha ha tomado ya el pueblo de Arey y la guarnición fram cesa que la ocupaba. Tengo la honra fkQt~JBurgfars¿t*zz Al vizconde Castlercagh &amp;c.</t>
  </si>
  <si>
    <t>…meros que le saludaron ; pero antes de hablar palabra, se contempla ron recíprocamente uno á otro algunos minutos, y conversaron de pues am bos por algún tiempo. En tanto llegó el conde Platow, y por espacio de, dos horas no se separaron aquellos dos valerosos guerreros del duque de Wellington. Diéronle el nombre de primer capitán del siglo, y el exe de la gran máquina que había libertado al mundo. Los^soberanos, los príncipes, los mariscales, todo…</t>
  </si>
  <si>
    <t>…duque de Orleans, en donde perma necerá ocho dias. Se ignoran todavía los motivos de su viage. Ayer en los teatros de Drury- Lañe y de Covent-Carden se dieron mu chos aplausos al general Platow. El general conde Krucowiscki se halla en esta ciudad de orden del em perador Alexandro para conducir al ducado de Varsovia á todos los pola cos, que en el tiempo de la guerra han sido hechos prisioneros por las tro pas inglesas. Idem i&amp;. Se están guarneciend…</t>
  </si>
  <si>
    <t>…e 30 guineas por cabeza para 200 cubiertos: lo que asciende á 6oo© rs.; pero los mayordomos han ofrecido suplir lo que falte. El 15 lord Lowther dio en Londres un gran almuerzo al general Platow y á otros varios extrangeros; en seguida les proporcionó la diversión de una lucha de pugilistas (2), en la qual lucieron toda su habilidad los céle bres Cribb y Moiineux. Idem t8. El lunes próximo está señalado para publicar la paz, con cuyo motivo le ha esc…</t>
  </si>
  <si>
    <t>…bres de tropas excelentes. En todas partes por donde ha pasado ha sido bien recibido dé los naturales, que han mani festado sus buenas disposiciones hacia la Francia. Idem 26*. El general Platow ha 11 égado á Calais. Se esperaba también en aquel puerto á la gr-an duquesa de Oidenburgo. Hoy ó mañana debe llegar á esta capital el rey de Prusia: viene como un particular, y todo el tiempo que permanezca aquí se titulará conde de Reppin, Calais 23 de Junt…</t>
  </si>
  <si>
    <t>Platpsv</t>
  </si>
  <si>
    <t>…es de guerra. En el mismo puer to habian desembarcado antes que SS. MM. los siguientes personages : el príncipe Henrique de Prusia, los príncipes de Metternich y ae Wolchousíy, el conde Platpsv, el general Barclay de Tolly, y el lord Cathcart. El feld-mariscal Blucher acompañó desde Boloña á su soberano. Lord Yarmouth, lord C. Bentink y el conde de Rosslyns recibieron á los soberanos y los conduxeron á casa de Mr. Factor. La guardia de honor de SS.…</t>
  </si>
  <si>
    <t>Pokenham</t>
  </si>
  <si>
    <t>…onibles de ben marchar á la América. Se envía caballería y mucha artillería. Se dice que ei mayor general Kempt,con el título de teniente general,mandará en el Canadá , y el mayor general Pokenham dirigirá el exército de las costas» * Es muy probable que irá muy pronto ono de nuestros generales de mas cré dito á tomar el mando en gefe. El mayor general Gibbs,del regimiento 52.0»; acompaña con un numeroso estado mayar á sir Pokenham á bordo de la St iíi…</t>
  </si>
  <si>
    <t>Polo, Ramón</t>
  </si>
  <si>
    <t>Ramón Polo</t>
  </si>
  <si>
    <t>…tencia del Consejo de Generales, de que se ha quejado el referido Urbina, se ha servido el Rey declarar, en quanto á la nulidad de ella por haber concurrido como Juez el Brigadier D. Ramón Polo, que había sido Capitán del mismo Real Cuer po , en tiempo que ¡todos los Oficiales de él estaban recusados por Urbina; que no siendo en la actualidad individuo de él, pudo muy bien considerar se ya por legítimo Juez, atendiendo á evitar las dilaciones que de…</t>
  </si>
  <si>
    <t>Polonia</t>
  </si>
  <si>
    <t>…s, car pitan de infintería del regimiento de Liberta, ya extinguido. Se suplica á los ca balleros oficiales españoles prisioneros que hayan estado en Francia comuniquen ú su madre Doña Polonia de los Santos, vecina de Málaga, la noticia efectiva de su existencia ó fallecimiento. Doña Juliana Ortiz, natural de Midrid , y viuda de D, Carlos Rodríguez, emi gró de esta capital, y parece murió en algún pueblo, que se ignora, por los me ses de Noviembre…</t>
  </si>
  <si>
    <t>Pomar, Antonio</t>
  </si>
  <si>
    <t>Antonio Pomar</t>
  </si>
  <si>
    <t>…ducida de las declaraciones de prisio neros echados en tierra, y de otras noticias adquiridas por la intendencia de mi cargo. De la metrópoli y adyacentes. Bergantín S. Rafael, su capitán D. Antonio Pomar, procedente de Ma llorca, Cumaná, Puerto'Cabello y Curazao, tocando á la vista de este puerto. '• * • V = . v • &lt; .• • &lt; Fragata Dolores, su capitán D. Pedro Muzquiz, procedente de Cádiz, sobre cabo Maysí» Fragata S. Luqueña, su capitán D. Pedro Heros, proced…</t>
  </si>
  <si>
    <t>Pomar, Juan</t>
  </si>
  <si>
    <t>Juan Pomar</t>
  </si>
  <si>
    <t>…ta ' • En J. 3en............................ D. José Arroyo y Serrano y D. Francisco Ló pez Zavala. En León............................... D. Toma* Díaz Serrano. En Mn aga...... . D. Juan Pomar. En Murcia...................i.... D. José Dbach.</t>
  </si>
  <si>
    <t>…............................ D. José Arroyo y Serrano y D. Francisco Ló pez Zavala. En León.............................. D. Tomas Díaz Serrano. En Málaga. '...................... D. Juan Pomar. En Murcia......................... D. José Ubach. En Oviedo...................... .. D. Rubiano y Nieto. En Orense........................... D. Fernando Rey. En Lugo.............................. D. José María Gay oso. En Palenda....................... D. M…</t>
  </si>
  <si>
    <t>Poncé, Manuel</t>
  </si>
  <si>
    <t>Manuel Poncé</t>
  </si>
  <si>
    <t>…ón de D. José Gar cía Nieto á 1a dignidad de deán de ia misma iglesia, concediéndole igual mente el medio pontifical de Alanis, que vacó en el arzobispado de Sevilla por muerte de D. Manuel Poncé, y la media prestamera de Sta. María Mag dalena, en la misma ciudad y arzobispado de Sevilla, vacante por falleci miento de D. Fernando Perez. Asimismo ha nombrado S. M. á D. Jacinto Becerril, cura párroco dé S. Salvador de Valladoüd , para el beneficio prés…</t>
  </si>
  <si>
    <t>Poniatowsky</t>
  </si>
  <si>
    <t>…cesa Isabel, hermana del rey Federico Au gusto, que habia venido expresamente de Dresde. Antes de ayer á las cinco de la tarde fue trasladado de aquí con gran pompa el cadáver del príncipe Poniatowsky, que habia estado depositado en la bóveda de la casa municipal. Después de embalsamado le metieron: en ona caxa de estaño; esta se colocó en un ataúd de encina, el qual se cubrió con otro féretro de pinabete. El carro fúnebre iba cubierto con un paño ne gro,…</t>
  </si>
  <si>
    <t>99* . Polonia los huesos del príncipe Poniatowsky, que deben llegar 2IÜ mañana. Estos días ha pasado por aquí e! exército del conde de Wittgenstein, y S. E. ha salido esta mañana con su quartel general. El^ general Sacken pasó por aqui hace algunos dias con dirección á Varsovia. ITALIA. Coni &amp; de Agosto. Los…</t>
  </si>
  <si>
    <t>Ponsoinb</t>
  </si>
  <si>
    <t>…mpadas esta noche sobre Larcet y Lanoy , ha llándose el general Clinton con la sexta división, y el teniente general sir Stapletton Cotton con las brigadas de caballería del mayor general Ponsoinb y y y del lord Eduárd Somersct bien avanzados sobre su derecha. Aunque la resistencia del enemigo no haya sido de naturaleza de poder probar la bizarría de las tropas, tengo todos los motivos para estar satisfe cho de su conducta en todas estas acciones, part…</t>
  </si>
  <si>
    <t>Ponsomby</t>
  </si>
  <si>
    <t>…general D. Manuel Freyre se unió al exército este dia con alguna parte del quarto exército, que se hallaba baxo su inmediato mando, y espero que la brigada de caballería del mayor general Ponsomby se reunirá ef diá de mañana.__ El general Fane, que manda ios puestos avanzados del general Hill, me ha informado que el enemigo había reunido hov una fuerza considerable eri las inmediaciones de Conchez; y por consi guiente infiero que la fuerza destacada de…</t>
  </si>
  <si>
    <t>…nfrente de la izquierda de la posición enemiga,: sobre la qual estaba también,colocada la artillería portuguesa, y á retaguar dia y de. reserva la* brigada de caballería del mayor general Ponsomby. Luego que se formaron las tropas, y.se.viq que el mariscal.Beresford esta ba pronto, marchó al ataque el general Freyre, Xas tropas subieron en buen orden: sufriendo un vivo fuego de fusilería y artillería,; y manifestaipn gran valor ,&lt; llevando á-su; cabeza…</t>
  </si>
  <si>
    <t>Pont, Francisco Marcó del</t>
  </si>
  <si>
    <t>Francisco Marcó del Pont</t>
  </si>
  <si>
    <t>…ado exército D. Miguel Tacón y D. Gerónimo Lombera. Asimismo se ha ser vido S. M. nombrar capitán general del reyno de Chile y presidente dé aquella audiencia al mariscal de campo D. Francisco Marcó del Pont; sub^ inspector general de las tropas del vireynato del Perú, en los mismos tér minos que lo han sido sus antecesores, al mariscal de campo D. Joaquín de la Pezuela, sin perjuicio de. continuar con el mando del exército que está á su cargo; y para varios empl…</t>
  </si>
  <si>
    <t>…D. José Arteaga: para el gobierno .militar y político -de la plaza de Vich á D. Cesario Escobar;, para el de la plaza de'Cartage-na á D. Juan de Dios Topete: para el de Tortosa 4 D. Francisco Marcó del Pont: para el de Barcelona á D. Andrés Perez Herrasti: para el de Tarraigona á D. Carlos de España: para el de las quatro villas de Santander 4 vD. Vicente Quesada; y para el de Lérida á D. Francisco Fulgosio. Igualmente se ha servido nombrar S. M. par-a la regenc…</t>
  </si>
  <si>
    <t>Pont, Juan José Marcó del</t>
  </si>
  <si>
    <t>Juan José Marcó del Pont</t>
  </si>
  <si>
    <t>…de 5 de este mes se restablezca la misma dependencia baxo las reglas que la gobernaban el año de 1808, nombrando por sus directores generales ai intendente honorario de provincia D. Juan José Marcó del Pont, caballero de la real y distinguida orden de Cárlos ni, y á D. Pió de Elizalde, director que fué de reales provisiones del segundo exército. En su consecuencia se hace notorio al público hallarse abiertas las oficinas de este ramo desde las nueve de la mañana…</t>
  </si>
  <si>
    <t>Ponte, Andrés Quintian y</t>
  </si>
  <si>
    <t>Andrés Quintian y Ponte</t>
  </si>
  <si>
    <t>…al Dr. D. Josef Ignacio Cortazar y Labayen, cura párroco de la iglesia matriz de la ciudad de Guayaquil, para el obispado de Cuenca en el Perú, vacante por fallecimiento del limo. Sr. D. Andrés Quintian y Ponte.</t>
  </si>
  <si>
    <t>Poriier, Estéban</t>
  </si>
  <si>
    <t>Estéban Poriier</t>
  </si>
  <si>
    <t>2o 06 pasimiro .de Lavadle, D. Juan Cisquero , D. Antonio Darcaurt, D, Fran cisco Fulgencio, D. Estéban Poriier, D- Antonio María de Mendoza, y Don Mariano de Peñafiel. A brigadieres á los coroneles D. Ramón de Figueroa, D. José de Morete, D. Repulido M.scdona!, D. José Martínez de San Martin, D. Cárlos de Coupigni, D. Francisco Xavier de Cavanes, D. Joaquín de los Río…</t>
  </si>
  <si>
    <t>Porquerizos, Francisco</t>
  </si>
  <si>
    <t>Francisco Porquerizos</t>
  </si>
  <si>
    <t>…ri to y acrisolado patriotismo que ha acreditado en defensa del Rey y de la religión: para el beneficio simple servidero de S. Vicente de la ciudad de Avila, vacante por muerte dé D. Francisco Porquerizos, á D. Felipe Do mínguez : para el téróió beneficio de S. Pedro de Garmona, en el arzobis pado de Sevilla , que ha vacado por fallecimiento de D. José Martínez, ¿ D. Jasé Ferraz: para el beneficio simple de Sta. Colonia de Vez de Marban , en el obispado de Zam…</t>
  </si>
  <si>
    <t>Porta, Antonio</t>
  </si>
  <si>
    <t>Antonio Porta</t>
  </si>
  <si>
    <t>…ICIO. La Regencia del Reyno se ha servido conferir el gobierno militar de Se villa al brigadier D. Luis Florez, gobernador del Puerto de Santa María: este empleo al de igual clase D. Antonio Porta: la tenencia de rey de la plaza de Cádiz al brigadier D. Alonso Rodríguez Valdés, que la servia in terinamente : la de la de Madrid al coronel J¡¡&gt;« Manuel Villalba, sargento mayor de la misma : esta resulta al teniente coronel D. Benito Villuela, te niente c…</t>
  </si>
  <si>
    <t>…nanza del mismo Real Cuer po, á D. Valentín del Río, D. José Ortega y D. Francisco Belda, subte niente el primero, y cadetes los otros del regimiento Real de ZapadoresMinadores; á D. Antonio Porta, cadete deí regimiento-de infantería de Ansona; á D. Pedro Bayo, D. Mariano Bayo y 1&gt;. Rafael Lara, alumnos de la escuela militar de la Isla de León; y á D. Manuel Varéla, D. Pedro García y D. Francisco Xavier Pardo, alumnos de la de Santiago. El canónigo mag…</t>
  </si>
  <si>
    <t>Portal, Antonio de Oviedo y</t>
  </si>
  <si>
    <t>Antonio de Oviedo y Portal</t>
  </si>
  <si>
    <t>…Asturias los socios D. Nicolás Arguelles, ayuda de cámara de S. M.; D. Lu is de Meras, ayuda de cámara de S. M. y caballero de la Real y distinguida orden española de Carlos m, y D. Antonio de Oviedo y Portal, el que dixo: „Señor: al presentar al mas deseado de los Monarcas la Real sociedad económica de Amigos del país de Asturias el homenage de amor y de res peto, la mas hermosa perspectiva se presenta á sus ojos: vió con dolor du rante la gloriosa quahto sangrie…</t>
  </si>
  <si>
    <t>Portal, Miguel Fernandez</t>
  </si>
  <si>
    <t>Miguel Fernandez Portal</t>
  </si>
  <si>
    <t>…de la santa iglesia de Ciudad Rodrigo, se ha servi do nombrarle juez del tribunal de la Rota de la Nunciatura apostólica e» esta corte, vacante por muerte de D. Evaristo Vejarano. D. Miguel Fernandez Portal, vecino de Puerto de Vega, ha hecho á S. M, el donativo gratuito de 320 rs. tu. en una letra á la vista contra Don Lorenzo de Palacio y Gorvea, sintiendo-que sus facultades ro le permitan mayores demostraciones de su respeto y amor al Soberano. S. M. se ha di…</t>
  </si>
  <si>
    <t>Porter</t>
  </si>
  <si>
    <t>…a sostenido el honqr de nuestras armas: una segunda fra gata, es cierto, cayo en poder del enemigo; pero su pérdida está cubierta con el brillante heroísmo con que se defendió. El capitán Porter que la man daba, y cuya carrera se ha distinguido con empresas arriesgadas, sostuvo un combate sangriento contra dos buques, de los quales el uno era superior al su yo, y tenia otras ventajas, hasta que la humanidad arrió una bandera que el valor habia atado…</t>
  </si>
  <si>
    <t>Portillo, Sebastian</t>
  </si>
  <si>
    <t>Sebastian Portillo</t>
  </si>
  <si>
    <t>…eynado para gloria suya y bien de la monarquía.'* En el mismo dia tuvieron igualmente la honra de besar la mano á S. M. á nombre de U M. N. L. y coronada villa de Madrigal el Lie. D. Sebastian Portillo y el Dr. D. José Benito Montero, regidores de su ayuntamiento; y tomando el primero la palabra dixo: ,, Señor: vuestra villa de Madrigal, no menos célebre por su acendrada lealtad y amor á sus Reyes, que por los singulares privilegios con que estos la ennoble…</t>
  </si>
  <si>
    <t>Portocarrero, Raymun do</t>
  </si>
  <si>
    <t>Raymun do Portocarrero</t>
  </si>
  <si>
    <t>3 2 i En el de Chachapoyas, de igual 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 Pinillos: el de teniente coronel á D. Pedro José Cacho; el de comandante del tercer…</t>
  </si>
  <si>
    <t>Portu, Juan Felipe</t>
  </si>
  <si>
    <t>Juan Felipe Portu</t>
  </si>
  <si>
    <t>…ía de Arazuri-, deán de esta santa iglesia, 500 pesos: el Dr. D. Francisco Xavier Echeverría, arcediano de la misma, too: el Dr. D. Cipriano Villota, chantre de ídem-, 200: el Dr. D. Juan Felipe Portu, prebendado de ídem, 25 : el Dr. D. Francisco Pantaleon Uztariz, cura ré'tor del sagrario de ídem, 24: D. Juan José de Cáceres, teniente de ídem, 4: D. Mariano Rodríguez, capellán de coro de idem, 6: el Lie. D. José Manuel del Pino, idem de idem, 2: D. Agustí…</t>
  </si>
  <si>
    <t>Portugal, Hcnnque Atrids y</t>
  </si>
  <si>
    <t>Hcnnque Atrids y Portugal</t>
  </si>
  <si>
    <t>…enseña á sus hijos las obligaciones que tienen para con Dios, para consigo mismo, y para con el pró-&gt; ximo. Publícala traducida del francés al castellano, corregida y aumentada , Don Hcnnque Atrids y Portugal: un tomo en 8.° Se hallará en la librería de Hurtado, calle de la3 Carretas. Ei adulterio considerado ó como pecado contra el matrimonio natural estable* cido por Dios en el paraíso, ó como delito contra la religión del Sacramento que instituyó nuestro Salvad…</t>
  </si>
  <si>
    <t>Portugal, Infante de</t>
  </si>
  <si>
    <t>Infante de Portugal</t>
  </si>
  <si>
    <t>…r, el reintegro de quanto se haya tomado de dichas encomiendas. ,, Es igualmente su real ánimo que esto mismo se entienda con respecto al giran priorato de Malta, que pertenece al Sr. Infante de Portugal Don Sebastian.’" Y lo traslado á V. dé real orden para su inteligencia y puntual cum plimiento. Dios guarde á V. muchos años. Madrid 11 de Junio dé 1814. Con esta fecha comunico á la junta del Crédito público ía real orden sir guíente: ,, Atendiendo el Rey al perjuicio que r…</t>
  </si>
  <si>
    <t>Posada, Manuel de</t>
  </si>
  <si>
    <t>Manuel de Posada</t>
  </si>
  <si>
    <t>2076 D. Migue! de Orozco, D. Antón ib Gómez de Barreda, í).; Alonso de Tor res y Guerra, D. Manuel de Posada, y D. José Melendez Bruna. El Rey se ha servido nombrar para la dignidad de deán de la iglesia ca tedral de Cartagena, vacante por fallecimiento de D. Ignacio Ofañez, á Don Blas Ostoíaza, con retención de la capellanía de honor que sirve en la Real capilla; y…</t>
  </si>
  <si>
    <t>Posada, Ramón de</t>
  </si>
  <si>
    <t>Ramón de Posada</t>
  </si>
  <si>
    <t>…M.= A D. Miguel de Lardizabal y Uribe. Nómina de los Ministros de mi Real Cámara de Indias; = El Duque de Montemar, Presidente. = D. Miguel Calixto de Acedo. = D. Pedro Aparici. = D. Ramón de Posada. =D. Francisco Requena. =D. Josef Pablo Va liente. Madrid 2 de Julio de 1814. = Señalado de la Real mano de S. M. Circular del Ministerio de Hacienda. ,,He dado cuenta al Rey nuestro Señor del oficio de V. S. de 14 de Junio último, en que consulta si los gran…</t>
  </si>
  <si>
    <t>…icios de D. Manuel María Junco, decano de la sala de Alcaldes' de Casa y Corte, se ha servido conferirle la plaza del Consejo de Indias que resulta vacante por dimisión de ella de D. Ramón de Posada* Hallándose el santo Padre en Roma, y en camino para aqoelTa corte e! ministro plenipotenciario enviado extraordinario y agente general de ne gocios de S. M., y restablecida la oficina de la Agencia general tfe expe diciones, se hace saber,, para que los ordi…</t>
  </si>
  <si>
    <t>Posada.s, Ramón de</t>
  </si>
  <si>
    <t>Ramón de Posada.s</t>
  </si>
  <si>
    <t>…yetano Urbina. = D. Juan Ro bledo. = D. Francisco Xavier Caro. = D. Josef Aycinena. = D. Antonio Cal derón , Fiscal. = D. Silvestre Collar, Secretario. = Sala tercera de Justician D. Ramón de Posada.s= Di Francisco Josef Viaña. =D. Joaquín Mosque ra, =D. Antonio Salcédon Conde de Vista-Florida. Contador general* que no ha de ser Ministro de la tabla, D- Josef Manuel de Aparici y Prado. = Madrid 2 de Julio de 1814. = Señalado de la Real mano de S. M. 2.0 Po…</t>
  </si>
  <si>
    <t>Posse</t>
  </si>
  <si>
    <t>…ersiguió al enemigo baxo el fuego de la fortaleza, é hizo algunos prisioneros. Se hallan dispuestos todos los preparativos para atacar la fortaleza de Fredericsort: las tropas del general Posse estaban á 300 pasos de sus murallas: después de nn vivo fuego, que duró noche y dia, y que nuestros soldados sostuvieren con una serenidad propia de los guerreros del Norte, ei comandante capituló el dia 19. Hallamos en la pla za 101 cañones, muchas municione…</t>
  </si>
  <si>
    <t>Power, Luis</t>
  </si>
  <si>
    <t>Luis Power</t>
  </si>
  <si>
    <t>…la memoria de los ilus tres españoles que por defenderla de las armas francesas perdieron sus vidas el 16 de Agosto de 1808, y especialmente la del valeroso oficial de artille ría D. Luis Power, y la de ios bizarros Jóvenes Ugarte, Sebericha, Sagarbinaga, Isarza y otros, celebró el 16 del pasado, aniversario de aquella jor nada, en la parroquia matriz de Santiago una solemne función de difuntos, á. la que asistió en cuerpo y luto riguroso. En el cen…</t>
  </si>
  <si>
    <t>Pozo, Blas del</t>
  </si>
  <si>
    <t>Blas del Pozo</t>
  </si>
  <si>
    <t>…colás Terres: compañías de granaderos á los capitanes de fusileros D. Andrés Cabrera y D. Manuel Valdivia: compañías de fusi leros á los tenientes D. José Ignacio de Larrasquitu , D. Blas del Pozo, D. Cárlos Morales, D. José Nicolás de Lequona , D. Antonio de Ja Barrea da y D. Manuel Cabrera; y tenencias á los subtenientes D. Manuel Estéban Lason , D. Juan Escobar, D. Vicente Vaidés, D. Nicolás Zúñiga, D. Cárlos Ascona y D. Ramón del Pino. En el batall…</t>
  </si>
  <si>
    <t>Pozo, Josef Fernandez del</t>
  </si>
  <si>
    <t>Josef Fernandez del Pozo</t>
  </si>
  <si>
    <t>…Reyno se ha s&amp;r.vido promover á teniente en el cuerpo de ingenieros de exército á D. Fernando Carnicero, subteniente del mismo; y á este último empleo'al subteniente de infantería D. Josef Fernandez del Pozo. &gt; — -• ¡ : ~ •; ‘ :: ; ;, --------------------------- U.------- ^ 4—t - r * ----------- — — U íí -.1? .&lt; .¡4— —-■ Por providencia del FraíicLiCG Assin, Juez letrado :de primera instancia de esta villa, se cita, llama y, emplaza á D. Ramón Josef de Arce, cond…</t>
  </si>
  <si>
    <t>Pozo, Manuel del</t>
  </si>
  <si>
    <t>Manuel del Pozo</t>
  </si>
  <si>
    <t>…iranda y D. Francisco Varela son también dig nos de recomendación por Iá caridad que han empleado en la asistencia es piritual de los heridos. Mis ayudantes de campo los capitanes D. Manuel del Pozo y D. Antero Henriquez , el teniente D. José María Barrero y Dort Manuel Jáeome llenaron en aquel dia á toda mi satisfacción el cumplimien to de sus deberes, como también el teniente D. Joaquín de Velasco, qué desempeñando iguales funciones qué aqueUos;, fué herido en lo mas acalor…</t>
  </si>
  <si>
    <t>Pra, Fermín Moscoso de</t>
  </si>
  <si>
    <t>Fermín Moscoso de Pra</t>
  </si>
  <si>
    <t>9-01 Igualmente en este día se presento también á cumplimentar á S. M. en nombre del ayuntamiento de la villa de Briones D. Fermín Moscoso de Pra do , señor de Albires; y después de besar la Real mano dixo: . ,,Señor: la villa de Briones, en la provincia de Rio ja, de quien tengo el honor de ser representante, se pone á L. R. P. de V. M. por el prodi gioso restablecimiento al trono de sus augustos prog…</t>
  </si>
  <si>
    <t>Prada, Benito Arias de</t>
  </si>
  <si>
    <t>Benito Arias de Prada</t>
  </si>
  <si>
    <t>…do aprecio las casas de piedad y beneficencia. El día 23 del pasado tuvieron la honra de felicitar á S. M. y besar su -real mana, á nombre del cabildo de la¡catedral de Orense, el Sr. D. Benito Arias de Prada, del consejo de S.M., y D. Fermín Martin Blanco, y des pués de haber este entregado una carta.de su cabildo para S. M,, dixo: , ,,Señor: por la carta del Cabildo de la catedral de Orense habrá visto V. M. quale&amp;-som.5tts?sentürñeitfQS*; Esi£/£abHdoSeñor* asi…</t>
  </si>
  <si>
    <t>…io Carrillo............. Cuenca) Badajoz y Plasencia. Sr. D. Tomas Moyano......... Córdoba) Valencia, Segorbe y Ori; huela. Sr¿ D. Juan Antonio de Inguanzo.... Burgos y Santander. Sr. D. Benito Arias de Prada.. .......... Cartagena, Segovia y Osma. Sr. D. Gerónimo Diez........................ Coria) Astorga y Cádiz. Sr. D. Nicolás María de Sierra........... Ciudad'Rodrigo, Jaca y Málaga. Sr. D. José Antonio Larrumbide..... Toledo (excepto Madrid) Uclés y . . León…</t>
  </si>
  <si>
    <t>…lla de Alcántara, que á sus antiguos timbres de M. N. y L. con voto en cortes añadirá la honra de besar la Real mano, confirmando su fidelidad con la sangre vertida." En dicho dia D. Benito Arias de Prada, ministro del consejo Rea!, y gobernador de la sala de alcaldes de casa y corte, encargado por. la ciudad y provincia de Orense de cumplimentar á S. M. por su feliz arribo al tro no , dixo: „ Señor: si vuestro reyno de Galicia fue el primero que envió un exér…</t>
  </si>
  <si>
    <t>…ente en este dia tuvo la honra de cumplimentar á S. M. y besar su Real mano á nombre del ayuntamiento de la ciudad de la Coruña una diputación compuesta del Dr. D. Bernardo Forte, D. Benito Arias de Prada, ministro del consejo Real , y gobernador de la Sala de alcaldes de casa y corte, D. Miguel Antonio Blanes, oidor de la Real audiencia de dicha ciudad, y D. Manuel Martelo, cura de S. Pedro de Vi ¡lar y arcipreste de Pru zas; el primero de los quales arengó á…</t>
  </si>
  <si>
    <t>Prado, Antonio</t>
  </si>
  <si>
    <t>Antonio Prado</t>
  </si>
  <si>
    <t>…o pru siano én dicha plaza, á quienes no pudieron retirar los franceses con la sor-? presa: estos fueron cogidos en Zaragoza , Lérida y Santander. Entre ellos se halla el teniente coronel D. Antonio Prado. El general Sotomayor ha quedado en Londres, y no tardará en pasar á España con i©-hombres, también deseitados en diferentes puntos de Francia: los prusianos quisieron darle el mando de una división, y no lo admitid por volver á servir en su patria. Han llega…</t>
  </si>
  <si>
    <t>Prado, Tomas de Sancha y</t>
  </si>
  <si>
    <t>Tomas de Sancha y Prado</t>
  </si>
  <si>
    <t>…En 2$ de Octubre de 1813 por parte del Exento. Sr. marques de Cerralbo so ocurrió al juzgado de primera instancia de D. Manuel Fernandez Gr.tnb ;a por la escribanía del número de D. Tomas de Sancha y Prado, manifestando no saber el paradero, ní quien es el dueño de la casa que dicho señor ocupo con su familia es la calle de Cedaceros, número 17, sin embargo de haberlo solicitado, para hacer en él la entrega de llaves que en el acto consignó; y aunque sé han pra…</t>
  </si>
  <si>
    <t>…os cor respondientes. Dios guarde á V, muchos años. Madrid n de Junio de 1814. Por el juzgado del Sr. D. Francisco de Assin, juez letrado en esta villa y es cribanía del númeio de D. Tomas de Sancha y Prado, se ha mandado se saque á pública subasta el arrendamiento de los estados de Orgaz y Sta. Olalla por término de 20 dias, y señalado pa-r-j su remate el día lunes 27 de este mes á las 12 del dia en la audiencia de dicho señor, habiendo de vertfirarse el arrend…</t>
  </si>
  <si>
    <t>Prado, Tornas de Sandia y</t>
  </si>
  <si>
    <t>Tornas de Sandia y Prado</t>
  </si>
  <si>
    <t>…isco de Copóns y Kavia, = Es copia. = Cofons ” ^ 1 ; * Por la audiencia dé"©. Manuel Fernandez Gamboav juez letrado de primera instancia de esta villa, y cscribtmía/del número, de D. Tornas de Sandia y Prado,</t>
  </si>
  <si>
    <t>Prcb'y</t>
  </si>
  <si>
    <t>…de 1.a noche del 8 del corriente. : . : - EL mayor general Cooke iba con la columna de la izquierda, y el mayor £0 Primera columna, brigada de .las Guardias 1$ honibres, coronel ;lord Prcb'y. Segunda columna, regimiento 55.0 de infantería, a55del regimiento 69.°, 550; dél regimiento 33Í0,-6oo: totaf iioo hombres al cargó del tedíente córónel Morrice&gt; dél 69.%_Terceta columna del 91.°, 400 ; dcl ir.°y 100; dei 87.?, 150: tófal dgo hombreé, á las ó…</t>
  </si>
  <si>
    <t>Prendel</t>
  </si>
  <si>
    <t>…ndel, gobernador de esta ciudad, ha publicado haber recibido una orden superior que le manda dexar el gobierno, y entregarlo desde hóy al mayor general prusiano Mr. de Prendel. Ei coronel Prendel ha dado al ayuntamiento las mas expresivas gracias por la armonía y mira miento que ha .tenido con su personá durante su mando. AUSTRIA. r Viena 12 de Noviembre, tas conferencias parece que son mas frecuentes y empeñadas: presídelas el príncipe dé'Mettériiich…</t>
  </si>
  <si>
    <t>Presidente</t>
  </si>
  <si>
    <t>…las angustias de la muerte. Llegue en fin V. A. á la provincia de Madrid con la misma con fianza con que un tierno padre entra en la casa de sus hijos más sumisos y cariñosos. El Sr. Presidente de la Regencia contestó del ftncdo mas enérgico y afectuoso. En seguida felicitaron á S. A. las autoridadesvi el clero y otras personas distinguidas del Sitio, el qual se esmeró durante aquella noche en dar muestras de su regocijo edri iluminaciones y otros f…</t>
  </si>
  <si>
    <t>…doi de sus soldados están decididos á ser libres é independientes, y á sostener las rectas providencias de V. A. , siempre cimentadas sobre la Cons titución que hemos jurado.” El Sr. Presidente de la Regencia las tomó, y las devolvió diciendo: ,, Es tan muy bien en poder del gobernador.” Volvió a montar este, formado en dos filas el estado mayor: el general se situó en el centro de la primera, llevando los gefes de artillería é ingenieros á su de re…</t>
  </si>
  <si>
    <t>…icha parroquia, estuvo formada la tropa &gt; y las casas de ia calle del Arenal y calle Mayor adornadas con colgaduras. , ARTICULO DE OFICIO. Itinerario del viaje que lleva el Etnmo. Sr. Presidente de la Regencia, acompañado del Sr. Secretario del despacho de Estado, desde Madrid á Valencia. Leguas. De Madrid á Aran juez........................ De Aranjuez al Corral de Aimaguer Del Corral al Pedernoso..................... Del Pedernoso á Minaya........…</t>
  </si>
  <si>
    <t>…ento. Se asegura que han desembarcado en Burdeos algunos rusos. ARTICULO DE OFICIO. Habiendo determinado S. A. hacer alguna pequeña variación en fos iti nerarios para el viage del Sr. Presidente de la Regencia hasta Valencia, y en el que ha de hacer nuestro Monarca desde aquella ciudad hasta esta corte, se ponen á continuación para noticia del público. Itinerario desde Madrid para Valencia. Legras. De Madrid á A van juez..............................…</t>
  </si>
  <si>
    <t>…etario del despacho de la Guerra.;” * ' d ' í ‘ f» - ! 1 ' ' * * ■ , *1 • i . * El secretario interino del despacho de Estado avisa desde Minaya con fecha i.° del corriente que el Sr. Presidente de la Regencia del Rey rió con tinuaba su viage con toda felicidad, saliendo á su encuentro, tanto en' los caminos como en los pueblos, muchísimas gentes victoreando la Constitución, .aLRey y al Sr. Presidente. "&lt; &lt; ' Xa Regencia del Reyno se ha servido exped…</t>
  </si>
  <si>
    <t>…re Soissons y Laon, observándose unb á otro , y sin resolverse a atacar. ARTICULO DE OFICIO. Valencia § de Abril. Hoy á las diez, de la.mañana, y algo mas acá de Alcira recibió eL Sr. Presidente de.la Regencia delrReyno una carta del.Reyi escrita en Reus el 2 del corriente , en* la qual le dice S¿ M. que habiendo condescendido con las instancias de la provincia de Aragón antes de recibir la carta que con fecha de 29 del pasado le había escrito la Reg…</t>
  </si>
  <si>
    <t>…a tarde había entrado en la expresada ciudad de Valencia, sin novedad en su importante salud, el Serme. Sr. Infante D. Antonio, á quien salió á recibir á una legua de distancia el Sr. Presidente de la Regen cia con todas las autoridades y corporaciones, que se han esmerado en tri butar á S. A. el homenage que le es debido; y que en su entrada manifestó el pueblo, todo lleno de gozo, al Sermo. Sr. Infante del modo mas tierno y expresivo el amor que le…</t>
  </si>
  <si>
    <t>…en el año de 1808., antes de las turbaciones que agitaron á U Nación desde entonces , y'confirmadas por el mismo Real decreto las facultades que. están declaradas por las leyes al Sr. Presidente de él para el gobierno y decoro de este Supremo.Tribunal* sobre cuyo cumplimiento se expidió Real Cédula en 11 de Junio de este año, h¿n debido los Presidentes, Regentes y Fiscales de las Chancillerías y Audiencias, los Gobernadores, Corregidores, Alcaldes, m…</t>
  </si>
  <si>
    <t>…TICULO DE OFICIO. Circular de los Señores del Consejo, Real, El Señor Secretario! interino de Estado y del Despacho; universal de, Gracia y Justicia ha comunicado aT Excelentísimo Señor Presidente delf Consejo la Real orden, que dice, asi: ¡ rr.- . ,, Excelentísimo Señor t Habiendo llegado á manos del Rey un libro es- ’■ crito en francés y castellano, titulado Representación del Consejero de Es tado Español Di Fíancíáét» 'Af&amp;ofós á el Rey D. Fernando v…</t>
  </si>
  <si>
    <t>Presidente, Duque</t>
  </si>
  <si>
    <t>Duque Presidente</t>
  </si>
  <si>
    <t>…= De Real orden lo comunico áfV. E. para su inteligencia y la del Consejo.ss Dios guarde á Ví'E. mu** fhos años. San Lorenzo á 2$ de Octubre de 1814. =M. el duqoe de Sait Carlos, =Sr. Duque Presidente.” . .r.r; * ■ ' r ^ ^ ,1.. - __ ’ , * í ; ■ ■ % ■ ■ » « ^ \ ' ' f ■ Circular del Ministerio de Querva, Enterado el Rey de quanto le expuso el Consejo Supremo de la Guerra en su sesión de 28 de Setiembre último., ¿ que se dignó asistir como su Presidente, acer…</t>
  </si>
  <si>
    <t>Prevost</t>
  </si>
  <si>
    <t>…noche se remitieron despachos de la secretaría de Estado al lord Gambier y á los demas comisarios ingleses residentes en Gante. Una carta de Aibani del 15 de Setiembre dice que el general Prevost, después de haber combatido infructuosamente al fuerte Moreau, envió Un parlamentario para informarse de! estado de los heridos, de su número y del de los muertos; y que en seguida practicó precipitadamente su retirada, dex ndo en poder de los americanos sus…</t>
  </si>
  <si>
    <t>Priest</t>
  </si>
  <si>
    <t>…dos. HOLANDA. Leyden $ de Enero. Hay noticias de que el general Blucher pasó el Rhin entre Bingen y Cauba el 31 de Diciembre con una fuerza de roo© hombres; y el dia si guiente el general Priest entró en Coblentza. Los aliados fueron recibi dos con suma alegría. Se sabe ademas que el general Bulow recibió orden de avanzar al Brabante con todas sus fuerzas, las quales unidas á las tropas r^s?s Senera! BeckendorfF, y al cuerpo del general Borstel, asce…</t>
  </si>
  <si>
    <t>Prieto, Angel Celedonia</t>
  </si>
  <si>
    <t>Angel Celedonia Prieto</t>
  </si>
  <si>
    <t>…ecer el homenage de su respeto y obediencia á L. R. P. de su legítimo y adorado Soberano.” El día 10 del corriente tuvieron también la honra de presentarse á cumpli mentar á S. M. D. Angel Celedonia Prieto y D. Angel Atvarez García, co misionados por la ciudad de Medina de Rioseco; y el primero de ellos diri gió á S. M. el discurso siguiente : ,, Señor: acontece á la M. N. y L. ciudad de Medina de Rioseco, unida coa su cabildo eclesiástico, lo mismo que sucedió á la iglesia congr…</t>
  </si>
  <si>
    <t>Prieto, Diego</t>
  </si>
  <si>
    <t>Diego Prieto</t>
  </si>
  <si>
    <t>…ligeros. El número total de buques de guerra es 933. ESPAÑA. Cádiz 14 de Setiembre. Ha entrado la fragata de guerra española la Venganza, su eoitfandante el capitán de igual clase D. Diego Prieto, y M. D. Nicolás Campero y Bustamante, de Veracruz y Havana^ en 51 dias, con 4.200,492 pesos fuertes eo plata y oro acuñado y barras, 64556 dichos idein de la Havana , 847 mar cos plata labrada, y aos baúles ídem sin expresión de peso, también de la Havana; 2…</t>
  </si>
  <si>
    <t>Prieto, Diego de</t>
  </si>
  <si>
    <t>Diego de Prieto</t>
  </si>
  <si>
    <t>…con agradecer al caballero de G^úotte las-expresiones.con que ha bía felicitado á S. A. por su feliz traslación á la capital del reyno* El capitán de fragata de la armada nacional D. Diego de Prieto , que salió del puerto de Cádiz el dia 5 de Agosto del año anterior, escoltando con la fragata de guerra nombrada' la Venganza !un convoya de tropas des tinadas á Ja Costa fírme, dh parte al Excmo. Sr&lt; secretario* del despachó de Marina de su-llegada á la Gua…</t>
  </si>
  <si>
    <t>Prieto, Matías Herrero</t>
  </si>
  <si>
    <t>Matías Herrero Prieto</t>
  </si>
  <si>
    <t>…D. Fe mando Carvia y D. Francisco del Castillo. Y para siete plazas de al caldes del crimen de la misma chancillería á D. Manuel de Viiches, D. An tonio Lorenzo Martínez del Pozo, D. Matías Herrero Prieto, D. Manuel Martin Berna!, D. Maurteio Baradat, B. Ignaro Martínez de Torres y D* Anacleto Fagoaga. El Rey nuestro Señor, atendiendo á los méritos de D. Bernardo Amaya, oficial de la tesorería del exército de Castilla la Vieja, y á los grandes ser vicios de su…</t>
  </si>
  <si>
    <t>Primado</t>
  </si>
  <si>
    <t>…rey de Baviera declara que va á tomar posesión del duca do de Wurtzburgo y del principado de AschafFenburgo en los mismos tér minos que lo poseia el gran duque de Wurtzburgo y el príncipe Primado.</t>
  </si>
  <si>
    <t>Pringie</t>
  </si>
  <si>
    <t>….dos ataques, que fueron recibidos con e! mayor csiuerzo, y rechazados por el regimiento 39.0 baxo el mando del honorable coronel O-Caloyan, y perteneciente á la brigada del mayor general Pringie. Este general y el teniente coronel Bruce, dd 39.°, fueron por desgracia heridos,</t>
  </si>
  <si>
    <t>Proby</t>
  </si>
  <si>
    <t>…r general Cooke en su relación me expresa generalmente la ma yor satisíacciom'del porte de todos los oficiales y soldados que pudo obser var; y particularmente menciona al coronel lord Proby, á los tenientes co roneles Roioke, que mandaba las Guardias del regimiento de Coldstream., y Mercer, del regimiento 3.0 do las Guardias , que. mandaba las compañías, li geras de 4a brigada (éste últrmo.fué muerto .desgraciadamente) , á los ma-. yores -Mutrié…</t>
  </si>
  <si>
    <t>…,y no recibien do ningún parte de los otros puntos, á excepción del que me dieron del mal éxito de la columna del teniente coronel Morrice cerca de la puerta del Nourd, el coronel lord Proby me sugirió la idea de retirar una parte de las tropas, lo que se efectuó per las escalas que habian entrado. •. " El enemigo se estableció de nuevo en el baluarte cerca del amanecer; pe ro fué desalojado otra vez por los mayores Muttlebury y Hog con los dos d…</t>
  </si>
  <si>
    <t>Prosterla, Manuel María</t>
  </si>
  <si>
    <t>Manuel María Prosterla</t>
  </si>
  <si>
    <t>…Roche, y D. Francisco Cabrera. A mariscales de campo á los brigadieres D. Miguel de los Ríos , D. Car los de Gunchi, D. Bartolomé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t>
  </si>
  <si>
    <t>Proust, Luis</t>
  </si>
  <si>
    <t>Luis Proust</t>
  </si>
  <si>
    <t>…necesitan por los precios del arancel que se ha. establecido. En la misma casa se.hallan de ven ta los análisis de las aguas de estos baños, que hicieron los profesores de química D. Luis Proust y D. Pedro Gutiérrez Bueno. Los subscriptores al periódico ministerial intitulado Correo político y econó mico de las provincias de la península podran acudir al despacho de Ja imprenta nacional á recoger el núm. i.°, y en lo sucesivo los siguientes, según se previno en el prospecto. P…</t>
  </si>
  <si>
    <t>Provecho, Fidel</t>
  </si>
  <si>
    <t>Fidel Provecho</t>
  </si>
  <si>
    <t>…yelda dos, y 18 soldados contusos. El oficial muerto es el teniente dq cazadores del regimiento de Voluntarios de León D. Juan Miguel Rodríguez; los quatro heridos són el ayudante D. Fidel Provecho, y el teniente í). Benito Trillo del referido regimiento de Voluntarios de León: los otros dos son el capitán D. Manuel Laguna,y el teniente LL José Montanos , ambos del re-; pimiento de • Monterey ; é igualmente lo fqé-g^yemepte,qn esta .ocasión d brigadier…</t>
  </si>
  <si>
    <t>Prudencio</t>
  </si>
  <si>
    <t>…de la ciu dad, para arrojarme sobre ellos. A breve rato se dexaron ver por los quatro costados mas de 300 infantes dirigiéndose hacia mi posición. Mandé al te niente de la tercera D. Prudencio í)a!lo se pose.ionase en la altura llamada Carpujq á poca distancia de la fuente ,con orden de mantenerse firme mien tras la quarta y quinta venían en mi auxilio. Dallo lo executó asi; y pose sionado de Ja altura, los enemigos con una rapidez increíble le cer…</t>
  </si>
  <si>
    <t>Prusia</t>
  </si>
  <si>
    <t>…secreto el deseo que tiene el Príncipe Regente de que el matrimonio del príncipe de Orange con la princesa Carlota de G iles se ce lebre en presencia del emperador Aiexandro y del rey Prusia. Hace mu cho tiempo que se espera en las Cámaras del parlamento un mensage sobre este matrimonio. En la gran función que el Príncipe Regente debe dar al emperador Ale jandro y al rey de Pru ia, se verán en la mesa del banquete dos águilas de oro macizo del ta…</t>
  </si>
  <si>
    <t>Prusia, Henrique de</t>
  </si>
  <si>
    <t>Henrique de Prusia</t>
  </si>
  <si>
    <t>…asi que desembarcaron fueron salu dados por los fuertes y por las embarcaciones de guerra. En el mismo puer to habian desembarcado antes que SS. MM. los siguientes personages : el príncipe Henrique de Prusia, los príncipes de Metternich y ae Wolchousíy, el conde Platpsv, el general Barclay de Tolly, y el lord Cathcart. El feld-mariscal Blucher acompañó desde Boloña á su soberano. Lord Yarmouth, lord C. Bentink y el conde de Rosslyns recibieron á los soberanos y l…</t>
  </si>
  <si>
    <t>Prusia, Hénrique do</t>
  </si>
  <si>
    <t>Hénrique do Prusia</t>
  </si>
  <si>
    <t>…stro territorio á un rey de Prusia. £1 mismo día habían llegado por la mañana el príncipe Metternieh y los generales Biudhery Plitow y Barclay de Tolly, y á las dos de la tarde el príncipe Hénrique do Prusia . ’El emperador de Rusta llego al palacio de Pulteney , en donde qntró sin ser conocido , hasta que el príncipe G igarino dixo quien era: entonces la gran duquesa salid á la escalera á recibirlor.y S. M. I., despuesde haberla saludado de la manera mas afectuo…</t>
  </si>
  <si>
    <t>Prusia, Real de</t>
  </si>
  <si>
    <t>Real de Prusia</t>
  </si>
  <si>
    <t>…recibirían órdenes del feld- mariscal conde de Bellegarde. Lo que hay de cierto es que el ministro, sir Sydney-Smith, que había ido á.visitar la aba día de Giosternemburgo con el príncipe Real de Prusia , recibió un correo del lord Clastierfeagh para que viniese; á; Viena, Se cree que el emperador de Rusia y el rey de Prusia marcharán á Ber lín después de la ceremonia del restablecimiento de la dignidad imperial de Alemania en la casa de Austria. Si no acont…</t>
  </si>
  <si>
    <t>Puerta, Cayetano</t>
  </si>
  <si>
    <t>Cayetano Puerta</t>
  </si>
  <si>
    <t>…D. Diego José Llinas de Valencia: para el beneficio simple servidero de la parroquia de las Peñas de S. Pedro, diócesis de Cartagena, vacante por muerte de D. Lorenzo de Roxas, á D. Cayetano Puerta: para el de la igle sia parroquial de Cañete, en el obispado de Córdoba, vacante por faUecimiento de E&gt;. Diego Rafael'Caballero,'á D. Jorge Fernandez: para el arce dianato de Berberiego, dignidad de la iglesia catedral de Calahorra, vacante por muerte de D Bl…</t>
  </si>
  <si>
    <t>Puertas, Blas Sánchez</t>
  </si>
  <si>
    <t>Blas Sánchez Puertas</t>
  </si>
  <si>
    <t>…toda la provincia, é indivi duo de la Real academia latina matritense, acompañado de los diputados y censores de la mi mi 1 &gt;s Sres. D. Francisco María de Cárdenas , presbítero, y D. Blas Sánchez Puertas, tuvo el hon &gt;r el día it del corriente de telxci— tar á S. M., y besar su Red mano, pronunciando el discurso siguiente: ,, Señor : la Real academia latina matritense, extinguida casi en la des graciada época de vuestro cautiverio, no bien se halla reunida en…</t>
  </si>
  <si>
    <t>Puerto, Juan Nepomueeno del</t>
  </si>
  <si>
    <t>Juan Nepomueeno del Puerto</t>
  </si>
  <si>
    <t>…ecimien to de D. Manuel Ramírez y.Cid, á D. Martin Xavier Roxo , canónigo doc toral de la misma iglesia: para una ración de la catedral de Santander, va cante por fallecimiento de D. Juan Nepomueeno del Puerto, á D, Juan López Muñíz , cura párroco de la misma catedral; y para otra ración de la misma , vacante por muerte de D. Manuel de San Pedro Ordoñez, á Don Antonio Arango, sacristán mayor, dé la propia catedral. Asimismo el Rey nuestro Señor en atención á:los mé…</t>
  </si>
  <si>
    <t>Pueyo, Silvestre</t>
  </si>
  <si>
    <t>Silvestre Pueyo</t>
  </si>
  <si>
    <t>…nacio Ofañez, á Don Blas Ostoíaza, con retención de la capellanía de honor que sirve en la Real capilla; y para la canongía que ha vacado en la catedral de Barbastro por muerte de D. Silvestre Pueyo á D. Pedro Peralta y Balda ; para otra ca nongía de la de Cartagena, por fallecimiento de D. José Zamora, á Don Juan López Pelegrin , con retención de la capellanía de honor que sirve en la Real capilla; para otra canongía de la iglesia catedral de Tarazona,…</t>
  </si>
  <si>
    <t>Puga, Jacobo de Parga y</t>
  </si>
  <si>
    <t>Jacobo de Parga y Puga</t>
  </si>
  <si>
    <t>…ba; D. Ma nuel Pérez de Lema; D. Ignacio Rodríguez de Ribas; D. Víctor. Soret, Tesorero general; D. Pascual Dávila; Contador general de Millones; Don Francisco López de Aícaraz, y D. Jacobo de Parga y Puga. Fiscales. D. Manuel de Lartiga, y D. Bernardo Mozo Rosales. Secretarios. D. Marcelo de Ondarza, de Gobierno; y D. Alfonso de Ibarra, de MiUoiies. Ministros del Tribunal de Contaduría mayor. D. Pedro Regalado-de Garro; Marques de las Hormazas; D. Nicolás de O…</t>
  </si>
  <si>
    <t>Puig, José María</t>
  </si>
  <si>
    <t>José María Puig</t>
  </si>
  <si>
    <t>…nz de Vizmanos. = D. Juan Nicolás de Undaveitia. = Juan Manuel Martínez. 2.a Sentencia pronunciada por el supremo tribunal de Justicia en sala segunda. SEÑORES DE LA SALA SEGUNDA. D. José María Puig.</t>
  </si>
  <si>
    <t>…tado, y ministros del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t>
  </si>
  <si>
    <t>Puig, José Potes y</t>
  </si>
  <si>
    <t>José Potes y Puig</t>
  </si>
  <si>
    <t>…las de Fuente del Maestre á D. Leonardo Botella; de U.ciés á D. José Mari s de Eguizabal; de Manzanares á D. Félix González Vizcaíno; de Brozas á Don Agu.tin Lozano; de Ceclavin á D. José Potes y Puig; de Pedro Muñoz á D. León González del Camino y Estefanía; de la Mota del Cuervo á</t>
  </si>
  <si>
    <t>Puig, Juan</t>
  </si>
  <si>
    <t>Juan Puig</t>
  </si>
  <si>
    <t>…ix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yetano Ortega, en atención á su constante aplicación a…</t>
  </si>
  <si>
    <t>Pusa, Alexandro</t>
  </si>
  <si>
    <t>Alexandro Pusa</t>
  </si>
  <si>
    <t>á temen tés*ide frágil t‘á{iV íos alféreces de navio D. Juan de A zas, D. Loren zo Villegas, D. Josef Pumarejo y I). Carlos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t>
  </si>
  <si>
    <t>Puyal, Atanasio</t>
  </si>
  <si>
    <t>Atanasio Puyal</t>
  </si>
  <si>
    <t>…los Sermos. Sres. Infantes, Grandes de España, y demás personas que deben concurrir, y tienen el honor de acompañar á S. M. en semejantes funciones. Celebró de pontifical el limo. Sr. D. Atanasio Puyal, auxiliar de Madrid, y teniente de capellán mayor de dicha Real iglesia, electo obispo de Cala horra; y predicó las glorias de la Santa el Dr. D. Luis Gregorio López de Castrillo, canónigo de la misma. El inmenso y lucido concurso quedó admi rado y edificado…</t>
  </si>
  <si>
    <t>QampUlo, Salvador</t>
  </si>
  <si>
    <t>Salvador QampUlo</t>
  </si>
  <si>
    <t>…total de ellas. Todos son de bronce, y de los mejores, qjqe tiene la nación. Dios guarde á V. S. muchos años. Quartel general de Jaca 17 dé Febrero de 1814; zzFrancitco JEsjjoz y D. Salvador QampUlo*; tí : • -n ; . . n El dia 7 del presente,mes los Sres. D:. Juan Nepomuceno de;Magati y Pacheco, guardia de Corps de menor edad, agraciado por $• M, D. Car los iv, D. Martin de Uriarte, D. Josef de'Trespuentes^j^, Josef E^ymun do de Náxera y D. Juan Antonio P…</t>
  </si>
  <si>
    <t>Qáríos, Infante Di</t>
  </si>
  <si>
    <t>Infante Di Qáríos</t>
  </si>
  <si>
    <t>…las quatro horas de Ja tarde del mismo dia , de nuestro adorado Monarca el Sr. D. Fernando vn en compa ñía deh Sr. Infante,I}.. Antonio. Ayer á las tres horas de la tarde llego el Sr. Infante Di Qáríos, habiendo ¡salida á recibirle S. M. y comitiva á caballo una hora antes. Tanto S. M. como SS. A A. si guen sin novedad en. su importante salud; y está señalado el día dé mañana para continuar el viage hacia la corte por ia carrera de Valencia, con arreglo al…</t>
  </si>
  <si>
    <t>Quadros, Agustín de</t>
  </si>
  <si>
    <t>Agustín de Quadros</t>
  </si>
  <si>
    <t>…a la de Sala manca á D. Vicente Calvo: para el corregimiento de G.uadix á í&gt;. Agamia Tosamos y Labrada: para el de Cuenca á B* Dionisio Gatalan; para el de Talavera de la Rey na á D. Agustín de Quadros: par í la de Burgos á Boa Melchor Gómez de Celaya: para la de Yecla á D Isidro Antonio Alcalá;y para la de Fregenal á D. José de Zayas Fernandez de Córdoba. También se ha servido nombrar. S. M. para quatro plazas de oidor de ía chancillería de Granada á B. An…</t>
  </si>
  <si>
    <t>Quadros, Fermín</t>
  </si>
  <si>
    <t>Fermín Quadros</t>
  </si>
  <si>
    <t>…illa de Granada, vacante por fallecimiento de D. Pedro José Victoria, á Frey Don ^Domingo María Tordera;,y para una ración de la iglesia primada de Tole«lo , vacante por.muerte de D. Fermín Quadros, á D. Pablo de la Torre. , Atendiendo el Rey á la infatigable y ardiente caridad cristiana y amor 'decidido á la patria de Doña Pauta Atienza , vecina de esta corte, y natu ral de la villa de Humanes, provincia de Goadaíaxar.- , y considerando qoaa dignas de…</t>
  </si>
  <si>
    <t>Quartel, Debains</t>
  </si>
  <si>
    <t>Debains Quartel</t>
  </si>
  <si>
    <t>…excepciones ó nuevas instrucciones, estas se participarán diariamen te. = Firmado ss El barón Haber t.-zz. Por copia conforme. == El coronel gefe de estado mayor = Firmado ss. El coronel Debains Quartel general de S. Andrés de Palomar. Se ha publicado aquí la orden siguiente:__ Orden general del 26 de Abril de 1814. ,,E1 Excmo. Sr. general en gefe de este exército hace saber á las tropas que lo componen, que por medio de un armisticio cesan desde hoy toda cl…</t>
  </si>
  <si>
    <t>Quarteraro, Diego</t>
  </si>
  <si>
    <t>Diego Quarteraro</t>
  </si>
  <si>
    <t>…quatro reales que ha solicitado sobre Jos tres que. goza en el Monte Pió Militar, para complemento de los 2500 que disfrutó en el de Oficinas por fallecimiento de su primer marido D. Diego Quarteraro, Vista de I3 aduana. jd&amp; Málaga; se ha servido, S. M. declarar por punto general, y como adición á los re glamentos de los tres Montes Píos Militar, Ministerial y de Oficinas, que la gracia dispensada en "Real orden de 12 de Julio de 1805 para que las viu das…</t>
  </si>
  <si>
    <t>Quer</t>
  </si>
  <si>
    <t>…t „ Ayer unos 350 franceses de tropas de línea y 140 paisanos atacaron un destacamento, compuesto de 300 de los valientes del batallón de Tarra gona , capitaneados por el teniente coronel Quer, quien los esperó á que ma ropa, les hizo una descarga , y los acometió á la bayoneta, acompañán doles hasta ta Manera; matándoles un oficial, un sargento y cinco soldados, é hiriendo de 18 á 20, sin tener un solo contuso por nuestra parte.” Nada se ha traslu…</t>
  </si>
  <si>
    <t>Querol, Rafael</t>
  </si>
  <si>
    <t>Rafael Querol</t>
  </si>
  <si>
    <t>217-8 9$ En el año de 1809 se mandó formar proceso a! Teniente Coronel D. Rafael Querol, Comandante que fue de las Compañías de ia guardia de honor del General en gefe del primer Exército, y otros individuos, acusa dos de no haber verificado la entrada de víveres con el destacamento prefe rente destinado al socorro de la plaza de Gerona; y susta…</t>
  </si>
  <si>
    <t>Quevedo, Felipa Lladoc y</t>
  </si>
  <si>
    <t>Felipa Lladoc y Quevedo</t>
  </si>
  <si>
    <t>…de Quevedo, que fué á Francia hecho prisionero en la batalla de Bascara, se servirá avisarlo, por me dio del correo, en Madrid á D. Nicolás Macho de Quevedo su padre, y en Cádiz 4 Doña Felipa Lladoc y Quevedo. Compendio histórico del origen de la revolución francesa, ó tramas de los fi lósofos modernos para conseguirla, con la relación circunstanciada del motín que •contecjó en Versailles en los dias 5 y 6 de Octubre del año de 1789, en que el desgraciado Luis xvi…</t>
  </si>
  <si>
    <t>Quevedo, Francisco Macho de</t>
  </si>
  <si>
    <t>Francisco Macho de Quevedo</t>
  </si>
  <si>
    <t>…, que reside en el mismo sitio del Escorial con tienda de comestibles, ó á D. Tomas Mate, dependiente de la compañía de Filipinas en Madrid. La persona que supiere del paradero de D. Francisco Macho de Quevedo, que fué á Francia hecho prisionero en la batalla de Bascara, se servirá avisarlo, por me dio del correo, en Madrid á D. Nicolás Macho de Quevedo su padre, y en Cádiz 4 Doña Felipa Lladoc y Quevedo. Compendio histórico del origen de la revolución francesa, ó…</t>
  </si>
  <si>
    <t>Quevedo, Nicolás Macho de</t>
  </si>
  <si>
    <t>Nicolás Macho de Quevedo</t>
  </si>
  <si>
    <t>…ona que supiere del paradero de D. Francisco Macho de Quevedo, que fué á Francia hecho prisionero en la batalla de Bascara, se servirá avisarlo, por me dio del correo, en Madrid á D. Nicolás Macho de Quevedo su padre, y en Cádiz 4 Doña Felipa Lladoc y Quevedo. Compendio histórico del origen de la revolución francesa, ó tramas de los fi lósofos modernos para conseguirla, con la relación circunstanciada del motín que •contecjó en Versailles en los dias 5 y 6 de Oct…</t>
  </si>
  <si>
    <t>Quintan, Antonio López</t>
  </si>
  <si>
    <t>Antonio López Quintan</t>
  </si>
  <si>
    <t>…corresponden Sala primera de Gobierno. = El Duque de Montemar, Presi dente. = D. Miguel Calixto de Acedo. = D. Francisco Requena. = D . Josef Pablo Valiente. = D. Antonio Gamiz. = D. Antonio López Quintan i. = Don Francisco de-la-Vega.nD. Francisco de Arango. = D. Francisco Ibañez Leyva. = D. Juan Gualberto González, Fiscal. = D. Estéban Varea, Secre tario-= Sala segunda de Gobierno. = D. Pedro Aparíci. = Conde de TorreMuzquiz. = D. Ignacio OmulrriannD. Cayeta…</t>
  </si>
  <si>
    <t>Quintan, Atatiasio</t>
  </si>
  <si>
    <t>Atatiasio Quintan</t>
  </si>
  <si>
    <t>668 El Rey por decreto de 31 de Mayo óltímo, en consideración á los mé ritos que el contador principar de rentas de Murcia D. Atatiasio Quintan® y Ruiz ha contraido en los 28 años que lleva de buenos servicios en diferen tes destinos de la real hacienda, y al aprecio que merece á S. M. su leal tad, ha tenido á bien concederle los honores de contador dé exército. - »¿ • » El Rey se ha servido nombrar…</t>
  </si>
  <si>
    <t>Quintana, Antonio</t>
  </si>
  <si>
    <t>Antonio Quintana</t>
  </si>
  <si>
    <t>…cismo de este obispado, ya por el compendio del abad Fleury, como de la urbanidad y cortesía, dán dolas una perfecta inteligencia.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t>
  </si>
  <si>
    <t>Quintana, Domingo Benito</t>
  </si>
  <si>
    <t>Domingo Benito Quintana</t>
  </si>
  <si>
    <t>…el cumplimíeato de esta obligación, á pesar de los repetidos avisos, de la pena de 20 dur cados, y de recogimiento de los impresos impuesta á los infractores poye providencia dél Sr. D. Domingo Benito Quintana, juez interino de prime ra instancia, y publicada en el diario de Madrid de 17 de Agosto del mis mo año, se recuerda nuevamente, quedando dicho señor fiscal con especial encargo de velar eo que se lleve á efecto.dicho decreto y providencia judi cial, reclaman…</t>
  </si>
  <si>
    <t>…congadas. Dios guarde á V. S. muchos años. Madrid 26 de Enero de 1814. = Juan Aivarez Guerra. =Sr. gefe político de la provincia de Burgos. Por el juzgado de primera instancia del Sr. D. Domingo Benito Quintana,^- es cribanía de provincia de D. Manuel López de Ribas, se halla pendiente ¡a testa mentaría de D. Antonio Ballano, médico que fué en esta corte, en la que á instan cia de los síndicos de ella se ha señalado para celebrar junta general de todos los acreedore…</t>
  </si>
  <si>
    <t>Quintana, Gerónimo de Godoy y</t>
  </si>
  <si>
    <t>Gerónimo de Godoy y Quintana</t>
  </si>
  <si>
    <t>…o en la parte que le corresponda. Dios guarde, á V.' muchos años. Madrid 28 de Julio de 1814. El dia 24 del corriente tuvieron el honor de presentarse á S. M. y besar su Real mano D. Gerónimo de Godoy y Quintana, capellán de Reales guardias de Corps, y su hermano D. Juan, subrigadier del mismo Real cuer po, los quales en nombre de D. Diego Hidalgo'Sarguero yde su muger é * rijos, vecinos de til Villa de Quintana, en el partido de la Serena, en Extre madura, déspHes d…</t>
  </si>
  <si>
    <t>…ento de D. José Ortiz Sandoval,á D. Gonzalo María del Rio y Carrillo: para la prestamera deTrebugena, en la misma diócesis , vacante por muerte de D Gerónimo Manuel de Céspedes, á D. Gerónimo de Godoy y Quintana3y para la prestamera de Texada,en</t>
  </si>
  <si>
    <t>Quintana, Manuel Josef</t>
  </si>
  <si>
    <t>Manuel Josef Quintana</t>
  </si>
  <si>
    <t>…10 del presente, ante dicho señor juez y escribanía del número de D. Antonio López de Salazar; y pasados sin haberlo hecho, les parará entero per juicio. : Poesías patrióticas dé D. Manuel Josef Quintana: segunda edición', corregid* y aumentada con las demas composiciones líricas y elegiacas del autor: un tomo en 8.°, impreso con todo gusto y esmero en la imprenta nacional. Se hallará en la librería de Castillo, frente i S. Felipe el Real, y en la de Pcrez, c…</t>
  </si>
  <si>
    <t>Quintana, María Godcy</t>
  </si>
  <si>
    <t>María Godcy Quintana</t>
  </si>
  <si>
    <t>…uidos servicios del Maris cal de Campo Marques de Sobremonte, se ha servido concederle plaza supernumeraria en el Real y supremo Consejo de las Indias. Don Diego Kidalgo Barquero, Doña María Godcy Quintana, su espo sa , y sus hijos D. Juan y Doña Ines han hecho á S. M. la oferta de 4© rs. vn. Al mhmo tiempo ha ofrecido igual cantidad D. José Hidalgo Barquero, otro de los hijos de D. Diego, para arender á las urgencias del estado. S. M. se ha dignado admitir est…</t>
  </si>
  <si>
    <t>Quintanilla, Julián</t>
  </si>
  <si>
    <t>Julián Quintanilla</t>
  </si>
  <si>
    <t>…Virto, del comercio de Cá diz, quien Ies instruirá sobre e1 particular: el expresado Belio estuvo casado en la villa de Argucdds, merindad de Tudela. Se desea saber el paradero de D. Julián Quintanilla, natural de esta corte , rnú-; sico que fue del regimiento de Oporto, portugués, de quien se supo que en No* víembre de 1812 se hallaba en la provincia de Extremadura, donde se disolvió la banda de música de dicho,regimiento, y desde cuya época se ignora sy s…</t>
  </si>
  <si>
    <t>Quintero, Isidoro</t>
  </si>
  <si>
    <t>Isidoro Quintero</t>
  </si>
  <si>
    <t>…que llegó á la Altura batiendo con denuedo á los enemigos, y al señor teniente de vicario general D. Andrés Torrellas, que jamas ha desamparado mi lado, con mis ayudantes de campo D. Isidoro Quintero y D. Mariano Arcaya. Igualmen te has acreditado su conocido valor el comandante de cazadores D. Reyes</t>
  </si>
  <si>
    <t>Quintian, Andrés</t>
  </si>
  <si>
    <t>Andrés Quintian</t>
  </si>
  <si>
    <t>…de D. José Joaquín de Menoyo, a D. Francisco Toribio Her nández. En América El Rey sé ha servido nombrar para el obispado de Cuenca en el Perú, vacante por fallecimiento del limo. Sr. D. Andrés Quintian, á D. José Ignacio Cortázar, cura propio de la iglesia matriz de Guayaquil. El Rey nuestro Señor sé ha dignado admitir al teniente del regimiento de infantería de la Corona D. Francisco Xavier Cevallos la cesión que, pe netrado de las urgencias del estado, ha…</t>
  </si>
  <si>
    <t>Quiroga, Francisco</t>
  </si>
  <si>
    <t>Francisco Quiroga</t>
  </si>
  <si>
    <t>…. de id. D. Pedro Ovalle&gt; id. de id., D. Juan Canal, capitán del de Santiago. D. Juan de Castro, teniente de Id. D. Benito Martínez, id. de Id. D. Juan Guillen, subteniente de id. D. Francisco Quiroga, id. de id. D. Juan Cancela, id- de id. D. Bernabé de las Pallas, id. de id. D. Martafio Castell, teniente coronel, sargento mayor de la Corona. D. Tomas Noriega, teniente de id D. Mariano Canalls, subteniente de id. D. Ventura Noguérra, id. de id. D. José Ma…</t>
  </si>
  <si>
    <t>Quirós, Diego</t>
  </si>
  <si>
    <t>Diego Quirós</t>
  </si>
  <si>
    <t>…/,es-j tado mayor. D. José Cieofuegos, id. de id. D. Ramón Gqqzajez^J^pe i3. D. Santos San Miguel, teniente coronel deí 2.0 de Asturias. D. Jos&amp;M^íía Noroa , sargento mayor de id. D. Diego Quirós, capitán de id. D. Tomas Pastoriza , teniente de id. D. Gumersindo Muros, subteniente de id. D. Benito Llórente, capitán del de Guadalaxara. D. Camilo Marquina, id. de id. D. Juan de Novoa, id. de id. D Francisco Vega, ayudante primero de id. D. José Guerra,…</t>
  </si>
  <si>
    <t>Quistorp, Augusto Barón</t>
  </si>
  <si>
    <t>Augusto Barón Quistorp</t>
  </si>
  <si>
    <t>…también,á la misma recomendación: el subteniente de la dé Jaén D. Cristóbal Muñoz también ha sido,herido mcrtalmente; se ha portado con la mayor bizarría: el capitán de Ja Legión D. Augusto Barón Quistorp, aunque ha salido sano, es mas obra de su suerte que efecto de in ferioridad en su conducta en este dia; y la de los subalternos D. Joaquín Rubín y D. Martin Cadoringa», pues cargó y dispersó dos veces con la ba yoneta al enemigo con un valor igual al que por…</t>
  </si>
  <si>
    <t>Quistorp, Augusto Varón</t>
  </si>
  <si>
    <t>Augusto Varón Quistorp</t>
  </si>
  <si>
    <t>…mfiy ,part4cularmen-t^ á, los comandantes de la columna dé ca zadores el coronel [D.; Aqtpnio ,Cano y el teniente coronel D&gt; Miguel de la Torre; al capitán de la legión Extremeña D. Augusto Varón Quistorp , y aí de la Union D.) José Magia £reyreal ten¡en,t,e(4.elj¥lgimieuto de Doy le D. Nicolás Minussir, agregado al estado mayor de la división y herido en la, misma acción; al capitán de pagadores de* DoyM D. Antonio Martin; al de igual clase de Jaén D. Francis…</t>
  </si>
  <si>
    <t>Quixano, Arcadio</t>
  </si>
  <si>
    <t>Arcadio Quixano</t>
  </si>
  <si>
    <t>…znar y D. Felipe de la Cámara: la subtenencia de granaderos á D. José Ireneo Guerra; y subtenencias de fusileros á D. Ma nuel Benito Quixano, D. Nicolás Ortiz, D. Agustín Sánchez, D. Arcadio Quixano, D. Joaquín Sánchez y D. Arcadio Cicero. Por los oficios que con fecha del 23 del corriente han dirigido el secre tario interino del despacho de Estado y el gefe político de la provincia de Valencia ha sabido Ja Regencia con particular satisfacción que S. M.…</t>
  </si>
  <si>
    <t>Quixano, José Julián</t>
  </si>
  <si>
    <t>José Julián Quixano</t>
  </si>
  <si>
    <t>…nat. En" el de dragones de Buenos-Ayres alférez á D. Toma» Aspiazu. En la compañía de dragones de Yucatán capitán á D. Juan Buendia, teniente á D. Francisco Flota, y subteniente á D. José Julián Quixano. En el piquete de dragones del Cuzco, vireynato dél Perú, teniente co mandante á D. José Ruiz, En la partida de Asamblea de la villa de Char-</t>
  </si>
  <si>
    <t>Quixote</t>
  </si>
  <si>
    <t>…la Concepción, y en casa de su autor D. Martin Diego Saenz Diez*, diamantista de cámara de S. M., calle Mayor , núm. *5 , inme dia£o á la de S, Cristóbal. Napoleón, ó el verdadero D. Quixote de la ,E¡uro^# ó sean comentarios críá tico-patrióticos burlescos á varios decretos de Napoleón ^ su hermano José, escri tos por un español amante de su patria y Rey : ocho tómítós en 8.° Véndense en las librerías de Perez y de Mtnutría; en Toledo en la de He…</t>
  </si>
  <si>
    <t>Quosnadovich</t>
  </si>
  <si>
    <t>4)6 t . general Quosnadovich; pero la pérdida del enemigo fue mayor, especial mente de guardias italianas, que padecieron mucho. Todo el exército (excepto los cuerpos que bloquean á Mantua , Peschiera, Venecia y Legnago) y el del exército de Ñapóles están reunidos en número de 40 á 50© h…</t>
  </si>
  <si>
    <t>R, José Domingo</t>
  </si>
  <si>
    <t>José Domingo R</t>
  </si>
  <si>
    <t>…o por la misma, y á las demas circunstancias de su persona, se ha dignado concederle los honores de intendente de pro vincia. 9 Igualmente en atención á los méritos y servicios de D. José Domingo R us, fiscal de Real hacienda de la provincia de Maracaybo y asesor de su ayuntamiento capital, se ha servido S. M. nombrarle, por decreto de 24 de Setiembre ultimo, oidor de la audiencia de Guadalaxara, reyno de la Nue— va-Galicia en Indias. Asimismo en atenci…</t>
  </si>
  <si>
    <t>R, Josef</t>
  </si>
  <si>
    <t>Josef R</t>
  </si>
  <si>
    <t>…D. Ramón Josef de Arce, conde de Galvez, D. Miguel Josef de Ázanza , D, Gonzalo O-Farril, marquesa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t>
  </si>
  <si>
    <t>R, S. A.</t>
  </si>
  <si>
    <t>S. A. R</t>
  </si>
  <si>
    <t>…gran fuerza en los caminos de Beurne y Berchen, pero fué arrojado de allí por los valientes prusianos, aunque no sin pérdida considerable. Tengo la honra &amp;c. ~ Tomas G-rakatn. P. D. S. A. R* el duque de Ciar ence volvió del Haya el 1.® del corlíente , y se ha hallado en este movimiento contra Ambéres. ' £1 general Bulow debe tener mañana su quartei general en Malinas. Extracto de un oficio de hrd Burgfiersh desde Trojes 4 8 de Febrero. La import…</t>
  </si>
  <si>
    <t>Ra</t>
  </si>
  <si>
    <t>…siguiente señalado se trasladó el ayun tamiento con el clero á la parroquia, en dónde se cantó una solemne misa, estando manifiesto el Santísimo Sacramento; predicó én ella el Dr. D. Ra món Montero, canónigo lectoral dei real sitio de S Ildefonso, quien hizo un hermoso discurso análogo á las circunstancias, llenando completamente les deseos del pueblo ; después de la misa se cantó un solemne Te Deum; por la tarde del dicho día se repitieron…</t>
  </si>
  <si>
    <t>…e de Canciller mayor, Fernando de Iturmendi. El Rey ha tenido á bien promover á subtenientes 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t>
  </si>
  <si>
    <t>…dias, contados desde el 2^ del corriente, que por primero, segundo y tercero se les concede, comparezcan a deducirle ante dicho señ*jr, y por la escribanía del número que despacha D. Ra món García Xímenez; entendidos de que pasado dicho término, y no verificán dolo, its parará el perjuicio que haya lugar. Se halla vacante la plaza de cirujano titular de la villa de Pezuela de las Tor res, partido de Alcalá, ocho leguas distante de esta corte…</t>
  </si>
  <si>
    <t>…ana subteniente, á D¿ Rafael José Moreil. En el re gimiento de dragones de la misma plaza comandante de esquadron agrega do al capitán de dragones de Almarisa graduado.de teniente coronel D. Ra món Sentmanat. En" el de dragones de Buenos-Ayres alférez á D. Toma» Aspiazu. En la compañía de dragones de Yucatán capitán á D. Juan Buendia, teniente á D. Francisco Flota, y subteniente á D. José Julián Quixano. En el piquete de dragones del Cuzco, vireynat…</t>
  </si>
  <si>
    <t>…Noviembre de 1814.3 Juan Perez Villamil. El Rey se ha servido nombrar para la dignidad de chantre y canongía de la iglesia metropolitana de Sevilla, vacantes por fallecimiento de D. Ra fael Ancón Encina, á D. Bernardo Osorio y Moscoso: para la canongía va cante en la catedral de Calahorra por muerte de D. Diego Tricio y Náxera, á D. Jo^é Mariano Andux, racionero de la iglesia colegial de Daroca, penitenciario del Real hospital general de es…</t>
  </si>
  <si>
    <t>Ra, Antonio</t>
  </si>
  <si>
    <t>Antonio Ra</t>
  </si>
  <si>
    <t>…37 primeros cedidos al mismo banco por D. José Urtonagoena en 31 de Mayo de 1808, y los 44 restantes por el Excmo. Sr. conde de Aitamira, firmados en virtud de poder de S. E. por D. Antonio Ra^on en 3 de &lt; Junio del mismo ano, cuyos números son los siguientes: 464075, 464479,464614, 464673» 464882, 465363, 465504, 465848, 467033, 467065» 46767*» 468994, 469450, 469784, 469822, 469840, 470434, 47°453» 47‘4d6* 472886, 474051, 474200, 474243» 474^85,…</t>
  </si>
  <si>
    <t>Ra, Miguel Sebastian y</t>
  </si>
  <si>
    <t>Miguel Sebastian y Ra</t>
  </si>
  <si>
    <t>io86 ficio simple de la parroquia de la villa de Molina en la diócesis de Cartage na, vacante por muerte de D. Joaquín Fita, á D. Miguel Sebastian y Ra mos: para la prestamera de la parroquia de la villa de Requena, diócesis de Cuenca, vacante por fallecimiento de D. Gervasio Verde, á D. Cárlos Me ras; y para otra prestamera de la parroquia de la villa de Ventosa, en la misma diócesis, á D. Pió Sebastian de…</t>
  </si>
  <si>
    <t>Rábago, Juan</t>
  </si>
  <si>
    <t>Juan Rábago</t>
  </si>
  <si>
    <t>…segundo por haber salido á observar la fuerza de aquellos con quatro dragones, dando al comandante del Zapote los avisos, mas oportunos, sin olvidar al vigía de la torre patriota D. Juan Rábago, que con la mayor exactitud hizo lo mismo conmigo: como también al Bachiller D. Ramón, de Eehev.este, del oratorio de S_ P'eíipe Neri de México, y capellán del batallón ligero^ de. México, que se distinguió en, la citada acción del Zapote, avanzando con la ca…</t>
  </si>
  <si>
    <t>Rábagó, Tomas Fernandez de</t>
  </si>
  <si>
    <t>Tomas Fernandez de Rábagó</t>
  </si>
  <si>
    <t>…de 1814. Por resolución á consultas de la cámara se ha servido el Rey nombrar para él aVcedianató dé Aza , dignidad de la iglesia catedral déOsma , vacan te por fallecímiento dé! D. Tomas Fernandez de Rábagó , que le obtenia, á £&gt;. EusebióJPerez Faxardo, canónigo magistral de !a de Sto. Domingo de la Cat^ad^ypatá la dignidad de maestrescuela de la iglesia catedral de Santan der, vacante [p6r: fallecimiento ! dé Di Agustín Socobio y Cevallos, á-Don Angel Füerté’S…</t>
  </si>
  <si>
    <t>Rabal, Félix</t>
  </si>
  <si>
    <t>Félix Rabal</t>
  </si>
  <si>
    <t>…ra otra tam bién diaconil de la misma catedral, vacante por muerte de D. Antonio Se gura: á D. Mariano Bataller para otra presbiterial de la misma catedral, va cante por muerte de D. Félix Rabal: á D. Francisco Sepulcro para una ración de !a catedral de Orihuela, vacante por muerte de D. Gabriel Andu ez2: á D. Gerónimo Merino para una canongía de la metropolitana de Valencia, vacante por fallecimiento de D. José Faustino Alcedo: á D. Luis de Exarque…</t>
  </si>
  <si>
    <t>Rada, Juan Crísóstortio de</t>
  </si>
  <si>
    <t>Juan Crísóstortio de Rada</t>
  </si>
  <si>
    <t>io4T Alfaro, el Lie. D. Juan Crísóstortio de Rada * abogado de los Reales Con sejos , regidor de ella, y el R. P. Fr. Angel Salvador, prior de S. Felipe el Real; el primero de los quales arengo á S. M. en estos términos: „ Señor: vuestra M. N. y M. L. ciudad de Alfaro tiene en este dia el incomparable honor…</t>
  </si>
  <si>
    <t>Radavejavic</t>
  </si>
  <si>
    <t>…po de Istria, y fortificamos este punto con cuidado. Nuestra posición se adelantó sobre el flanco del enemigo, y se le obligó á emplear una fuerza considerable para observarme; el general Radavejavic se aprovechó con des treza de esta circunstancia, y estrechó al enemigo por todos lados hácia Laybach. El 23 se hizo un movimiento general; yo marché sobre Bassavizza cejjea .de Trieste, y cubriendo .mi izquierda contra los fuegos de está plaza, use adelanté…</t>
  </si>
  <si>
    <t>Radican, Félix</t>
  </si>
  <si>
    <t>Félix Radican</t>
  </si>
  <si>
    <t>…el mismo profesor, y merecieron el mayor aplauso. Después de concluida se repitió con la mis ma profusión un nuevo refresco, siguiéndose una cantata compuesta en ita&gt;liano por-ei profesor Félix Radican, dirigida por él mismo, y recitada por la señora Bartinoti, alusiva á los mismos asuntos. Tercera vez sé sirvió re fresco á todos los convidados; las hijas y parientas del mismo cónsul, vesti das á la española, executaron un baylete de carácter español, inven…</t>
  </si>
  <si>
    <t>Radivojevich</t>
  </si>
  <si>
    <t>…ggio, y el general Vescay á Pozzolo sin encontrar oposición. El general Merville se quedó con su tropa en Pozzolo para dirigirse al punto que fuese amenazado. En breve encontró el general Radivojevich al enemigo, y se siguió un vivo fuego en nuestro favor. La izquierda ganó una posición en un espacio so terreno, y se apoderó de todas las alturas: el enemigo se retiró hacia el lado de Brescia mientras su derecha se reconcentró hacia la cabeza de puen te de…</t>
  </si>
  <si>
    <t>Rafael</t>
  </si>
  <si>
    <t>44 d'etes D. Rafael sobrino, D. Martin de Villota y Lérin, D. Dionisio Gis— bert y Moho, B. Juan Bonilla y D. Juan Saborído: el segundo á D. Ch ínente González, D. Ramón Gascón, D. Patricio Agüádó, D. JosefLacarirera, D Tomas Beni.tez y D. Josef Éorbiu y Góngora; y el Vo á D. Fr…</t>
  </si>
  <si>
    <t>Rafael-Diez</t>
  </si>
  <si>
    <t>…ndante general que dexé encargado de parte de las oper raciones .del ata izquierea el coronel D. Domingo Clemente de Sierra reco mienda bastante la conducta, valor y servicios del capitán D. Rafael-Diez, encargado del estado mayor de la misma ala. Deseo me anuncie; V. ^E. su voluntad en quanro á la conservación ó demolición de las obras ueí Gromo y Laredo, que mantengo en su mejor estado, y cuyos frentes de ambas solo son ofensivos hacia el continente, y nun…</t>
  </si>
  <si>
    <t>RafáelRam</t>
  </si>
  <si>
    <t>…nigo de la santa iglesia de Astorga; á D. Tomas Vallejo j(;Zumaran=, regidor y alcalde provincial de.'Limá ; a'D. Miguel Padillay coronel graduado de-mi licias; al baton de-Herves D. RafáelRam dé VJu y'Pueyo 5 á D. Alonso Adam, ayudante^retirado del regimiento de infantería de.línea de Córdoba; át D . F rancisco Galvez, dignidad: de tesorero de ia* santa iglesia de Córdoba; dt Me Japinaud, teniente general de ios.exércitqs del Rey de Francia&lt;,.y x…</t>
  </si>
  <si>
    <t>Rains</t>
  </si>
  <si>
    <t>…abrí© una trinchera, con que se formó la primera paralela á 200 toesas de distan cia. Se construyó ademas una batería de morteros en Schanza, y se colocó un. °bus en el frente. El capitán Rains mandaba a la'espalda un : batería de1 dos morteros,, .que arrojaban bombas con mucho acierto. Luego que estu— ■vjerón corrientes., estas baterías para principiar el fuego, capituló el enemi go. Estas obras habían ocasionado un trabajo extraordinario por la na…</t>
  </si>
  <si>
    <t>Ramírez, José Miguel</t>
  </si>
  <si>
    <t>José Miguel Ramírez</t>
  </si>
  <si>
    <t>…atute. En Ultra mar para la canongía de ia iglesia catedral de Guadalaxara á O. José Manuel Sanmartín; para ración en la misma iglesia á D. Toribio González, y para media ración á D. José Miguel Ramírez. Igualmente se ha servido nombrar pata una ración en la iglesia metropolitana de Lima á D. José Antonio Hur tado, y para media-ración en la misma iglesia á D. Carlos Overa y Olaortua. A: imismo ha nombrado S. A. para ia chantría de la iglesia catedral de Ciud…</t>
  </si>
  <si>
    <t>Ramírez, Juan</t>
  </si>
  <si>
    <t>Juan Ramírez</t>
  </si>
  <si>
    <t>…uas. El mismo JBel— grano y Diez Velez estuvieron muy i pique de caer en manos de los dra gones, que los siguieron hasta las ocho de la noche. ' - „Mi segundo el mariscal de campo D. Juan Ramírez, que mandaba la ' derecha, el de la misma clase D. Francisco de Picoaga, el mayor general -•brigadier D. MiguebTacon, que mandaba la izquierda, el brigadier y co— * rónfcl del 2.® regimiento D- Gerónimo Lombera, que sin embargo del ba lazo recibido en Vilcapu…</t>
  </si>
  <si>
    <t>…ar Vigodet, capitán general de las provincias del Rio de la Plata ;á mariscales de campo á los brigadieres D. Joaquín de la Pezuela, general en. gefe del exér-»cito del Alto Perú, D. Juan Ramírez y D. Francisco Picoaga, generales dé división del mismo, y D. José Dávila, subinspector general de las tropas de Nueva-España; y á brigadieres á los coroneles empleados en el expresado exército D. Miguel Tacón y D. Gerónimo Lombera. Asimismo se ha ser vido S. M. nombrar capitán gen…</t>
  </si>
  <si>
    <t>Ramírez, Manuel</t>
  </si>
  <si>
    <t>Manuel Ramírez</t>
  </si>
  <si>
    <t>…de arcediano de Reyna y canongía que obtiene en la catedral de Santiago: para el arcedianato de Lara, dignidad de la iglesia metropolitana de Burgos., vacante por fenecimien to de D. Manuel Ramírez y.Cid, á D. Martin Xavier Roxo , canónigo doc toral de la misma iglesia: para una ración de la catedral de Santander, va cante por fallecimiento de D. Juan Nepomueeno del Puerto, á D, Juan López Muñíz , cura párroco de la misma catedral; y para otra ración de…</t>
  </si>
  <si>
    <t>Ramírez, Patricio</t>
  </si>
  <si>
    <t>Patricio Ramírez</t>
  </si>
  <si>
    <t>…tor el Dr. D. Tomas López de Regó y de los Dres. y deanes D. José Ruperto Molina, de teología; Don Manuel Morales y Segoviaño, de jurisprudencia; D. Domingo Diez, de me dicina , y D. Patricio Ramírez, de artes, acompañados del maestro de ce remonias; y el expresado rector arengó asi: ,,Señor: vuestra universidad de Alcalá, representada por su rector y</t>
  </si>
  <si>
    <t>Ramírez, Pedro</t>
  </si>
  <si>
    <t>Pedro Ramírez</t>
  </si>
  <si>
    <t>…te de D. Felipe Monto» y Ro mero, á D. Leandro Vicente Alvarez Navarro: para el arcedian?ito de San ta Gema, dignidad de la iglesia catedral de Pamplona, vacante por pro moción de D. Pedro Ramírez de la Piscina al obispado de Ciudad Rodri go, á D. Pedro Ignacio Garbiso: para una capellanía de Sres. Reyes nue vos de Toledo, vacante por muerte de D. Pedro Guaza, á D. Lorenzo del Estal, cura párroco de la villa de Venturada, en 1&gt; misma diócesis de Tole d…</t>
  </si>
  <si>
    <t>Ramo</t>
  </si>
  <si>
    <t>…a de S. A. R., nombrar para que compongan la e'prenda Junta á los Capitanes Generales D. Francisco Xavier Castaños y D José Palaifox; los Tenientes Generales Marques de Castelar y D. Ramo &gt; Vilialha; los Mariscalesade Campo D’. Carlos O Donell, D. Tomas O Donejú y D.Lu isW imptén, y para Secretario al Brigadier Capitán de Reales Guar dias Españolas Marques dé la-Roca.” H1 Rey nuestro Señor se ha servido^ conferir la. contaduría dé exército dé’…</t>
  </si>
  <si>
    <t>Ramón</t>
  </si>
  <si>
    <t>…andante del Zapote los avisos, mas oportunos, sin olvidar al vigía de la torre patriota D. Juan Rábago, que con la mayor exactitud hizo lo mismo conmigo: como también al Bachiller D. Ramón, de Eehev.este, del oratorio de S_ P'eíipe Neri de México, y capellán del batallón ligero^ de. México, que se distinguió en, la citada acción del Zapote, avanzando con la caballería so bre ios rebeldes * y exhortando á la tropa ; y finalmente á toda la oficia…</t>
  </si>
  <si>
    <t>Ramos</t>
  </si>
  <si>
    <t>…por rezelo de los corsarios enemigos; que el segundo piloto D. Manuel Vidaurreta de la dotación de la barca fue herido en el combate; que le recomienda y á toda la tripulación el comandante Ramos , asi como á este el general de marina de la Havana, tanto por-su buen porte en el combate, como por el distinguido servicio que hizo tomando á su cargo, á pesar de su corta fuerza, un convoy tan numeroso é interesado: y habien do dispuesto S. M. se atienda e…</t>
  </si>
  <si>
    <t>Ramos, Andrés</t>
  </si>
  <si>
    <t>Andrés Ramos</t>
  </si>
  <si>
    <t>…arina de IaHavana da parte alSr. secretarlo de Astado y del Despacho universal de Marina , que la barca correo de la real armada titulada Gaditana , del mando del alférez de navio D. Andrés Ramos, sostuvo combate el 2 5 de Noviembre próximo pasado en las aguas de Baracoa, con un corsario francés de superior fuerza; que la Gaditana recibió Varias averías, y se vió Ramos obligado á entrar en Baracoa, en donde desembarcó la correspondencia que conducía d…</t>
  </si>
  <si>
    <t>Ramos, Liborio Tudela y</t>
  </si>
  <si>
    <t>Liborio Tudela y Ramos</t>
  </si>
  <si>
    <t>…ía. El Rey sé ha servido, á consulta del Real consejo de las Ordenes, nom brar para la vara de alcalde mayor de la villa del Quintanar de la Orden, territorio de la de Santiago, á D. Liborio Tudela y Ramos. Atendiendo el Rey nuestro Señor al acreditado mérito, ilustración y constante buen desempeño, asi como á la fidelidad y lealtad que ha acredita dlo bacía su Real Persona el mariscal de campo D. José Ignacio Aivarez Campana, se ha servido nombrarle segundo ca…</t>
  </si>
  <si>
    <t>Ramospara, José Lucas y</t>
  </si>
  <si>
    <t>José Lucas y Ramospara</t>
  </si>
  <si>
    <t>…santa iglesia de Sevilla, vacante por muerte de D. Ambrosio Delgado, á D Feliciano Carbalío; para el préstamo del lugar dd Berraco y S. Juan de la Nava, en la diócesi de Avila, á D. José Lucas y Ramospara la presentera de las villas de Belalcazar é Hinojosa, en la diócesi de Córdoba, vacante por fallecimiento de D. Juan Bautista Ezpdeta, á Don 'i, j w1?0,?. J^steasu&gt;a,n i Para el beneficio de la parroquia de Sta. Ceci lia de Medeihn, en el obispado de Plasenci…</t>
  </si>
  <si>
    <t>Ramsey</t>
  </si>
  <si>
    <t>…lle, que mandan bri gadas, del teniente coronel Loyole, del regimiento 84..°, que fue desgracia damente muerto, de los de La misma clase Barnes., del Real, y Cameron, del 9.0, del capitán Ramsey, de la real artillería volante, del coronel Delancey, diputado quartelmaestre general, del teniente coronel Macdonald, asistente ayudante general del cuerpo que manda sir Juan Hope, y de los oficiales adictos á su persona. La primera división, del mando del m…</t>
  </si>
  <si>
    <t>Ranz, Francisco Estéban y</t>
  </si>
  <si>
    <t>Francisco Estéban y Ranz</t>
  </si>
  <si>
    <t>…n, D. Luis Gabaldon y López, D. León de la Cámara y D. Joaquín Almazan: para la vara de Burgos á D. Prudencio Fernandez de la Pelilla : para el corregimiento de Molina de Aragón á Don Francisco Estéban y Ranz: para la vara de Osuna á D. Juan Antonio Del gado: para la de Don Benito á D* Eusebio Lampie: para la de Medellin á •D. Feliciano Centeno: .para Ja de Guadalaxara á D. Estéban Rodríguez Ga llego: para la de Laseca á D. Pablo Blanco Caballero: para el corregi…</t>
  </si>
  <si>
    <t>Rapp</t>
  </si>
  <si>
    <t>…ck por una parte, y por la otra el conde de lleúde le? , general de división , el general de brigada d' Hericourt, y el coronel Recnemont, provistos de los respectivos poderes del conde Rapp, co mandante en gefe del décimo cuerpo del exército* akt. i.° ' Las tropas que componen la guarnición de Dantzick, y ocu pan los fuertes y reductos dependientes de la plaza, saldrán de ella con sus armas y bagages el i.° de enero de 1814, A las 10 de la mañan…</t>
  </si>
  <si>
    <t>…adas se apoderaron de Dantzick el 2 del corriente. No habiendo querido aprobar el emperador.de Rusia los principales artícu los de la capitulación , de que remití á V. E. copia,el general Rapp, coman dante de la guarnición, ha tenido que acceder á las condiciones que le fueron propuestas por S. A. S. el duque de Wurtemberg el 29 del anterior , según las quales todos los franceses y algunos italianos que habia en la plaza en número de irSoo hombres,…</t>
  </si>
  <si>
    <t>…. ,,Milord: remito á V. E. una lista de los ofi ciales generales que se hallaban en Dantzick ai tiempo de su rendición, la qual acabo de recibir en este momento. General en gefe : conde Rapp. Generales ae división : conde dé Heudbet, Grand-jean , Bachellu, Lepin y Campredon. Generales de brizada : Dumanoir, D’ Hericourt, Devillers, Husson, Ba gr*ncourt, Farine, Cavagnac, príncipe de Rudziville. Generales de división de las tropas napolitanas .* D…</t>
  </si>
  <si>
    <t>Rar, Juan</t>
  </si>
  <si>
    <t>Juan Rar</t>
  </si>
  <si>
    <t>…D. Fermín Sanz y López: para otra á D. Manuel Arbizu: para otra á D. Pedro Lapuerta; y para otra no nacional á D. Map riano Rufino González; y para la fiscalía ae dicho consejo,á D. Juan Rar mon de Matute; y para una de ministro togado en la Cámara de Comptos á D. Joaquín Eiio y Jaureguizar: para una de oidor de la chancillería de Valladolid á D. Juan Nicolás Ondaveytia, ministro de la audiencia de Oviedo: para otra de la misma chancillería á D.…</t>
  </si>
  <si>
    <t>Rara, Juan</t>
  </si>
  <si>
    <t>Juan Rara</t>
  </si>
  <si>
    <t>…aftega, juntas ó divididas en suertes. Quien quisiere hacer postura acuda ante .el Sr. X). Francisco Assin , alcal de mayor en esta capital, parla escribaníaudel número que exeres D. Juan Rara. D. Francisco y D. Antonio García Mayor de Londoño, hermanos de D. Vi cente García Mayor de Londoño, é hijos que parece Fueron de D. Diego Londoño y de Dona Bernarda Matías de los Reyes, ?us hijos ó descendi entes legítimos lla mados á la sucesión del vinculó…</t>
  </si>
  <si>
    <t>Rascmouski</t>
  </si>
  <si>
    <t>…. tos, quienes le recibieron á cañonazos, haciéndole retroceder legua y medía. El duque de Tarento lle¿o á Chalons, y marchó al punto contra aquella división. El conde Stadion, el conde Rascmouski, lord Castlereagh y el barón de Humboldt llegaron-el 4? á Chatillon del Sena, donde, se hallaba ya el duque de Vicenza. Se vEsitarbtí íiíutuaiúente, y el mismo día comenzaron las con ferencias de los plenipotenciarios.; i GRAN BRETAÑA. ¿,!/i ípndres io de Feb…</t>
  </si>
  <si>
    <t>Rascón, Francisco Crespo</t>
  </si>
  <si>
    <t>Francisco Crespo Rascón</t>
  </si>
  <si>
    <t>…a eclesiástica ; los Dres. D. Andies Aransai, D, Agustín Librero y D. Fernando Velez, capellanes de honor de S. M.; el Dr. D. Andrés Cerezo; los Sres. Dres. D. José Coba y Sai o y D. Francisco Crespo Rascón, del consejo de S. M., y el Dr. D. José Ca— franga, oficial de la secretaría de Gracia y Justicia. Habiendo el Excmo. Sr. duque de S. Carlos presentado la universidad á S. M. y A A., el diputado mas antiguo habló brevemente á S. M. felicitan* dolé en nombre d…</t>
  </si>
  <si>
    <t>Rascón, Víctor</t>
  </si>
  <si>
    <t>Víctor Rascón</t>
  </si>
  <si>
    <t>…o Gómez; D. Antonio Al calá Galiano; D. Jayme Aivarez de Mendieta,y D. Juan Antonia Fernan dez de Quesada. Ministros de Capa y Espada■. D. Pantalecn de Beramendi; Conde de Lereua; D. Víctor Rascón .Cor nejo, Contador general de Valores; D. Luis Gacel, Contador general de la D ¡stribucion; D. Josef Martínez de Bustos; D. Felipe de Córdoba; D. Ma nuel Pérez de Lema; D. Ignacio Rodríguez de Ribas; D. Víctor. Soret, Tesorero general; D. Pascual Dávila; Con…</t>
  </si>
  <si>
    <t>Rasumovysky</t>
  </si>
  <si>
    <t>…regula en 4500 hombres. .. • «/, ; , j Hay en estas inmediaciones tropas de todas armas en número de 12® ya disciplinadas, y parte de ellas están esperando orden para marchar. El conde Rasumovysky, después de haber sido embaxador de Rusia en esta corte, ha residido en ella algún tiempo como simple particular, y está para regresar al quartel general del emperador de Rusia. Friburgo 25 de Diciembre, . Hace tres; dias que recibimos la noticia positiva dé…</t>
  </si>
  <si>
    <t>Rauch</t>
  </si>
  <si>
    <t>…El conde Flauhaut, ayudante de campo del emperador Napoleón; el conde Dúcea &gt; ayudante-del imperador de Austria; el conde SchouwaloíF, v ' ay udante del emperador de Riísía^ y el general Rauch , gefe del cuerpo de Ingenieros de! rey de Prusia , sé hán juntado en Lussigny para tratar de las * condiciones de un a-Suspensión dearmas.1 Dí este modo fué libertada la capital de Champaña e! dia 24, habiendo</t>
  </si>
  <si>
    <t>Raya, Juan</t>
  </si>
  <si>
    <t>Juan Raya</t>
  </si>
  <si>
    <t>…s, y está tasada en 29234'. rs. vn. Quien.quisiere hacer postura acuda ante el Sr. D. Francisco Assin, teniente corregidor de esta villa, por la escribanía de íu número que exerce D. Juan Raya.; EN LA IMPRENTA REAL.</t>
  </si>
  <si>
    <t>…edio de procurador con suficiente poder ante- el Sr. D. Manuel Fernandez Gamboa, del consejo de S. M., teniente corregidor de esta villa, por la escribanía de su número que excrce D. Juan Raya; con apercibimiento de que pasados dichos términos sin haber comparecido, les parará el perjuicio qué haya -I lugar. .... Se desea saber el paradero ó suerte de £&gt;. Juan Isidoro de Üriarte y Andecobeytia, que en 1808 salió de esta corte destinado á Zaragoza á…</t>
  </si>
  <si>
    <t>…re sí teng í. Quien quisiere hacer postura acuda antee! Sr. D. Francisco Ápsin , del concejo de S. M., teniente corregidor de esta villa, por la escribanía de su número que exerce D. Juan Raya, donde se manifestarán los títulos de per tenencia. Sermones sobre las verdades mas importantes de la religión, traducidas del fran cés por el P. D. Francisco Vázquez, clérigo reglar de S. Cayetano. Aunque las verdades de la religión son inalterables, las tra…</t>
  </si>
  <si>
    <t>Raymundo</t>
  </si>
  <si>
    <t>9°4 Doña Ana de Ayllon, vecina de la villa de Osuna, por su testamento dexó en usufruto dos lincas á sus hermanos de padre D. Raymundo y D. Pedro de Al cántara de Ayllon, el primero vecino de la ciudad de Cádiz, y el segundo en la de la Ha vana : lo que se manifiesta al público, para que llegando á noticia de estos interesados, se presenten por sí, ó por medio de apoderado, en dicha villa de Osu na á los alb…</t>
  </si>
  <si>
    <t>Rayón, Antonio</t>
  </si>
  <si>
    <t>Antonio Rayón</t>
  </si>
  <si>
    <t>…7 primeros cedidos al mismo Banco por D. José Urionagoena en 31 de Mayo de 1808, y los 44 restantes por el Ex ;mo. $r. conde de Áltamir.i, firmados en virtud de poder de S. E. por D. Antonio Rayón en 3 de Junio del mismo año, cuyos números son los siguientes*. 464075,464479,464614, 464673» 464882, 465363, 465534. 465848, 467333. 467365» 467672» 468994, 469453» 469784» 469822, 469843, 470434. 47°453* 47*456, 472886, 47405r, 474200, 474243. 474285, 47434…</t>
  </si>
  <si>
    <t>Rayón, José Antonio</t>
  </si>
  <si>
    <t>José Antonio Rayón</t>
  </si>
  <si>
    <t>…smo tuvo en este dia el honor de presentarse, cumplimentar y be sar la mano á S. M. y AA. una diputación del ayuntamiento de la ciudad de Alcalá de Henares, compuesta de los Sres. D. José Antonio Rayón, al calde; D. Lorenzo de la Torre, regidor; D. Fernando Sabugo, procurador síndico , y D. Esteban -Azaña , escribano, en cuya ocasión el primero pro nunció «^discurso siguiente; t ... k &gt;</t>
  </si>
  <si>
    <t>Rbl</t>
  </si>
  <si>
    <t>…del SK D. Ramón Quintero Gómez,* corregidor de la villa de Illescas, y escribanía del número de D. Salvador Fernandez de fa O, autos con motivo del fajlécimienítoabin testa to de Doña Rbl^ def|a Cruz Matos y Guzrmn , vecina cjue'fué de dich^Villa ¿ ^ nattsráfdé la de 'PredraVttá, diócesis de 'Avila', se cita á &amp;s que sé:^resumítt dóH’dérechó#Ioé bi'éneS' deja insinuada Doña Rosa , para que le deduzcan éñ aqúeljtfzgiclo y términqdé tto dlis &gt; c…</t>
  </si>
  <si>
    <t>Rbss</t>
  </si>
  <si>
    <t>…al congreso. S. M. I. pasará por Minsk y Lubdn, y se encaminará á Cracovia. G R A N B R E T A Ñ A. Londres 23 de Setiembre. El día 25 de Agosto las armas británicas, al mando déL general Rbss , se apoderaron de la capital de los Estados-Unidos. Habian desembarcado estas en el rio Potraent á 35 millas de distancia de dicha capital, adonde se di rigieron en seguida sin encontrar resistencia algupa. £n la entrada les sa lió al encuentro el general1 ’…</t>
  </si>
  <si>
    <t>Reajal, Julián Ruiz de</t>
  </si>
  <si>
    <t>Julián Ruiz de Reajal</t>
  </si>
  <si>
    <t>…á los que no concurran les parará el perjuicio que haya lugar. Los herederos de lo* Excmos. Sres. D. Francisco Cagigal y Doña Antonia Monsarrat, su muger, acudirán á la posada de D. Julián Ruiz de Reajal, presbítero, oficial del archivo del supremo consejo de Inquisición, que vive calle de Jacometrezo, núm. 4, quarto segundo, manzana 375, quien les comunicará un derecho que les pertenece. Se halla vacante el partido de médico de Cásarubios del Monte, en la pr…</t>
  </si>
  <si>
    <t>Reaurieox, Francisco Antonio de Mean y</t>
  </si>
  <si>
    <t>Francisco Antonio de Mean y Reaurieox</t>
  </si>
  <si>
    <t>…príncipe augBStq de Prusia , el príncipe-dé &gt;Crastorinsky ,M. J* M. Johnson &gt; encargado' de negocios de Inglaterra en la Bc'gicá, el principe Luis Guillermo de HesseHombourg, y el conde Francisco Antonio de Mean y Reaurieox, antes príncipe obispo de Lie ja. El emperador de Rusia se pasea todos los días por la ciudad, grangeindose el afecto de todos por su amabilidad y dulzura;: . Se cree que ios negocios del congreso se despacharán con actividad, por que todos los trabajos están…</t>
  </si>
  <si>
    <t>Rebles, Matías de</t>
  </si>
  <si>
    <t>Matías de Rebles</t>
  </si>
  <si>
    <t>…con dimi ion del que obtiene en la parroquia de ia villa de Tinajas, diócesis de Cuen ca: para el arcedianato titular de la iglesia primada de Teledo, vacante por fallecimiento de D. Matías de Rebles, al Lmo. Sr. obispo de Orihuela, paniarca de las Indias: para una canongía de la iglesia catedral de Córdo ba, vacante por fallecimiento de D. José de Aldama , á D. José Urrutia, teniente vicario general del quano exército: para otra de la iglesia catedral de…</t>
  </si>
  <si>
    <t>Rebollar, Antonio Urueña</t>
  </si>
  <si>
    <t>Antonio Urueña Rebollar</t>
  </si>
  <si>
    <t>2176 ESPAÑA, Colmenar de Oreja (provincia de Toledo) 20 de Octubre. Deseando D. Antonio Urueña Rebollar, maestro de primeras letras de esta villa, aprobado por el Real y supremo con ejo de Castilla, dar una prueba del feliz resultado de su esmero é incesante di igencia en la educación y en señanza de los niños fiados á su cuidado,y corresponder al mismo tiempo…</t>
  </si>
  <si>
    <t>Recnemont</t>
  </si>
  <si>
    <t>…dante en gefe de lasf tropas empleadas en el sitio de Dantzick por una parte, y por la otra el conde de lleúde le? , general de división , el general de brigada d' Hericourt, y el coronel Recnemont, provistos de los respectivos poderes del conde Rapp, co mandante en gefe del décimo cuerpo del exército* akt. i.° ' Las tropas que componen la guarnición de Dantzick, y ocu pan los fuertes y reductos dependientes de la plaza, saldrán de ella con sus armas y…</t>
  </si>
  <si>
    <t>Recuero, Juan María</t>
  </si>
  <si>
    <t>Juan María Recuero</t>
  </si>
  <si>
    <t>…s quatro leguas de Madrid , tres de Alcalá y cinco de Guadalaxara. Los pre tendientes dirigirán sus memoriales circunstanciados al ayuntamiento por mano del alcalde constitucional D. Juan María Recuero, en el término preciso de 10 días. En la villa de Alcobenda* se halla vacante la plaza .de cirujano, que tiene de dotación 6465 rs. vn. Deberá tener dos mancebos para la barba ; debiendo pagar la rasura los vecinos que se afcyten en sus casas, los partos y cu…</t>
  </si>
  <si>
    <t>Reding</t>
  </si>
  <si>
    <t>…asegura que las potencias aliadas han reconocido la neutralidad de la Suiza. En capítulo de Arau, del 15 de diciembre, se dice que el Príncipe de Metternich ha dado su palabra al señor Reding de que el territorio suizo no será insultado. De Basiiea escriben que algunas personas que han tenido ocasión de ver á los diputados , aseguran que no solamente están contentos con su primera conferencia, sino que esperan que su misión tendrá un resultado fel…</t>
  </si>
  <si>
    <t>Regas, Antonio</t>
  </si>
  <si>
    <t>Antonio Regas</t>
  </si>
  <si>
    <t>…n electos: el Excfno. Sr. duque de Ilijais directorioD. Francisco Lopefc de1 Olavarrieta, subdirector; D. José,Martínez r de San Martin, censor Antonio Osterez yNario, secretario; D. Antonio Regas, contador; D. Fermín María de Uria Nafarrondo, tesorero; D. Anr tonio Sandalio Arias, archivero; D. Tiburcio Hernández, bibliotecario . ; r • . • , ■» ' ■ j ‘ • ■ &gt; • f * * En la villa de Chozas de Canales, distante ocho leguas de esta corte y quatró de Toled…</t>
  </si>
  <si>
    <t>Regente</t>
  </si>
  <si>
    <t>…Se asegura que el príncipe real de Suecia saldrá inmediatamente de París para regresar á Suecia, donde llaman á S. A. R. los asuntos de la Noruega, que aun no están terminados. El príncipe Regente ció ayer audiencia al duque de Grammont, que se presentó llevando en el sombrero escarapela blanca. Ayer también hubo en esta capital iluminación general para celebrar los gloriosos acontecimientos ocurridos últimamente en Francia. No hay me moria de otra ilu…</t>
  </si>
  <si>
    <t>Regó, Tomas López de</t>
  </si>
  <si>
    <t>Tomas López de Regó</t>
  </si>
  <si>
    <t>…uioso recibimiento, que demostró con tiernas y cordiales expresiones de verdadera gratitud. La diputación de la universiiad literaria de la misma ciudad, compuesta de los doctores D. Tomas López de Regó, su actual rector, D. Venancio Dusmet, catedrático de concilios nacionales, D. NicoLs Heredero, de elo cuencia, D. Juan de la Dehesa, de instituciones civiles, y D. Francisco An tonio González, bibliotecario de S. M., tuvo el honor de felicitar á S. A. la Reg…</t>
  </si>
  <si>
    <t>…ados años para honor y gloria de la monarquía española.” El 21 faé admitida también á cumplimentar á S. M. una comisión de la universidad de Alcalá , compuesta dé su rector el Dr. D. Tomas López de Regó y de los Dres. y deanes D. José Ruperto Molina, de teología; Don Manuel Morales y Segoviaño, de jurisprudencia; D. Domingo Diez, de me dicina , y D. Patricio Ramírez, de artes, acompañados del maestro de ce remonias; y el expresado rector arengó asi: ,,Señor:…</t>
  </si>
  <si>
    <t>Regue, Antonio</t>
  </si>
  <si>
    <t>Antonio Regue</t>
  </si>
  <si>
    <t>…donde dictaba las providencias para la recolección de maíces y otros víveres, tanto para la fuerza de toda mi .divi ioncomo para ia que pudiera incorporárseme de la del mando del capitán D. Antonio Regue ra , con quien contaba , por haberle prevenido loexecutase: sil. aquella , fot*</t>
  </si>
  <si>
    <t>Reguera, José</t>
  </si>
  <si>
    <t>José Reguera</t>
  </si>
  <si>
    <t>…a chancillería de Valladojid, vacantes por haber sido ascendidos á regentes de Galicia y Canarias D. Manuel de Ileon Santos y D. Manuel Tadeo Delgado, á D. José de Coha y $aro y á D. José Reguera,,alcalde del crimen d la misma; y para sus resoltas á D. Juan Nepomuceno Vela y D. Esteban Moyano: para la vara de Montoro á B. Francisco Xavier Rincón : para la de Cabra á D. Vicente Ruiz Morquecho: para la de Bui¡trago á D. Estanislao Guilarte; para la.de P…</t>
  </si>
  <si>
    <t>Regules, Cecilio de</t>
  </si>
  <si>
    <t>Cecilio de Regules</t>
  </si>
  <si>
    <t>…admitir el expre sado donativo'", sino quer ademas ha máiidado se lé&amp; den las gracias en su real nombre, y se inserte en la gazeta para que llegue á noticia de todos. r Igualmente D. Cecilio de Regules, escribano de numero de la villa de Vülárcayo, estimulado de su patriotismo y amoral Soberano, ha hecho á S. M. el donativo de 1500 rs. vn., asegurando que hubiera sido este mayor 4 no haberle saqueado sus bienes los enemigos, y cometido con él otras ve jacio…</t>
  </si>
  <si>
    <t>Reik</t>
  </si>
  <si>
    <t>…si tio en donde fue herido de muerte. En él deben depositarse sus piernas cu ya amputación le hicieron, y que han conservado en espíritu de vino. PRUSIA. Berlín p de Noviembre. El ministro Reik y el general Gaudi, encargados de tomar posesión de la Saxonia, salieron el 5 de este mes para Dresde. El último permanecerá alli hasta que se encargue del mando militar el. general conde Kieist de Noliendort Se prosiguen con mucha actividad los preparativos…</t>
  </si>
  <si>
    <t>Rementeria, Dionisio</t>
  </si>
  <si>
    <t>Dionisio Rementeria</t>
  </si>
  <si>
    <t>…el batallón veterano infantería de Valdivia, vireynató del Perú, retiro con agregación á aquella plaza al sargento mayor graduado de coronel D Ventura Garba ¡lo, y á los capitanes D. Dionisio Rementeria, D. Teodoro Negron y D. Juan de Dios Brito: en el de infantería voiun-^ tarios de Montevideo grado de teniente coronel, y retiro con el u o de uni forme de retirado y goce de fuero militar, al capitán D. Juan Fernandez: en el regimiento infantería Real de Lim…</t>
  </si>
  <si>
    <t>Remon, Manuel</t>
  </si>
  <si>
    <t>Manuel Remon</t>
  </si>
  <si>
    <t>…toria en la de Barrios; en Logroño en la de Bricva; en Valladolid en la de los hermanos Santander; en Sevilla en Ja de B.erard; en Cádiz en la de Picardo, y en Soria en la casa de D. Manuel Remon, del comercio: su precio 10 rs. vn. Estampas que representan los principales acontecimientos acaecidos en la. cor te en 1808, es a saber: primera la prisión del príncipe de la Paz: segunda la ab dicación del Rey Carlos iv á favor de nuestro augusto actual Sob…</t>
  </si>
  <si>
    <t>Renaldo</t>
  </si>
  <si>
    <t>…cabo á otro de la ciudad no se oía mas que un grito de ternura y de amor. En la puerta del Pópulo el senado ‘ romano detuvo algunos instantes el coche del soberano Pontífice, y ei Sr. Renaldo dé Bafáló le dirigió estas • - ' '*palabras•' „ Santísimo Padre; la religión triunfa, el mundo católico se regocija , .y especialmente Roma, que es la sillar del soberano Pontífice. Se refiere conti nuamente la magnánima constanqia^ie V. S. durante las vicisi…</t>
  </si>
  <si>
    <t>Rengel, Ramón</t>
  </si>
  <si>
    <t>Ramón Rengel</t>
  </si>
  <si>
    <t>…retirarse baxo el fuego de fusil del campo atrincherado. A las diez y inedia de la mañana me adelanté con quatro compañías de voluntarios de Asturias, mandadas por su coman dante D. Ramón Rengel, con el objeto de reforzar mi izquierda sobre el camino real, y amenazar el flanco de los enemigos, que atacaban los desta camentos avanzados del coronel Plasencia: las compañías de cazadores fue ron relevadas durante todo el dia, que siguió el fuego por comp…</t>
  </si>
  <si>
    <t>Rennigsen</t>
  </si>
  <si>
    <t>…cha de 25idel corriente» en que prescribe diferentes medidas con tra lós desertores del exército italiano; &gt; b v : v o’ '/r:f';v:;alemánh/ Hannéver 30 de Octubre. ' La, esposa del general Rennigsen ha; llegado aquí. So. marido, esté aun en Hamburgo, y debe hallarse en Berlín á tiempo que pase el empera dor Alexandro. Se asegura que el exércitó que manda este general, á quien provee el gobierno dinamarqués, tenia ya orden para marchar; pero no lo ha veri…</t>
  </si>
  <si>
    <t>Repnin</t>
  </si>
  <si>
    <t>…de formar causa á algunos subprefectos y á otras per sonas: varias han sido presas, y algunos profesores del colegio romano han perdido su empleo. ALEMANIA. Dresde £ de Junio. El príncipe Repnin, gobernador de Saxonia, seguirá en su mando has ta el nuevo arreglo que ha de hacerse en el congreso de Viena. Continua diciéndose que una parte de este reyno se reunirá á la Prusia, y la otra se devolverá al Rey, excepto la Turingia, que se dará ai duque de…</t>
  </si>
  <si>
    <t>Requena, Francisco</t>
  </si>
  <si>
    <t>Francisco Requena</t>
  </si>
  <si>
    <t>…al y Supremo Consejo de las Indias, salva la antigüedad que á cada uno* corresponden Sala primera de Gobierno. = El Duque de Montemar, Presi dente. = D. Miguel Calixto de Acedo. = D. Francisco Requena. = D . Josef Pablo Valiente. = D. Antonio Gamiz. = D. Antonio López Quintan i. = Don Francisco de-la-Vega.nD. Francisco de Arango. = D. Francisco Ibañez Leyva. = D. Juan Gualberto González, Fiscal. = D. Estéban Varea, Secre tario-= Sala segunda de Gobierno. =…</t>
  </si>
  <si>
    <t>…rdizabal y Uribe. Nómina de los Ministros de mi Real Cámara de Indias; = El Duque de Montemar, Presidente. = D. Miguel Calixto de Acedo. = D. Pedro Aparici. = D. Ramón de Posada. =D. Francisco Requena. =D. Josef Pablo Va liente. Madrid 2 de Julio de 1814. = Señalado de la Real mano de S. M. Circular del Ministerio de Hacienda. ,,He dado cuenta al Rey nuestro Señor del oficio de V. S. de 14 de Junio último, en que consulta si los granos procedentes de finca…</t>
  </si>
  <si>
    <t>Rerigel, Ramón</t>
  </si>
  <si>
    <t>Ramón Rerigel</t>
  </si>
  <si>
    <t>43$ Juan de Asas, capitán de Marina. D. Ramón Ayala, teniente de id. D. Juan Moreno, id de id. D. José Osorio, subteniente de id. D. Ramón Rerigel, te niente coronel, comandante de voluntarios de Asturias. D. Pablo Herce, capi tán de id. D. Andrés Pardo, a&gt; udante de id. D. Bernardo Pita , teniente de ¡d. IX Ramón Nuñez, id de id D. José Villamil, subteniente de id. D. Manuel Uznia, id. de id. D. Pedro…</t>
  </si>
  <si>
    <t>Resta</t>
  </si>
  <si>
    <t>…ales llegó aqui el 31 de Octubre. Se cree que perma necerá? en Roma unos 15 dias, y que en seguida irá á Ñapóles. Tres dias antes.habían salido para recibir á S. A. R. el teniente coronel Resta, de la milicia;pontificia, con un correo de gabinete expedido por el pro secretario de Estado, y juntamente varios piquetes de soldados que de bían servir de escolta. Alexandría de la Palla 6~ de Noviembre* Esperamos aqui de dia en dia al rey de Cerdeña. Se a…</t>
  </si>
  <si>
    <t>Reta, Fructuoso</t>
  </si>
  <si>
    <t>Fructuoso Reta</t>
  </si>
  <si>
    <t>…los tesorero , lectora! y doctoral, dignidades de aquella santa iglesia; en el partido de TruxíHo á D. Francisco Nágales, ma* yordomo del expresado cabildo4; éri el de Medéllin á D. Fructuoso Reta mar, y en Bejar á D. Andrés Ocaña; todos los quales están legítimamente habilitados para dar todas las instrucciones y noticias que puedan desear los compradores, á fin dé efectuar los contratos dé compra á la mayor breve dad , y con todas las seguridades de…</t>
  </si>
  <si>
    <t>Retamosa, Julián de</t>
  </si>
  <si>
    <t>Julián de Retamosa</t>
  </si>
  <si>
    <t>…S. M. cen la propuesta de S. A.; se ha servido nombrar para vocales de dicha junta á lós capitanes generales de la ar mada Fr. D. Antonio Valdés y D. Félix de Tejada, al teniente general Don Julián de Retamosa, al gefe de esquadra D. Francisco Mondragon, y por secretario al capitán de navio D. Tomas Barreda. Circulares del ministerio de Hacienda. T.n El Rey se ha servido dirigirme éLdecreto qué sigue:</t>
  </si>
  <si>
    <t>Reuss</t>
  </si>
  <si>
    <t>…los dos buques» y aun esto con la fortuna de nó haber perecido ninguna persona. La pérdida sufrida con este motivo se calcula que ascenderá á unos 12 millones de reaíes. S. A. el príncipe Reuss luego que supo esta desgracia acudió precipita damente al arsenal, en donde permaneció hasta que cesó él fuego, presi diendo los trabajos, y manifestando incesantemente el zelo por el bien pú blico, que le hacen tan recomendable. ESPAÑA. Madrid 7 de Noviembre…</t>
  </si>
  <si>
    <t>Revilíá, Jbsé María de</t>
  </si>
  <si>
    <t>Jbsé María de Revilíá</t>
  </si>
  <si>
    <t>…de.la villa de Chinchón, provincia de Madrid, y escribanía del nútnero de D. Pedro Fominaya, se siguén'autos de ocurrencia de acreedores á los bienes que en la misma posee eí Dr;:D. Jbsé María de Revilíá; capellán mayor del cabildo de capellanes de Ntra. Sra. dé ía Piedad de la misma"; y ausente de ella sin saber su paradero; en cuyes autos por uno del dia 14 del corriente, dado por dicho se ñor alcalde con acuerdo dé su asesor, se manda que para que llegue á…</t>
  </si>
  <si>
    <t>Revollar, Antonio de Ureña</t>
  </si>
  <si>
    <t>Antonio de Ureña Revollar</t>
  </si>
  <si>
    <t>$81 ESPAÑA. Colmenar de Oreja 16 de Mayo, Don Antonio de Ureña Revollar, maestro de primeras letras, aprobado por el consejo de Castilla, con permiso del ayuntamiento y del cura párroco de esta villa, celebró exámenes públicos de doctrina cristiana en la iglesia parroquial los quatro primeros domingos de quaresma con suma satisfa…</t>
  </si>
  <si>
    <t>Rey</t>
  </si>
  <si>
    <t>…u cuidado, y que por efe:to de la invasión francesa fueron pre sa de las circunstancias, dirigió desde luego su pr mera atención al colegio de sordo-mudos, é inmediatamente que el Sr. Rey D. Fernando vil volvió á ocupar el trono , le hizo presente la utilidad de esta enseñanza, y el inte res con que la refgion y el estado deben mirar un establecimiento destinado á convertir en hombres útiles á los que por la falta del oido y del h b!a estan como fuera de…</t>
  </si>
  <si>
    <t>…ón de las Prebendas vacantes á Eclesiástico alguno, mientras permaneciese en la Corte, á no tener en ella empleo ó domicilio fixo: cuya providencia, dictada por primera vez por el Sr. Rey D. Fernando vi en 1753, fue renovada por el Sr. D. Carlos ni en Diciembre de 1759, y ex tendida posteriormente en 1784, aun á aquellos Eclesiásticos que se hallasen fuera de su residencia en comisión de su misma Iglesia, á quienes se mandó que no pudiera consultarse hast…</t>
  </si>
  <si>
    <t>…c. &amp;c. A los del mi Consejo, Presidentes, Regentes y Oido res de mis Audiencias y Chancfllerías, Alcaldes, Alguaciles de mi Casa y Corte 8cc. &amp;c., sabed: Que habiendo entendido el Sr. Rey D. Feman do vi, mi augusto Tío, los graves perjuicios que sufría la causa pública por la poca observancia que habían tenido las Leyes y Pragmáticas de estos Rey nos, que tratan del aumento de Plantíos y conservación de Montes, por descuido de las Justicias en no execu…</t>
  </si>
  <si>
    <t>Rey, Faustino Beltran del</t>
  </si>
  <si>
    <t>Faustino Beltran del Rey</t>
  </si>
  <si>
    <t>…éndose con este objeto presentado al Rey nuestro Señor el 29 de Setiem bre último D. Miguel de León y Mendiola, presbítero, paborde, peniten ciario de su santa iglesia catedral, y D. Faustino Beltran del Rey, vecino de esta corte, pronunció el primero el discurso siguiente: „Señor: la antigua municipalidad de la isla de Menorca y particular de Ciudadela, que ha sido extinguida por la llamada constitución política de la monarquía, apenas por orden de V. M. ha sido…</t>
  </si>
  <si>
    <t>Rey, Félix María Calleja del</t>
  </si>
  <si>
    <t>Félix María Calleja del Rey</t>
  </si>
  <si>
    <t>…introducido en esta provincia. Dios guarde á V. E. muchos años. Hacienda de Puruarán 7 de Enero de 1814. A las diez de la noche. = Excmo. Sr.=Ciriace de Ltanv.zz, Excmo. Sr. virey D. Félix María Calleja del Rey. Madrid 2£ de May, Ayer tarde entró en esta capital el héroe británico lord Wellington en tre los vivas y aclamaciones de un pueblo reconocido, que jamas olvidará los inestimables beneficios que debe al ilustre vencedor de los Arapiles y de Vitoria. Desde fue…</t>
  </si>
  <si>
    <t>Rey, Fernando</t>
  </si>
  <si>
    <t>Fernando Rey</t>
  </si>
  <si>
    <t>2o68 En Oviedo....... D. Rub'ano y Nieto. En Orense....... D. Fernando Rey. En Lugo..i...... D. José María Gayoso.. En Patencia.... D. Marcelino de la Torre. Jim Palma...... D. Lorenzo Gibert. En Pamplona.. D. Miguel*D Echarri. ^ En Pías encía.. D. Joan Campo y Oliva. En Sevilla...... D. Nicolás Jo‘é Areipacochaga. En Segovia......…</t>
  </si>
  <si>
    <t>…...................... D. Juan Pomar. En Murcia......................... D. José Ubach. En Oviedo...................... .. D. Rubiano y Nieto. En Orense........................... D. Fernando Rey. En Lugo.............................. D. José María Gay oso. En Palenda....................... D. Marcelino de la Torre. En Palma........................... D. Lorenzo Gibert. En Pamplona..................... D. Miguel Echarri. En Piase neta.................…</t>
  </si>
  <si>
    <t>….¿..¿i.¿-i.’./.ICU.¿ D. Tomas Diaz Serrano* ,EniMdfkgae^.M.d:'^.d;v -D.-Júáft Pomar. ' '• *r J&gt;. íosé'Ubacb. * En Oviedo....D. Rubianó y Nieto. 'En Órense......................... D. Fernando Rey. Eii,Lugo'. '..... ...... D. José María Gayoso. jEntPaleficia.rr..,,....r..... D. Marcelino de la Torre* !Éú Palma.................. . D. Lorenzo Gibert. D.. M’guel Echarri, . : ¡ ; Plasencia.i..vi v D. ;Jp4n Campo y Oliva. En Sevilla.. . ¿ D. .Nicolás José A…</t>
  </si>
  <si>
    <t>Rey, Gabriel González</t>
  </si>
  <si>
    <t>Gabriel González Rey</t>
  </si>
  <si>
    <t>…que pueda di rigir su correspondencia aprovechando esta proporción. Por el juzgado del Sr. Vicente Gervasio, López, alcalde constitucional de la villa de Chinchón, y escribanía de D. Gabriel González Rey se sigaen autos de ocurrencia de acreedores á los bienes que en dicha villa y la de Arredondo per tenecían y pertenecen á D. Isidro Ruiz de las Canales, difunto, oriundo de aquel, y vecino que fue de esta; en cuyos autos por uno del dia 7 del corriente, dado…</t>
  </si>
  <si>
    <t>Reyes</t>
  </si>
  <si>
    <t>…llas, que jamas ha desamparado mi lado, con mis ayudantes de campo D. Isidoro Quintero y D. Mariano Arcaya. Igualmen te has acreditado su conocido valor el comandante de cazadores D. Reyes</t>
  </si>
  <si>
    <t>Reyn, Judas José</t>
  </si>
  <si>
    <t>Judas José Reyn</t>
  </si>
  <si>
    <t>…o debpróximo Mayo, que dirigirán los pretendien tes á aquel ayuntamiento. : 1 ¡ * v . (J , Arle de leer el castellano„y&gt;latín, dispuesto, para todas* las: escuelas del reviro ípor D. Judas José Reyn^^/cauéntgo de Sigüensá.^Véndesé'enrlaJihrcría, Je Perez y Castillo. En la? JiaHati las observaciones por dicho ¡autor. MADRID EN LA IMPRENTA NACIONAL.</t>
  </si>
  <si>
    <t>Reyna, Buenaventura</t>
  </si>
  <si>
    <t>Buenaventura Reyna</t>
  </si>
  <si>
    <t>3 2 i En el de Chachapoyas, de igual 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 Pinillos: el de teniente coronel á D. Pedr…</t>
  </si>
  <si>
    <t>Reyna, Juan López de</t>
  </si>
  <si>
    <t>Juan López de Reyna</t>
  </si>
  <si>
    <t>…Cis car. =En palacio á i.° de Marzo de 1814.__ A D. Juan O-Donojú. En virtud de providencia del tribunal de Cortes, de 14 del corriente, se cita y emplaza por el presente edicto á D. Juan López de Reyna, diputado por la pro vincia de Sevilla en las presentes Cortes, para que en el término de nueve dias si guientes al de la fecha se presenté á su disposición en esta corte, donde sé le co municará traslado de lo que resulte de la causa formada de orden de las…</t>
  </si>
  <si>
    <t>Reynett</t>
  </si>
  <si>
    <t>…esamos á la casa reynante de Inglaterra. La comitiva de este príncipe se compone de los señores conde de Schwicbeldt, gran chambelán, del teniente general de Decken, del te niente coronel Reynett, del inspector Bischoffshausen, del mayor Linsingen, y de los, capitanes Da vis y Prott. BAVIERA. Munich *7 de Setiembre. El príncipe Eugenio salió de aqui en la tarde del 2 5 con dirección á Viena • • ..... . •, c. .•" El feld mariscal príncipe de YVrede, qu…</t>
  </si>
  <si>
    <t>Reyrioso, Rafael</t>
  </si>
  <si>
    <t>Rafael Reyrioso</t>
  </si>
  <si>
    <t>…ue á dicho vínculo puedan co'réspond:r¡es, acud irán á deducirlos* la ciudad del Puerto de Sta.'Ma ría, ante D. Dionisio Rodríguez González, alcalde mayor de ella, y escribanía de D. Rafael Reyrioso, donde penden los autos. ' ' Los subscriptores á la historia de la revolución de Francia pueden acudir á re coger los tomos 7.0 y 8.°, y adelantar el importe del 9.0, en el almacén de papel de D. Santiago Grimaud', calle de las Carretas; y los que quieran sub…</t>
  </si>
  <si>
    <t>Riaza, Francisco Perales y</t>
  </si>
  <si>
    <t>Francisco Perales y Riaza</t>
  </si>
  <si>
    <t>…tedral de esta santa iglesia una so lemne misa y Te Deurn para dar gracias al Todopoderoso por la libertad de nuestro adorado Monarca y restitución al trono de sus mayores. El Dr. Don Francisco Perales y Riaza, canónigo de esta santa iglesia , al recordar en el elegante sermón que predicó la cautívidad'de nuestro Soberano, y la pérdi da del dignísimo obispo* que murió víctima de la ferocidad de los enemigos, supo expresar estos dolorosos acontecimientos, con tal en…</t>
  </si>
  <si>
    <t>Riaza, Manuel Lucas de</t>
  </si>
  <si>
    <t>Manuel Lucas de Riaza</t>
  </si>
  <si>
    <t>…illa de Escalona de Alberche, provincia de Toledo con el objeto de incorporarse en Taíávera de la Reyna, ó donde pudiese, á las tropas es« pañolas, se servirá avisarlo en Madrid á D. Manuel Lucas de Riaza, portería de las monjas Ballecascalle de Alcalá. Se desean noticias de Pedro Manuel Alvarez, natural de Montefrio, en el reytio de Granada: sábese que salió de dicha ciudad al tiempo que los enemigos entra ron en Andalucía;..que se hallaba en Valencia poco an…</t>
  </si>
  <si>
    <t>Ribas, Ignacio Rodríguez de</t>
  </si>
  <si>
    <t>Ignacio Rodríguez de Ribas</t>
  </si>
  <si>
    <t>…or Rascón .Cor nejo, Contador general de Valores; D. Luis Gacel, Contador general de la D ¡stribucion; D. Josef Martínez de Bustos; D. Felipe de Córdoba; D. Ma nuel Pérez de Lema; D. Ignacio Rodríguez de Ribas; D. Víctor. Soret, Tesorero general; D. Pascual Dávila; Contador general de Millones; Don Francisco López de Aícaraz, y D. Jacobo de Parga y Puga. Fiscales. D. Manuel de Lartiga, y D. Bernardo Mozo Rosales. Secretarios. D. Marcelo de Ondarza, de Gobierno; y D…</t>
  </si>
  <si>
    <t>Ribas, Jacinto</t>
  </si>
  <si>
    <t>Jacinto Ribas</t>
  </si>
  <si>
    <t>…e la expresada fragata había salido del puer to de Lisboa con dirección al de Burdeos; que su cargamento consistía prin cipalmente en cueros; y que el expresado buque pertenecía á D. Jacinto Ribas y á D. Domingo Deges, catalanes, naturales aquel de S. Quintin de Mediona, y este de Villanueva, y entrambos del comercio del mismo prin cipado : todo lo qual se anuncia al publico para que llegue á noticia de los interesados en la expresada fragata y su carg…</t>
  </si>
  <si>
    <t>Ribas, Manuel López de</t>
  </si>
  <si>
    <t>Manuel López de Ribas</t>
  </si>
  <si>
    <t>…de 1814. = Juan Aivarez Guerra. =Sr. gefe político de la provincia de Burgos. Por el juzgado de primera instancia del Sr. D. Domingo Benito Quintana,^- es cribanía de provincia de D. Manuel López de Ribas, se halla pendiente ¡a testa mentaría de D. Antonio Ballano, médico que fué en esta corte, en la que á instan cia de los síndicos de ella se ha señalado para celebrar junta general de todos los acreedores é interesados á la misma el domingo 6 de Marzo próximo…</t>
  </si>
  <si>
    <t>Ribera, Manuel Rodríguez</t>
  </si>
  <si>
    <t>Manuel Rodríguez Ribera</t>
  </si>
  <si>
    <t>…amiento de la M. N. y L. ciudad de Segovia por medio de sus comisionados D. Manuel de la Fuente, alcalde primero, Don Juan Manuel Cubero, regidor decano, D. Manuel Vázquez Araujo, Don Manuel Rodríguez Ribera, regidores, y D. Pedro Yagiie Delgado, pro curador general de la tierra, quienes tuvieron la honra de presentarse á S. M. y besar su real mano. Este dia tuvo igualmente el honor de cumplimentar á S. M. el limo, ca bildo de la santa iglesia catedral de Segovia…</t>
  </si>
  <si>
    <t>Ribera, Vicente</t>
  </si>
  <si>
    <t>Vicente Ribera</t>
  </si>
  <si>
    <t>…ingo de Perca y Arangoyti: para el. beneficio simple servidero de la parroquia de.-Stai María de Carraona, diócesis de Sevilla, vacante por falle cimiento'de-D,. José Valderas , á D. Vicente Ribera,cura párroco del Real sitio de S. Lorenzo, con retención del curato: para la media prestamera de Fazalcazareu la misma diócesis,. vacante por muerte de D. Manuel Moli na , á Dv Antonio Temprano; y para el beneficio servidero de la parroquia de $&gt; Martin de la…</t>
  </si>
  <si>
    <t>Ribicoa, Joaquín de</t>
  </si>
  <si>
    <t>Joaquín de Ribicoa</t>
  </si>
  <si>
    <t>….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 consejo de Hacienda, es la de antigüedad del mismo tribunal, entendiéndose desdeT.° de Abrí! último. El Rey nuestro Señor, á consulta d…</t>
  </si>
  <si>
    <t>Ribote, Manuel</t>
  </si>
  <si>
    <t>Manuel Ribote</t>
  </si>
  <si>
    <t>…tuvo igualmente el honor de cumplimentar á S. M. el limo, ca bildo de la santa iglesia catedral de Segovia por medio de sus diputados D. Agustín de Cáceres, dignidad de chantre, y D. Manuel Ribote, canó nigo doctoral de la misma, quienes tuvieron el honor de besar la mano á S. M. y AA., y arengar á S. M. el primero en estos términos: ,,Señor : el cabildo de la catedral de Segovia, aun en medio de la opresión dé los enemigos, conservó siempre la esperan…</t>
  </si>
  <si>
    <t>Ric, Pedro María</t>
  </si>
  <si>
    <t>Pedro María Ric</t>
  </si>
  <si>
    <t>…bastian. . f . Por real resolución á consulta de la Cámara ha nombradoS. M. para nna plaza del Consejo Reai, vacante por fallecimiento de D. Juan Antonio In— guanzo, y renuncia de D. Pedro María Ric, á D. Francisco Marín y Sán chez. Para la regencia de ia audiencia de Galicia, vacante por promoción de D. José de Navia y Bolaños á la de la extinguida audiencia de Madrid, á D Manuel de León Santos de San Pedro. Y para la de Canarias, vacante por traslación…</t>
  </si>
  <si>
    <t>Ricard</t>
  </si>
  <si>
    <t>…ar esperando la del mariscal Suchet. Entretanto este mariscal, rezelando que podria ocurrir alguna dilación en el arreglo del convenio con el mariscal Soult, habia enviado aquí ál coronel Ricard, del estado mayor de su exército, con el fia de tratar de un convenio para una suspensión de hostilidades con el exército de su inmediato mando; y \o en cargué al mayor general Murray y al mariscal de campo Wimpífen convi niesen con este oficial en los mismos…</t>
  </si>
  <si>
    <t>…a dicho efecto, á saber: por parte del marques de Wellington al mayor ge neral sir George Murray*, y al mariscal de campo.D. Luis WimpfFen ; y por pane del duque de la Albufera al coronel Ricard, ayudante comandan^ te. Estos oficiales', después de haber: cangeado mutuamente sus, respectivos poderes, han convenido en los siguientes artículos:; articulo i.° La báse establecida en el convenio de ayer 18 de Abril, y firmada por el mayor general sir Georg…</t>
  </si>
  <si>
    <t>Rico, Jacinto Rodríguez</t>
  </si>
  <si>
    <t>Jacinto Rodríguez Rico</t>
  </si>
  <si>
    <t>….” V El mismo dia besaron la mano y cumplimentaron á S. M., ú nombre del cabildo de la santa iglesia catedral de Zamora , D. José Mena y Junguito, dignidad de tesorero y canónigo; D. Jacinto Rodríguez Rico, igualmente canónigo, arengando á S. M. ei primero en los términos siguientes: „ Señor : el cabildo de vuestra iglesia catedral de Zamora tiene el honor de cumplimentar á V.M. en el milagroso y feliz arribo al trono de sus ma yores; oyó Dios sus incesantes vo…</t>
  </si>
  <si>
    <t>Riedinger</t>
  </si>
  <si>
    <t>…rdam. Puede ya considerarse libre la Holanda; de lo que se alegran los buenos franceses. Los fuertes de Carlsburgo y Blexen han sido tomados por un destaca mento á las órdenes del coronel Riedinger., auxiliado por un bergantín ingles del mando del capitán Farquhar: en esta ocasión se cogieron 20 oficiales, 534 sargentos y soldados, y 30 piezas de artillería. La navegación del Weser está ya libre. El pueblo de Stade, fuerte por hallarse situado en medio…</t>
  </si>
  <si>
    <t>Rieflfsky</t>
  </si>
  <si>
    <t>…ardias y las reservas sobre la carretera de Bondy á París,siguiendo el mariscal Blucher la carrete» ra de Sóissons para embestir á -Montmartre. , Todo salió á medida del deseo; el general Rieflfsky se posesionó en per sona de las alturas de Belleville, y sus tropas sobresalieron distinguidamente en sus repetidos ataques. El lugar de Pontin se tomó apunta de bayoneta, y las alturas inmedia tas á las de Belleville fueron asaltadas con la mayor gallardía p…</t>
  </si>
  <si>
    <t>Riega, Bernardo</t>
  </si>
  <si>
    <t>Bernardo Riega</t>
  </si>
  <si>
    <t>…aquín Colon............... Gerona, Vich y Calahorra. Sr. D. Manuel de Lardizabal. Zaragoza ^ Muesca y Albarracin* Sr. D. Antonio Viii.anucya. .......Grapada,* Gcadix y Almería. Sr D. Bernardo Riega.. ............. Tarragona,-Barcelona y TeruelSiv conde*;del Pinar.......... . V.alladolid, Paiencia y Tudela. Sr. D. José María Puig Lérida y Tortosa. Sr. D. Sebastian de Torres^,............. Salamanca, Avila y ZamoraSr. EL Domingo--Fernandez* Campomanes....…</t>
  </si>
  <si>
    <t>Riega, Bernardo de</t>
  </si>
  <si>
    <t>Bernardo de Riega</t>
  </si>
  <si>
    <t>…m; del Excmo. Sr. D José Colon, ex rector y honorario del mismo consejo ; del limo. Sr. D. Francisco de Mier, ex-cafedrático y obispo de Almería , del consejo de S. M.; del limo. Sr. Don Bernardo de Riega , ex-catedrático y del suprimido consejo y cámara de Castilla; del Sr. D. Tomas Moyano, ex-catedrático y del propio consejo; del Sr. D. Manuel María de Junco, ex-catedrático. y alcalde que fué de ca sa y corte; del Sr. D. Vicente Cabero, ex-catedrático y oido…</t>
  </si>
  <si>
    <t>…al de Castilla al señor duque del Infantado, y ministros del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 D. Miguel Alfonso Vilag…</t>
  </si>
  <si>
    <t>RieíLky</t>
  </si>
  <si>
    <t>…del sobredicho canal. La di posición del ataque de esta madrugada ha sido del modo siguiente: el príncipe real de Wurtemberg, que formaba la izquierda, marchó sobre Vincennes; el general RieíLky sobre Belleville; los guardias y las reservas sobre la carretera de Bondy á París,siguiendo el mariscal Blucher la carrete» ra de Sóissons para embestir á -Montmartre. , Todo salió á medida del deseo; el general Rieflfsky se posesionó en per sona de las altur…</t>
  </si>
  <si>
    <t>Rio, Jacinto del</t>
  </si>
  <si>
    <t>Jacinto del Rio</t>
  </si>
  <si>
    <t>…o en nombre de las Cor tes, y se retiró el gobernador á su posada con el mismo acompañamiento. Una diputación del ayuntamiento constitucional de la ciudad de Segóvía, compuesta de D. Jacinto del Rio , alcalde de segundo voto, de D. Josef Ca savan y D. Manuel Vázquez Araujo, regidores, y del procurador sín dico D. Melchor Andrés, con el apoderado general de la tierra, se presentó el 12 del corriente á felicitar á la Regencia del Reyno por su feliz llegada…</t>
  </si>
  <si>
    <t>Rio, Luis del</t>
  </si>
  <si>
    <t>Luis del Rio</t>
  </si>
  <si>
    <t>…uvo la honra de presentarse á cumplimen tar á S. M. una diputación de la V. O. T. de S. Francisco de esta corre, compuesta del Excmo, Sr. marques de Villafranca, ministro de ella; Don Luis del Rio y del Barrio, presbítero y coadjutor del ministro; D. José Pé rez Ochoa y Sevillano, presbítero y secretario de gobierno; D. Eusebio EU gueta Vigil de Quiñones, secretario de enfermería; D. Félix María de Zurbano, procurador general; D. Juan Agustín Lepez Mor…</t>
  </si>
  <si>
    <t>Rio, Narciso Gonzalo del</t>
  </si>
  <si>
    <t>Narciso Gonzalo del Rio</t>
  </si>
  <si>
    <t>…estro amado monarca el Sr. D. Fernando vn á territorio español, y que el pro ducto de ellas se aplicara al hospital General de esta corte, se han entre gado á su tesorero interino D. Narciso Gonzalo del Rio 7152 rs. y 32 mrs., que ha producido la venta de 22© exemplares de la primera, y 8400 déla segunda , habiendo la imprenta nacional con tan plausible motivo costeado los gastos de impresión, papel y operarios, á beneficio de tan loable objeto. Se halla vacante…</t>
  </si>
  <si>
    <t>…rid 22 de Junio. El 22 del mes próximo pasado tuvo el honor de besar la mano á S. M. ona diputación del ilustre consulado de Burgos, compuesta de los Sres. Don José Joaquín Colon, D. Narciso Gonzalo del Rio, el marques de Villacampo, D. Francisco Gutiérrez de la Huerta y D. Miguel de Corres; el primero de los quales habló á S. M. en los términos siguientes: „Señor: el consulado de Burgos&gt; primero y mas anriguo de Castilla la Vieja, y erigido por los Sres. Reyes…</t>
  </si>
  <si>
    <t>Río, Valentín del</t>
  </si>
  <si>
    <t>Valentín del Río</t>
  </si>
  <si>
    <t>…de su Real Cuerpo de In genieros , en atención á haber acreditado su idoneidad en los exámenes que han sufrido con arreglo á lo prevenido en la ordenanza del mismo Real Cuer po, á D. Valentín del Río, D. José Ortega y D. Francisco Belda, subte niente el primero, y cadetes los otros del regimiento Real de ZapadoresMinadores; á D. Antonio Porta, cadete deí regimiento-de infantería de Ansona; á D. Pedro Bayo, D. Mariano Bayo y 1&gt;. Rafael Lara, alumnos de la…</t>
  </si>
  <si>
    <t>Riój.i, Octaviólo</t>
  </si>
  <si>
    <t>Octaviólo Riój.i</t>
  </si>
  <si>
    <t>…/torecomendafiá :áV. E. paíá que se dignase apro * • ' ? ■ y ’ :barlo. - / :y: ’ Signe en Wcfctó dandó pruebas de ^batriotishro, y en unión del béneméího cura inteirrnodjá’chilhfr D. Octaviólo Riój.i / há atraído y desengañado á cinco pueblos, que componen 803 familias, que reguladas á cinco perso náis por fumi-Hay ascnintffen á 4015 ios indultados últimamente en la juris-</t>
  </si>
  <si>
    <t>Rioja, Antonio Perez de</t>
  </si>
  <si>
    <t>Antonio Perez de Rioja</t>
  </si>
  <si>
    <t>…Segovia en la de Ale jandro, en Burgos en la -de Villanueva y Hervías, en Valladolid en la de la viu da é hijos de Santander, en León en la de Alvarez Blanco, y en Soria en la de D. Antonio Perez de Rioja. Nueva táctica para los movimientos y maniobras de las compañías y esquadro* nes de caballería: un tomo en 8.u Se hallará en la librería de Calleja, calle de las Carretas , frente á la imprenta real; en Valladolid en la de Roldan; en Búrgos en la de Revilla ,…</t>
  </si>
  <si>
    <t>Rioja, Octaviáno</t>
  </si>
  <si>
    <t>Octaviáno Rioja</t>
  </si>
  <si>
    <t>…ico 27 de Agosto de 1813. Parte del corftandáfiié'D. Ahxandro Alvarez de Guitian al Exento. Sr. /"“/• . ; /- ' virey. ' " '' Excmo. Sr.: el cura interino de Tamasunchale bachiller D. Octaviáno Rioja, desetso de contener á sus feligreses en sus inveterados excesos, co mo que son tos primeros revolucionarios de todo este distrito, y de donde se propagó la insurrección á la sierra alta de Mextillan y toda la Huasteca, me propuso el? mes de Abril próximo pas…</t>
  </si>
  <si>
    <t>Riquelmé, Alexandro</t>
  </si>
  <si>
    <t>Alexandro Riquelmé</t>
  </si>
  <si>
    <t>…de D. Manuel de San Pedro Ordoñez, á Don Antonio Arango, sacristán mayor, dé la propia catedral. Asimismo el Rey nuestro Señor en atención á:los méritos y servicios del presbítero D. Alexandro Riquelmé, teniente de cura de la catedral de Ceu ta, ha venido en nombrarle para una radon de la misma iglesia, vacante por remoción de D. Agustín Mendez. El Rey se ha dignado conceder los honores de intendente de provincia á D. Antonio Hidalgoy Calvo, administrador g…</t>
  </si>
  <si>
    <t>Riquena, José</t>
  </si>
  <si>
    <t>José Riquena</t>
  </si>
  <si>
    <t>740</t>
  </si>
  <si>
    <t>…u buena opinión y fama la formación de dicho proceso, ni servirle de obstáculo á sus anteriores méritos y carrera. La he dado igualmente á S. M. de una representación posterior de D. José Riquena, apoderado ge neral de la ciudad y cabildo de Buenos-Ay res, en que, acusando de infor mal y falto de competente instrucción el referido proceso, solicitaba se de clarase nula la mencionada-sentencia, señalándosele tribunal donde delatar Solemnemente al marqu…</t>
  </si>
  <si>
    <t>Rise, Ramón</t>
  </si>
  <si>
    <t>Ramón Rise</t>
  </si>
  <si>
    <t>…S. AL y AA. una comisión de la Reai sociedad,patriótica de Aíadrid, compuesta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t>
  </si>
  <si>
    <t>Risel, Ramón</t>
  </si>
  <si>
    <t>Ramón Risel</t>
  </si>
  <si>
    <t>…análogo al objeto de ella. En seguida se hicieron por los seis opositores á los premios los «terciaos que prescribe el reglamento de esta escuela, en cuyo intermedio leyó tam bién D. Ramón Risel, socio protector de la misma, otro discurso sobre Jas ventajas del arte de taquigrafía. Concluidos los exámenes se procedió á la adjudicación de premios, y por todo* los votos se adjudicó el primero á D. Sebastian Eugenio Vela, y el segundo á D. Ramón de Dueñ…</t>
  </si>
  <si>
    <t>Ristory, Pedro</t>
  </si>
  <si>
    <t>Pedro Ristory</t>
  </si>
  <si>
    <t>…Ruiz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Juan Darrac, D. Bernardo Muñoz, D. José de Gardoqui, D. Ignacio María de Olaera, D. José de Quevedo Cheza, D. Tomas de Ayaide, D. Miguel Gasten,</t>
  </si>
  <si>
    <t>Riva, Pedro</t>
  </si>
  <si>
    <t>Pedro Riva</t>
  </si>
  <si>
    <t>…o ayuntamiento, y al cabildo de S. Isidro, y que se publicase en la gaceta el resultado de aquellas, para demostrar al público Ja perfidia dei gobierno intruso. Habiendo fallecido D. Pedro Riva , vecino que fué de Portugalete, se han echa* do menos por sus herederos siete vales reales, á saber: cinco de á 300 pesos, de la creación de 1.° de Enero de 1808, señalados con los números 113985 , 114235, 1 23905,124510 y 1 26753: uno de 600 pesos , de i.°…</t>
  </si>
  <si>
    <t>Rivas, Anselmo de</t>
  </si>
  <si>
    <t>Anselmo de Rivas</t>
  </si>
  <si>
    <t>…i?ual cfase D Ju;m de H,nestrosa&gt; Por Ingenieros....... Al Mariscal de^Campo D. Manuel Zappino. Par Artillería,....... Al Tejiente general D. José Cienfuegos. Por Intendente...... D. Anselmo de Rivas. Por Togado..i........ D. Esteban Antonio de Orellana. Por Político........... Ai Coronel D. Francisco Antonio Diz. Fiscal militar........ Al Mariscal de Campo D. Martin González deMenchaca# JA D. Luis Bertrán, Oficial mayor primero de mi Se¿tere ano.........…</t>
  </si>
  <si>
    <t>Rivas, Benito</t>
  </si>
  <si>
    <t>Benito Rivas</t>
  </si>
  <si>
    <t>2312 Se desea saber el paradero de D. Benito Rivas, hijo 4e D. Pedro y DoñaRo* sa.de Ogando, natural de Sta. María deBeariz, jurisdicción de Montes, arzobispal do de Santiago, en el reyno de Galicia. En el año de 1808 fue uñó de los cadetes literarios de la universidad de Santiago; después pasó al regimiento…</t>
  </si>
  <si>
    <t>Rivas, Carlos</t>
  </si>
  <si>
    <t>Carlos Rivas</t>
  </si>
  <si>
    <t>…adajoz en 1811 ; y como desde 1812 , en que escribió desde Charolles de Francia, no se haya sabido 'mas de él, se suplica á la persona que sepa de su paradero lo avise á su hermmó D. Carlos Rivas en dicho lugar de Beariz, poniendo el sobre por Orense, y eíi Mad rid á Domingo de Lama, calle de Luzon á S. Salvador, casa número 2 , «qiiárt° 3-° Se desea saber donde se halla Micaela Tolon con su hijo de siete años Julián Fernandez Soto, natural de esta co…</t>
  </si>
  <si>
    <t>Rivas, Juan Nepomuceno</t>
  </si>
  <si>
    <t>Juan Nepomuceno Rivas</t>
  </si>
  <si>
    <t>…ería de Mérida de Yu catán ha conferido la Regencia del Reyno la compañía de granaderos al ca pitán de fusileros D. Juan Esteban Arfian: compañías de fusileros á los sub tenientes D. Juan Nepomuceno Rivas, D. Tomas de Heredia, D. Rafael de Heredia, D. Alonso Aznar y D. Felipe de la Cámara: la subtenencia de granaderos á D. José Ireneo Guerra; y subtenencias de fusileros á D. Ma nuel Benito Quixano, D. Nicolás Ortiz, D. Agustín Sánchez, D. Arcadio Quixano, D. J…</t>
  </si>
  <si>
    <t>Rivero, José del</t>
  </si>
  <si>
    <t>José del Rivero</t>
  </si>
  <si>
    <t>…r coronel det regimienta de milicias urbanas de caballería de Chancay, en el vireynato dei Perú, al marques de Gasa-Boza, teniente coronel del propio cuerpo, y para esta fésulra á D. José del Rivero, comandante-del tercer esquadron del misma Asimismo se ha servido promover en el regimiento provincial de la La gunaú capitán de granaderos á D. José Guezala, y de fu-ñeros á D. Fran cisco Díaz y D, Francisco Peraza; á teniente de granaderos á D. Luis Mi rand…</t>
  </si>
  <si>
    <t>Rivero, Juan Antonio Vázquez</t>
  </si>
  <si>
    <t>Juan Antonio Vázquez Rivero</t>
  </si>
  <si>
    <t>…, á Don José María Arenas: para el beneficio simple de la parroquia de la villa de Santaeíla , en la propia diócesis de Córdoba, vacante por fallecimiento de D. Manuel Mucharan, á D. Juan Antonio Vázquez Rivero , con dimi ion del que obtiene en la parroquia de ia villa de Tinajas, diócesis de Cuen ca: para el arcedianato titular de la iglesia primada de Teledo, vacante por fallecimiento de D. Matías de Rebles, al Lmo. Sr. obispo de Orihuela, paniarca de las Indias:…</t>
  </si>
  <si>
    <t>Rivero, Mariano</t>
  </si>
  <si>
    <t>Mariano Rivero</t>
  </si>
  <si>
    <t>…Antonio Andueza, diputado por Chachapoyas; D. Tadeo Gárate, goberna dor, electo intendente de la provincia de Puno, diputado por la misma; D. Martin Muxica, diputado por Guamanga; D. Mariano Rivero, diputa do por Arequipa; D. José Joaquín de Olmedo, D. Vicente Rocafuerte, diputados por Guayaquil, y D. Pablo González, diputado por Tarma; de los quales el primero dixo : ,, Señor: ios que logramos el alto honor de presentarnos á V. M., hemos venido de las…</t>
  </si>
  <si>
    <t>Rivero, Pedro Inguanzo y</t>
  </si>
  <si>
    <t>Pedro Inguanzo y Rivero</t>
  </si>
  <si>
    <t>…y besar su real mano á nombre del cabildo de la santa iglesia de Oviedo sus dos Individuos D. Antonio Agudo y Andrade, arcediano de Benavente, dignidad de aquella santa iglesia, y D. Pedro Inguanzo y Rivero, doctoral de la mis ma; el primero de los quales entregó á S. M. una carta capitular relativa al asunto, y dixo: „ Señor: el cabildo de la santa iglesia de Oviedo, lleno de inexplicable jú bilo al ver que la divina Providencia, poniendo término á tantos males…</t>
  </si>
  <si>
    <t>Rlucher</t>
  </si>
  <si>
    <t>Num. 33. [ 5 qoartos.J 24c GACETA DE LA REGENCIA DE LAS ESPANAS DEL JUEVES 10 DE MARZO DE 1814. FRANCIA. Nan.y 20 de Enero. Habiendo entrado en esta ciudad el general Rlucher, comandante del exército de Silesia, los magistrados de ella le hicieron una arenga, á la que contesto el general con una declaración 6 manifiesto el mas importante qué hasta ahora se ha publicado. Este documento, que descubre por lo menos las miras de los pr…</t>
  </si>
  <si>
    <t>Ro</t>
  </si>
  <si>
    <t>…ha entrado en Portsmouth con su esquadra de vuelta de Cheiburgo. En el momento mismo.que salía de aquel puerto lle gaban 8© hombres de la guardia rusa, á las órdenes del teniente general Ro sen', á embarcarse en la esquadra rusa, y á bordo de los navios ingleses Leyde y Bucéfalo, para pasar en derechura á Rusia. Un olicial ruso que ha ve nido con el almirante Foote ha traído pliegos para el emperador Alexandro. Nuestros ilustres huéspedes han pa…</t>
  </si>
  <si>
    <t>Ro, Alonso de</t>
  </si>
  <si>
    <t>Alonso de Ro</t>
  </si>
  <si>
    <t>…esquadra y mayor general de ella; D. Juan de Urbina, mariscal de campo y segundo teniente de la compañía de Alabarderos; Don Rafael de Roxas, capitán de Reales Guardias Españolas; D. Alonso de Ro xas, capitán de fragata; D. Manuel Juano, teniente coronel del regimiente* de húsares de Aragón; D. Francisco de los Cobos, capitán del regimiento de la Princesa, y D. Pedro de Rosales, ayudante mayor del regimiento pri mero de Saboya, todos naturales de la c…</t>
  </si>
  <si>
    <t>Ro, Josef</t>
  </si>
  <si>
    <t>Josef Ro</t>
  </si>
  <si>
    <t>…de todas las tropas que tiene á su mando, de cuya conducta y valor se promete siempre iguales resultados; recomendan do en particular al bizarrísimo alférez de húsares de Cataluña D. Josef Ro dríguez , tantas veces recomendado; al comandante del mismo cuerpo Don Josef.Décreft, que-dirigió, la columna derefuerzoyaí teniente del regimiento infantería de Palma D. Josef María Cortés, encargado interinamente del estado mayor de la brigada, por el tino…</t>
  </si>
  <si>
    <t>Ro, Juan</t>
  </si>
  <si>
    <t>Juan Ro</t>
  </si>
  <si>
    <t>…n Gualberto González, Fiscal. = D. Estéban Varea, Secre tario-= Sala segunda de Gobierno. = D. Pedro Aparíci. = Conde de TorreMuzquiz. = D. Ignacio OmulrriannD. Cayetano Urbina. = D. Juan Ro bledo. = D. Francisco Xavier Caro. = D. Josef Aycinena. = D. Antonio Cal derón , Fiscal. = D. Silvestre Collar, Secretario. = Sala tercera de Justician D. Ramón de Posada.s= Di Francisco Josef Viaña. =D. Joaquín Mosque ra, =D. Antonio Salcédon Conde de Vista-…</t>
  </si>
  <si>
    <t>Roa, Josef de</t>
  </si>
  <si>
    <t>Josef de Roa</t>
  </si>
  <si>
    <t>…a y la anterior con retención? de las capellanías de Honor que sirven en la Real capilla: para una canongía , va cante en la iglesia metropolitana de Valencia por fallecimiento de D. Josef de Roa , á D. Josef de Urrutig., canónigo electo de la catedral de .Córdoba, y teniente vicario, general dél ¿puartó exército'de operaciones, con dimision del‘.beneficio pré tamo de Lpjgf8saa, cjue obtiene en ej obispado de-Piasencía : para la¡ expresada canongía, d…</t>
  </si>
  <si>
    <t>Roa, Manuel de</t>
  </si>
  <si>
    <t>Manuel de Roa</t>
  </si>
  <si>
    <t>…ía de la metropolitana de Valencia, vacante por fallecimiento de D. José Faustino Alcedo: á D. Luis de Exarque para otra de la misma, vacante por muerte de D. Francisco Vailejo: á D. Manuel de Roa para otra de la misma iglesia, vacante por fa llecimiento de D. Francisco María Vich; y para otra canongía de la metro politana de Valencia , vacante por muerte de D. Vicente Lloret, á D. Fran cisco Guinierá, canónigo de ia catedral de Segorve. El Rey se ha s…</t>
  </si>
  <si>
    <t>Róbeitson</t>
  </si>
  <si>
    <t>…lian tenido mas ocasiones de distinguirse. El capitán Ronca, oficial de mu cho valor , fue herido, y le sucedió en el mando el teniente Butler, que ma nifestó mucha actividad. El coronel Róbeitson debía encargarse de la derecha del ataque, si hu biese continuado el sitio. El teniente Rains , de la artillería real, dirigió eí fuego de los morteros con mucha inteligencia y efecto. El capitán ingles dél' regimiento 21.0, que me acompañaba durante las oper…</t>
  </si>
  <si>
    <t>Robertson</t>
  </si>
  <si>
    <t>…el exército austríaco en Italia, ha re mitido el oficio siguiente al conde dé Bathurst. Milord: habiéndose aumentado las tropas dé mi mando con un cuerpo ingles, á las órdenes del coronel Robertson, creo deber comunicar á V. S. sus operaciones ulteriores. Por mi anterior oficio habrá sabido V. S. el re sultado de mis movimientos hasta la toma de Fiume, y de mis primeras ope raciones en sus cercanías. Eugenio Beauhamois había colocado sus fuer zas princi…</t>
  </si>
  <si>
    <t>…, y al mismo tiempo se principiaron á construir las baterías. El 12. tomó la ciudad de Trieste el barón de Aspre, y adelantamos nuestros pues tos hasta el pie de las murallas. El coronel Robertson llegó de Lissa, y des embarcó con los destacamentos del regimiento 35.0 y los reclutas corsos» calabreses é italianos, con seis piezas de artillería de campaña y dos morteros* El 16 principió nuestro fuego, y el mismo dia por la tarde se ocupó el molino, que…</t>
  </si>
  <si>
    <t>Robles, Lorenzo Ruiz de</t>
  </si>
  <si>
    <t>Lorenzo Ruiz de Robles</t>
  </si>
  <si>
    <t>…y herederos' de D. Carlos Bahamonde, comisario de guerra, y vecino que fué. de la ciudad del Puerto de Santa María, y Doña María del Carmen Tobal, para que comparezcan ante dicho Sr. D. Lorenzo Ruiz de Robles á justificar el derecho que pueda corrcsponderles .en I^testam^ntaría de D? Manuel Carlos Bahamonde, que penden eii su juzgado, y escribanía de D. José Al vare z Perez. Lo$ subscriptores á las, ideas sueltas sobre la cleticia militar por él coronel Don Juan S…</t>
  </si>
  <si>
    <t>Rocafuerte, Vicente</t>
  </si>
  <si>
    <t>Vicente Rocafuerte</t>
  </si>
  <si>
    <t>…r, electo intendente de la provincia de Puno, diputado por la misma; D. Martin Muxica, diputado por Guamanga; D. Mariano Rivero, diputa do por Arequipa; D. José Joaquín de Olmedo, D. Vicente Rocafuerte, diputados por Guayaquil, y D. Pablo González, diputado por Tarma; de los quales el primero dixo : ,, Señor: ios que logramos el alto honor de presentarnos á V. M., hemos venido de las mas remotas y opulentas provincias de Ja Monarquía, animados por los mismo…</t>
  </si>
  <si>
    <t>Roche</t>
  </si>
  <si>
    <t>5»3 za, están may mejoradas por haberse empleado durante el bloqueo en re pararlas. Al salir del fuerte el general francés ha manifestado al general Roche y a los oficiales españoles que se hallaban presentes la gran satisfacción y alto aprecio que le ha merecido esta división por la conducta militar que ha observado durante el bloqueo y demas ocurrencias de este largo y penoso servicio. Madrid 27 de Mayo. El t…</t>
  </si>
  <si>
    <t>Roche, Felipe</t>
  </si>
  <si>
    <t>Felipe Roche</t>
  </si>
  <si>
    <t>…l, comandante enemigo de la plaza de Sagonto, haya establecido algunas bases de negociación, sobre las quales se esté actualmente discutiendo por el general comandante del bloqueo Don Felipe Roche. Se infiere esto porque se da por muy positivo que Rouhell y una parte de la oficialidad enemiga comieron el dia 5 en nuestro campa mento; pero esta noticia no tiene toda la exactitud necesaria para calificarla dé indudable.. &lt; Irun g de Marzo. i Entre las me…</t>
  </si>
  <si>
    <t>Rock, Timoteo</t>
  </si>
  <si>
    <t>Timoteo Rock</t>
  </si>
  <si>
    <t>…siguió esta dicha quando á las 12 dei dia vio á S. »M. corresponder con bs mayores muestras de regocijo á las enérgicas aclamaciones de los espectadores. ; Discurso que pronunció} D. Timoteo Rock, gobernador de la plaza de Tarragona f d S M. el Sr. D. Fernando yú di tiempo de.presentarle las llaves de la plaza. Señor: , - ... .. - 4, /■ ,/ ,, j Cpn qué gusto y satisfacción tengo el honor de saludar á V.yM«, y Sres. Infantes, y darles la bien venida í-…</t>
  </si>
  <si>
    <t>Roda, Ignacio Ramón de</t>
  </si>
  <si>
    <t>Ignacio Ramón de Roda</t>
  </si>
  <si>
    <t>…Alonso Ca ñedo y PVígíi ^dignidad de vicario de coro de la santa iglesia metropolitana de Toléddppsra el de León, que vaco por fallecimiento del limo. Sr. Don Pedro Luis Blanco, á D. Ignacio Ramón de Roda, canónigo pendenciarlo de la santa iglesia metropolitana de Santiago; para el arcedianato de Niebla, dignidad de la santa Iglesia metropolitana de Sevilla, vacante por muerte de D. Francisco Venegas, á D. José Morales y Carrero, canónigo de la iglesia catedra…</t>
  </si>
  <si>
    <t>Roda, Ramón de</t>
  </si>
  <si>
    <t>Ramón de Roda</t>
  </si>
  <si>
    <t>…el Sr. D. Vicente Cabero, ex-catedrático y oidor de esta real audiencia; del Sr. D. Gabriel Ugarte, ex-rector, catedrático de cánones y penitenciario de aquella santa iglesia; del Sr. D. Ramón de Roda, ex-cate— drático y penitenciario de la metropolitana de .Santiago; del Sr. D. Bonifa cio Tosamos , ex-catedrático y iectoral.de Sto. Domingo de la Calzada; del Sr. D. Valentín Zorrilla , ex-catedrático é inquisidor que fué de Santiago, Ír del R&lt; P. M. Fr. Ma…</t>
  </si>
  <si>
    <t>Rodii, Eusebio</t>
  </si>
  <si>
    <t>Eusebio Rodii</t>
  </si>
  <si>
    <t>…e. sz Señor B. Luis :W iiñpfi'en.,,i • La pérdida en sel referido asahodel Puntal ha consistido en un oficial muertó, quohlones1 el tebiente deb réghixien&lt;o de Voluntarios de León Don Eusebio Rodii&amp;uez, un soldado muerto, del. mismo regimiento y dos del de</t>
  </si>
  <si>
    <t>Rodrigo, Andrés de</t>
  </si>
  <si>
    <t>Andrés de Rodrigo</t>
  </si>
  <si>
    <t>…l y réditos todos sus bienes, acciones y derechos. Lá persona que con este objeto quisiere estipular con el expresado cabildo acudirá en ei Burgo de Osma á su secretario capitular D. Andrés de Rodrigo, y en esta corte á su apoderado D. Clemente de Cavia y Diez. A virtud de r¿al facultad por la audiencia del Sr. D. Manuel Fernandez Gam boa, teniente de corregidor en esta villa, y escribanía del número de D. Toma-: de Sancha y Prado, se venden á subasta 12 f…</t>
  </si>
  <si>
    <t>Rodrigo, Miguel Antonio</t>
  </si>
  <si>
    <t>Miguel Antonio Rodrigo</t>
  </si>
  <si>
    <t>…encia de Navarra á D. Francisco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 ia iglesia catedral de Guadalaxara á O. José Manuel Sanmartín; para ración en la misma iglesia á D. Toribio González, y para media ración á…</t>
  </si>
  <si>
    <t>Rodríguez, Alberto</t>
  </si>
  <si>
    <t>Alberto Rodríguez</t>
  </si>
  <si>
    <t>…d. D. Lorenzo As ease) ¿ teniente coronel del de Ribero. D. Bartolomé Sotelo, capitán de id. D. Joaquín Zarráélná ¿-subteniente de id. D. Ramón de Muniz, sargento mayor ac Oviedo. D. Alberto Rodríguez, capitán de id. D. Fermín Rol dan^ teniente de id. D. José Morrillo, subteniente de id. D. Vicente Castañon, capitán del i.° Cántabro D. Bernardo Alvarez Vega, capitán del idé Laredo. D. &lt;3ábriel González Llanos , capitán de id. D. Alberto Rozas, teniente dé…</t>
  </si>
  <si>
    <t>Rodríguez, Anastasio Joaquín</t>
  </si>
  <si>
    <t>Anastasio Joaquín Rodríguez</t>
  </si>
  <si>
    <t>1021</t>
  </si>
  <si>
    <t>…ccionar esta parte de nuestras fronteras. PORTUGAL. . Lisboa. 2&lt;5" de Agosto. Tenemos la satisfacción de anunciar al público, que el teniente coronel del rea! cuerpo de Ingenieros D. Anastasio Joaquín Rodríguez, encargado por eLGobiemcV para la importante diligencia de mejorar la navegación del Tajo desde Abrantes:hasta las fronteras de España, salió de esta villa con tres barcos y un faiuchiilo sin quilla con cargamento de barricas de sardinas, que S. A. R. dio ord…</t>
  </si>
  <si>
    <t>Rodríguez, Eusebio</t>
  </si>
  <si>
    <t>Eusebio Rodríguez</t>
  </si>
  <si>
    <t>…servicio en los mismos términos que hasta aquí. En esta ultima ocurrencia he tenido la dotorosa pérdida de uno de los valientes oficiales del regimiento de Voluntarios de Leou el teniente D. Eusebio Rodríguez», muer te sentida,por su coronel y todos sus compañeros de la brigada, é igual mente fue contuso el capitán de ingenieros británico D. Juan Wells, oficial cuya asistencia tne es muy útil por los conocimientos de su profesión y de este terreno. „ Durante todas…</t>
  </si>
  <si>
    <t>Rodríguez, Félix</t>
  </si>
  <si>
    <t>Félix Rodríguez</t>
  </si>
  <si>
    <t>…existencia ó total ruina de un hombre de honor y su familia, se suplica i la persona que pudiese co municar alguna luz sobre este asunto se sirva hacerlo sin dilación en Madrid á Don Félix Rodríguez, escribano Real con su oficio abierto en la Red de S. Luis, fren te á la calle de los Jirdines, y en la dicha villa de Barcarrota al caballero maestrante de Ronda D. Juan José de Tobar. Tratado y nuevo método curativo de las enfermedades gotosas y reumáticas…</t>
  </si>
  <si>
    <t>Rodríguez, Francisco</t>
  </si>
  <si>
    <t>Francisco Rodríguez</t>
  </si>
  <si>
    <t>…la ayudantía que este dexa al teniente de granaderos D. José Luis de Medina; esta vacante al de fusile ros D, Narciso Arascct; tenencia de fusileros ai subteniente de granaderos ' D. Francisco Rodríguez; esta resulta al subteniente de fusileros D. José Oiruytiner; y la subtenencia de bandera al cadete D. Castulo Guerra. * • • * • ■ ■&gt; * . ’ i , . . L -£ . * La fragataespañolaS. Juan Bautista, &lt;?apitan Arfarte, procedente del Callao de Lima con dinero y fruto…</t>
  </si>
  <si>
    <t>Rodríguez, Francisco Vegazo</t>
  </si>
  <si>
    <t>Francisco Vegazo Rodríguez</t>
  </si>
  <si>
    <t>…22 de Mayo amanecieron colgadas con mucha magnificencia las casas capitulares, en cuyo balcón se colocó el retrato de nuestro adorado Monar ca, é inmediatamente el alcalde primero D. Francisco Vegazo Rodríguez dió la voz de viva el Rey, á que contestó con repetidos vivas el inmenso gen tío que de este pueblo é inmediatos había concurrido: á este tiempo un coro de 18 niñas vestidas en forma de ninfas representando las 18 provincias de España, cuyas nombres llevaban…</t>
  </si>
  <si>
    <t>Rodríguez, Juan Miguel</t>
  </si>
  <si>
    <t>Juan Miguel Rodríguez</t>
  </si>
  <si>
    <t>…oldados: heridos quatro oficiales, seis sargentos:y 84 cabos yelda dos, y 18 soldados contusos. El oficial muerto es el teniente dq cazadores del regimiento de Voluntarios de León D. Juan Miguel Rodríguez; los quatro heridos són el ayudante D. Fidel Provecho, y el teniente í). Benito Trillo del referido regimiento de Voluntarios de León: los otros dos son el capitán D. Manuel Laguna,y el teniente LL José Montanos , ambos del re-; pimiento de • Monterey ; é igu…</t>
  </si>
  <si>
    <t>Rodríguez, Manuel</t>
  </si>
  <si>
    <t>Manuel Rodríguez</t>
  </si>
  <si>
    <t>…z, subteniente del 2.° de Asturias. D. Antonio Ruiz Alvarez, id de id. D. Jacobo Saavedfa, id. de id. D. Rafael Martínez, ayudante de Marina. D. Alexandró: Larrüa, teniente de id. D. Manuel Rodríguez, subteniente de vo luntarios de Asturias. D. Ramón Solís, teniente de la Corona. D. Antonio María de Castro, id. de id. D. Manuel Ramón Castell, id. de id. D. An drés Gayoso,, subteniente de id. D. Pedro Cid, id. de id. D. Lorenzo As ease) ¿ teniente coronel…</t>
  </si>
  <si>
    <t>Rodríguez, Mariano</t>
  </si>
  <si>
    <t>Mariano Rodríguez</t>
  </si>
  <si>
    <t>…o.ié María Lizarzaburu* D. Manuel María Muñoz y al soldado distinguido D. José Francisco de Leca. En ei de Luya y Chillaos el empleo de coronel al sargento mayor del propio cuerpo D. Mariano Rodríguez. En el de León* de Huanuco empleos de portaestandarte á D. José Isi dro Baldizan y I&gt;. José Cós. En las compañías sueltas de Santa empleos de capitanes al ayudante Don Ignacio Carrillo y al teniente D. José Félix Muñoz. En el regimiento de milicias disciplina…</t>
  </si>
  <si>
    <t>…0: el Dr. D. Juan Felipe Portu, prebendado de ídem, 25 : el Dr. D. Francisco Pantaleon Uztariz, cura ré'tor del sagrario de ídem, 24: D. Juan José de Cáceres, teniente de ídem, 4: D. Mariano Rodríguez, capellán de coro de idem, 6: el Lie. D. José Manuel del Pino, idem de idem, 2: D. Agustín de la Gala, idem dé idem, 4: el Dr. D. Juan d e Ta Cruz Eurrazquin , cura de Characato, 50: D. Antonio Tamayo, ídem de Sachaca, 10: el Dr. D. Manuei Mora</t>
  </si>
  <si>
    <t>Rodríguez, Miguel de Manuel y</t>
  </si>
  <si>
    <t>Miguel de Manuel y Rodríguez</t>
  </si>
  <si>
    <t>…úm. 10, quarto segundo, en donde darán rázon de un hijo que dexó este en ama durante el segundó .sitio de Zaragoza. Memorias para la vida defsanto Rey D. Fernando, dadas á luz por D. Miguel de Manuel y Rodríguez, bibliotecario primero de los reales estudios de Madrid. F1 nombre del P. Marcos Burriel, autor dé estas memorias, y las doctas adkiones con que el editor las ha ilustrado, y de que da razón en el prólogo, bastan para hacer recomendable esta obra: un tomo en…</t>
  </si>
  <si>
    <t>Rodríguez, Roque</t>
  </si>
  <si>
    <t>Roque Rodríguez</t>
  </si>
  <si>
    <t>…e J5° Pesos» de i.a de Setiembre, renovado en 1807, número 185112, y otro de 300 de la misma creación y renovación, número 174*6. Doña Isabel Rubio ignora e! paradero de su marido D. Roque Rodríguez, ca pitán, graduado de teniente coronel, .del rcgimunip de Navarra de infantería de línea, que era en 181 1 quando la rendición de la p!aza de O ¡venza, en don le fué prisionero y conducido á Francia, como lo certifica el teniente de granaderos del regimiento…</t>
  </si>
  <si>
    <t>Rodríguez, Vicente</t>
  </si>
  <si>
    <t>Vicente Rodríguez</t>
  </si>
  <si>
    <t>*328 ARTICULO BE OFICIÓ. El Rey nuestro Señor se lia servida admitir de D. Vicente Rodríguez, clérigo tonsurado, vecino del Cañaveral, partido de Cáceres, en Extrema* dura , la cesión que ha hecho de los réditos desde el año 1807 hasta el pre sente , correspóndíentes al capital de .70. á 80© rs. de vn., procedentes de las fincas eclesiásticas que pos…</t>
  </si>
  <si>
    <t>Rodríguez, Victoriano</t>
  </si>
  <si>
    <t>Victoriano Rodríguez</t>
  </si>
  <si>
    <t>…iles, D. Joa quín de la Croix y Vidal, D. Ramón Rise!, D. Luis Gabaldon, D. Anto nio Regás, D. Tiburcio Hernández, D. José María Celas, D. Francisco Fernandez, D. Antonio Osteret, D. Victoriano Rodríguez y D. Francisco de Paula Martí, maestro de dicha escuela, quien empezó las demostracio nes del arte, leyendo en Plinio un pasage histórico del emperador Trajano, á que siguieron la palabra del maestro seis discípulos del último curso, los quales después leyeron en los mismos caracteres taq…</t>
  </si>
  <si>
    <t>Rodrigufez, Antonio</t>
  </si>
  <si>
    <t>Antonio Rodrigufez</t>
  </si>
  <si>
    <t>…ría guiar á los discípulos de tan en vidiable escuela. Los que 'obtuvieron este premio fueron D. Diego Gires N iéto, D. Fructuoso' de Castro, D. José Aiatienzo, D. Vicente Aguado, D. Antonio Rodrigufez y D. Severiano García.' Los deinas discípulos fueron obiéqiítedo^'cop libros, cortaplumas y otros agasajos, por haberles conside rado a téáos dignos de prertiio; Por último él procuradorJsíndico D. Ansel mo Velo pronunció un elocuente discurso análogo á tes circunstancias, y dio las mas…</t>
  </si>
  <si>
    <t>Roeabjruna, Gaspar de</t>
  </si>
  <si>
    <t>Gaspar de Roeabjruna</t>
  </si>
  <si>
    <t>…lesias Barrantes , P. Ramón Losada Bernaldo de Quicós, J&gt;. José Fuentepita,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 consejo de Hacienda, es la de antigüedad del…</t>
  </si>
  <si>
    <t>Rohan, Luis de</t>
  </si>
  <si>
    <t>Luis de Rohan</t>
  </si>
  <si>
    <t>…acompañaban su gran chambelán, el conde Bubna, su escudero mayor; el conde Juan dé Traúttmansdorf; los generales barón Duka; Kutschera, primer edecán del conde Manuel Wratisia; el príncipe Luis de Rohan y el príncipe Pablo Ester3zi. Tres destacamentos de las guar dias de los nobles de' Alemania, de Hungría y de Bohemia formaban tam bién parte del ostentoso acompañamiento. El concurso de gentes en toda la extensión de Un camino tan largo era inmenso, y por to…</t>
  </si>
  <si>
    <t>Roiza</t>
  </si>
  <si>
    <t>…que llegue la artillería de sitio. La brigada del general Tomassich ha conquistado la Dalinacia: Zara sola se defiende todavía; tiene una guarnición de 800 hombres mandada por el general Roiza. El resto del exército enemigo se halla entre Mantua, Veróna y Rovigo. FRANCIA. Varis i.° de diciembre. El ministro de Justicia ha circulado el siguiente oficio á los jueces y tri bunales del imperio. „En estos dias de sobresalto, en que todos los franceses d…</t>
  </si>
  <si>
    <t>Rol, Fermín</t>
  </si>
  <si>
    <t>Fermín Rol</t>
  </si>
  <si>
    <t>…onel del de Ribero. D. Bartolomé Sotelo, capitán de id. D. Joaquín Zarráélná ¿-subteniente de id. D. Ramón de Muniz, sargento mayor ac Oviedo. D. Alberto Rodríguez, capitán de id. D. Fermín Rol dan^ teniente de id. D. José Morrillo, subteniente de id. D. Vicente Castañon, capitán del i.° Cántabro D. Bernardo Alvarez Vega, capitán del idé Laredo. D. &lt;3ábriel González Llanos , capitán de id. D. Alberto Rozas, teniente dé tiradores de Cantabria. D. Ped…</t>
  </si>
  <si>
    <t>Roldan, Diego</t>
  </si>
  <si>
    <t>Diego Roldan</t>
  </si>
  <si>
    <t>…compañías á los tenientes D. Mariano González, D. Gregorio Alagon, D. Mariano Cevallos y D. José Fernandez Peredo. En el de Chachapoyas subtenencia de bandera al sargento primero Don Diego Roldan. En el de León de Huanuco compañía de granaderos al de fusileros Don Francisco Ingunza: compañías de fusileros á los tenientes D. Manuel Anto nio de la Mata y D. José Jorge Duran: tenencia de granaderos al de fusi leros D. Vicente Caballero: tenencia de fusil…</t>
  </si>
  <si>
    <t>Román, Félix</t>
  </si>
  <si>
    <t>Félix Román</t>
  </si>
  <si>
    <t>…Fernando de Iturmendi. El Rey ha tenido á bien promover á subtenientes 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t>
  </si>
  <si>
    <t>Román, Rafael</t>
  </si>
  <si>
    <t>Rafael Román</t>
  </si>
  <si>
    <t>2012 cay del misrfio vireynato alférez comandité á D. Rafael Román , y tenien te coronel agregado á uno de los regimientos de infantería que se hallan en Lima a D. José Joaquín de ia Mat a. Igualmente por resoluciones de 30 de Agosto ult:mo se ha dignado S. M. aprobar todos los empleos, grados y de más premios concedidos por…</t>
  </si>
  <si>
    <t>Romea, Mariano</t>
  </si>
  <si>
    <t>Mariano Romea</t>
  </si>
  <si>
    <t>…y servicios de D. José Loreto de Torres, espitan del regimiento de infantería de Cuba , ha venido S. M. en conferirle el grado de coronel. ¡S. M. se ha servido también conferir á D. Mariano Romea la adfúinistraTcionf de rentas Reales de la ciudad de Alcalá de'Henares, en atención á $u decidido patriotismo, ‘ ‘ ’ * ■. f ;* ] ' * *-* * El cabildo de la Real iglesia^olegiál de Antequera ha hecho á S. M. la oferia de 2® ducados para?ocurrir a las presente…</t>
  </si>
  <si>
    <t>Romea, Policarpo</t>
  </si>
  <si>
    <t>Policarpo Romea</t>
  </si>
  <si>
    <t>…elegrin , con retención de la capellanía de honor que sirve en la Real capilla; para otra canongía de la iglesia catedral de Tarazona, por muerte de D. Gregorio López de Castro, á D. Policarpo Romea ; para uní ración de la catedral de Sigíienza, vacante por fallecimiento de D. Santiago Fernandez de Buínez, á D. Alexandro Bernardo Beltran , medio racionero de la misma iglesia; para el beneficio simple de S. Pedro de Huete, vacante por haber contraido matr…</t>
  </si>
  <si>
    <t>Romero, Antonio</t>
  </si>
  <si>
    <t>Antonio Romero</t>
  </si>
  <si>
    <t>…rejo; á primeros te nientes á D. Mariano López, de cazadores; y de fusileros á D. Manuel Menendez Vaídes, D. Pedro Zuíoaga y D. José González de Ribera; á segundo ayudante mayor á D. Antonio Romero; á segundos tenientes á D. José Joaquín de la Mata, de granaderos, al conde de Torrejon de ca zadores, y de fusileros á D. José de Osea, D. Andrés de Andrade, D. Ig nacio de Alava, D. Antonio María San Andrés y D. José Masón; á alfére ces, de granaderos á D.…</t>
  </si>
  <si>
    <t>Romero, Bartolomé Vivas y</t>
  </si>
  <si>
    <t>Bartolomé Vivas y Romero</t>
  </si>
  <si>
    <t>…por muerte de D. José de Castro, á D, Sebastian Nicanor Sánchez: para una media ración de la iglesia catedral de Córdoba, vacante por falle cimiento de D. Manuel García Serrano, á D. Bartolomé Vivas y Romero:</t>
  </si>
  <si>
    <t>Romero, José</t>
  </si>
  <si>
    <t>José Romero</t>
  </si>
  <si>
    <t>…res, y el decidido valor y entusiasmo de la tropa, la hacen digna de la mayor recomendicion-, siéndolo también en sumo grado los señores oficiales citados, no olvidando al alférez D. José Romero, que durante la acción desempeñó las funciones de ayudante. Dios guarde á V. S. muchos años. San Juan del Rio y Febrero 16 de 1814. = A las nueve de la noche. = Félix de la Madrid. = Sr. general en gefe del exército del Sur brigadier D. Ramón Díaz de Ortega.…</t>
  </si>
  <si>
    <t>…de Guadalaxara un soldado polaco puso en peder y confianza de un eclesiástico secular de la ciudad de Toledo una exeeutoria de ncbieza de sangre, obtenida en 1733 » vecino queÍ&gt;or D. José Romero de. Tejada y Artacho, natural de Madrid bé y hacendado en la. villa, de Ccgoíludo; y hallándose hoy en el del licen ciado D. Benito Saenz González , residente en dicha corte, c¿He ancha de Majaderitos, núm. 20» quarto baxo interior» se avisa á la persena legí…</t>
  </si>
  <si>
    <t>Romero, Manuel</t>
  </si>
  <si>
    <t>Manuel Romero</t>
  </si>
  <si>
    <t>…to Flores y D.-Anselmo Carabantes, y subtenientes de bandera á D. Juan Francisco Echeneguí y D. Miguel, Lara. En el de Voluntarios de Madrid , existente en Montevi deo, teniente á D. Manuel Romero, y subteniente á D. Pedro Antonio García. En el de Voluntarios de la misma plaza teniente á D. Diego Mar tín Martínez. En el de infantería ligera Voluntarios de Chiloe subteniente á D. Fermín.Perez. En el regimiento Real de Lima en el Perú subteniente de band…</t>
  </si>
  <si>
    <t>Romero, Mateo Casao y</t>
  </si>
  <si>
    <t>Mateo Casao y Romero</t>
  </si>
  <si>
    <t>…........ D. Francisco de la Mata. En Cádiz........................... D. Benito de la Piedra. En Cartagena................... D. Francisco Clivilles. En Ciudad- Real.............. D. Mateo Casao y Romero. En Córdoba........................ D. Rafael de Montis. En la Coruña,.................. D. Felipe Elorz. En Cuenca..........¡............... D. José Escolar y Noriega. En Canarias....................... D. Francisco María de Herrera» En Granada..............…</t>
  </si>
  <si>
    <t>Romero, Zacaríasf</t>
  </si>
  <si>
    <t>Zacaríasf Romero</t>
  </si>
  <si>
    <t>…de Alcalá de Henares á D. Joaquín Zeñgotita y Benoa: para el corregimiento de Lerma á D. Pedro Tagle Velarde: para el de -orea á D. José Guillen de Toledo: para el de Alcaudete á D. Zacaríasf Romero: para la vara segunda de Córdoba á D. Manuel Berríardino Perez y López: para la de León á D. Juan.de la Peña Medrano: para la de Sala manca á D. Vicente Calvo: para el corregimiento de G.uadix á í&gt;. Agamia Tosamos y Labrada: para el de Cuenca á B* Dionisio Ga…</t>
  </si>
  <si>
    <t>Romo, Judas Josef</t>
  </si>
  <si>
    <t>Judas Josef Romo</t>
  </si>
  <si>
    <t>…villa;h¡»sta el dia último del presente mes, pues se ha de proveer el i.° de Marzo. Observaciones sobre la dificultad de la ortografía castellana, y método de sim plificarla: por D. Judas Josef Romo, canónigo de Sigiienza. En esta obra se de muestra que la ortografía no debe establecerse, suponiendo á los hombres gramáti cos y eruditos, y que los ortógrafos han seguido hasta ahora este sistema erróneo: ^después se propone un método para que todos escriba…</t>
  </si>
  <si>
    <t>Ronca</t>
  </si>
  <si>
    <t>…que dirigía en persona la construcción de las obras Y el fuego de las baterías. Entre las tropas inglesas de tierra , los calabreses lian tenido mas ocasiones de distinguirse. El capitán Ronca, oficial de mu cho valor , fue herido, y le sucedió en el mando el teniente Butler, que ma nifestó mucha actividad. El coronel Róbeitson debía encargarse de la derecha del ataque, si hu biese continuado el sitio. El teniente Rains , de la artillería real, dir…</t>
  </si>
  <si>
    <t>Ronda, Domingo BalmasedaAmaestrante de</t>
  </si>
  <si>
    <t>Domingo BalmasedaAmaestrante de Ronda</t>
  </si>
  <si>
    <t>I sor honorario de S. My en ejercicio del Sermo. 5r. Infante D. Carlos, el mariscal de campo de los reales exércitos D. José Duran y Barazabal , y Don Domingo BalmasedaAmaestrante de Ronda, comisionados por el ayunta miento de la M. N. y L. ciudad de Soria para felicitar á S. M. y AA. por su regreso al trono, tuvieron el honor de besar la mano á S. M. y AA.; y el primero de decir el discurso siguiente: „ Señor: la diputación del ayuntamiento de…</t>
  </si>
  <si>
    <t>Roo, José María</t>
  </si>
  <si>
    <t>José María Roo</t>
  </si>
  <si>
    <t>…ontera, diócesis de Sevilla, vacante por muerte de D. Antonio José de Menchaca, á D. José Lorenzo Berroudez: paTa una ración de la iglesia catedral de Cádiz, vacante pot muerte de D. José María Roo , á D. Juan José Díaz Franco: para el beneficio simple de la parroquia de la villa de Arcos de la Frontera, diócesis de Sevilla, vacante por fallecimiento de D. José Ortiz Sandoval,á D. Gonzalo María del Rio y Carrillo: para la prestamera deTrebugena, en la m…</t>
  </si>
  <si>
    <t>Rooke</t>
  </si>
  <si>
    <t>…la que nos inutilizaba enteramente aquel paso. No volví á oir hablar de-esto destaca mento, y le consideré como perdido, habiéndole cortado la comunicación el enemigo. El teniente coronel Rooke, con una partida de Guardias del tercer regi miento, fué destacado después con la misma dirección; arrojó al enemigo dé la muralla intermedia; y llegó á la: puerta, donde.conoció que era inútil emprender cosa alguna, y se aseguró que la obra exterior estaba a…</t>
  </si>
  <si>
    <t>…a una porción de comisarios que están ocupados en repartir estos objetos, por las fortalezas. 1 ; ! ^ . v i • .&lt; • GRAN BRETAÑA. Londres j 4 de Noviembre. Escriben de Malta que el coronel Rooke * del regimiento núm. ip.° de húsares, qne hace poco tiempo mürió en Chipre, ha dexado una preciosa colección de medallas y de manuscritos, y que luego que. el cónsul de S. M&gt; en Smirna tuvo noticia de su fallecimiento, envió un genízaro á ConstantinopU para…</t>
  </si>
  <si>
    <t>Rorro, Diego Martin</t>
  </si>
  <si>
    <t>Diego Martin Rorro</t>
  </si>
  <si>
    <t>…ión de la dignidad y canongía que obtiene en la misma iglesia pri mada: para la abadía de S Vicente, dignidad de la propia iglesia, vacante por muerte de D. Pedro Nieto Herrero, á D. Diego Martin Rorro: para i«na canongía de la iglesia catedral de Calahorra, que resultará vacante por promoción de D. Fermín Francisco San Juan al arcedianato de Berberiego, dignidad de la&lt;mÍ9ma catedral, á D. Matías Antonio Gómez: para el bene-</t>
  </si>
  <si>
    <t>Ros, José Domingo</t>
  </si>
  <si>
    <t>José Domingo Ros</t>
  </si>
  <si>
    <t>…era que sea su suerte. &gt; . El dia 24 de Julio último tuvo la honra de presentarse á cumplimentar á S. M. una diputación de Venezuela, en la América del Sur, compuesta de los Sres. D. José Domingo Ros, fiscal de Real Hacienda1 por S. M* , y nom brado especialmente por Maracaybo, y D. Esteban de Palacios, del:Conse jo de S. M., ministro del tribunal de la Contaduría mayor; y tomando efe primero la palabra habló en los términos siguientes: „.Señor: las provi…</t>
  </si>
  <si>
    <t>Rosa</t>
  </si>
  <si>
    <t>…|a Cruz Matos y Guzrmn , vecina cjue'fué de dich^Villa ¿ ^ nattsráfdé la de 'PredraVttá, diócesis de 'Avila', se cita á &amp;s que sé:^resumítt dóH’dérechó#Ioé bi'éneS' deja insinuada Doña Rosa , para que le deduzcan éñ aqúeljtfzgiclo y términqdé tto dlis &gt; contados des de la publicación de esté anunció;} pas&amp;dó el cjtíal , siriifíascitacionni emplaza miento, se dará n los autos el curso.que. couixe&amp;póndfl según su naturaleza. Se h' lla vacante el p…</t>
  </si>
  <si>
    <t>Rosales, Bernardo Mozo</t>
  </si>
  <si>
    <t>Bernardo Mozo Rosales</t>
  </si>
  <si>
    <t>…D. Víctor. Soret, Tesorero general; D. Pascual Dávila; Contador general de Millones; Don Francisco López de Aícaraz, y D. Jacobo de Parga y Puga. Fiscales. D. Manuel de Lartiga, y D. Bernardo Mozo Rosales. Secretarios. D. Marcelo de Ondarza, de Gobierno; y D. Alfonso de Ibarra, de MiUoiies. Ministros del Tribunal de Contaduría mayor. D. Pedro Regalado-de Garro; Marques de las Hormazas; D. Nicolás de Otamendi; D. Sebastian Jócano; D. Carlos de JEspinosa; D. Pab…</t>
  </si>
  <si>
    <t>Rosales, Pedro de</t>
  </si>
  <si>
    <t>Pedro de Rosales</t>
  </si>
  <si>
    <t>…. Alonso de Ro xas, capitán de fragata; D. Manuel Juano, teniente coronel del regimiente* de húsares de Aragón; D. Francisco de los Cobos, capitán del regimiento de la Princesa, y D. Pedro de Rosales, ayudante mayor del regimiento pri mero de Saboya, todos naturales de la ciudad de Antequera, y la mayor parte de ellos heridos en la guerra que tan heroyeamente ha sostenido la nación. De estos el primero dirigió á S. M. el discurso siguiente: ,, Señor: la M…</t>
  </si>
  <si>
    <t>Rosel, Cándido García</t>
  </si>
  <si>
    <t>Cándido García Rosel</t>
  </si>
  <si>
    <t>…la haga el ayuntamiento sea aprobado por el mismo supremo tri bunal. Los profesores que aspiren á ella dirigirán sus memoriales á la escribanía del mismo ayuntamiento del cargo de D. Cándido García Rosel, y se presentarán á ls Oposición para el dia 31 de Enero de 1815. En esta corte en las librerías de Perez, calle de las Carretas, y en la de Novi llo, calle de la Concepción Gerónima, frente á la espartería de la cárcel, se halia de venta la disertación canón…</t>
  </si>
  <si>
    <t>Rosique, Asensio</t>
  </si>
  <si>
    <t>Asensio Rosique</t>
  </si>
  <si>
    <t>instrucción de S. Fernando; D. Bartolomé Aguilera, teniente de infantería de A! mansa; D. Manuel Starico, teniente del -i.°de Guadix; Jüan &gt;-Batitista Martínez y D. Asensio Rosique, alféreces de Navio; y á D. Fernando de Salas, D. Fermin Aguado y D. Carlos Benvenuti, cadetes del mismo real cuerpo. Por el correo de 8 del corriente desde Cádiz á Madrid se extravió un vale real de 300 pesos de la creación de f.° de Mayo de 1808 , con el nú…</t>
  </si>
  <si>
    <t>Rospigliosi</t>
  </si>
  <si>
    <t>…ciales aus-, triacos que entran en la plaza son recibidos con la mayor distinción. S. A. I. Fernando ni ha publicado.en Florencia una proclama, en la que anuncia haber nombrado al príncipe Rospigliosi gobernador general , pa ra que tome posesión de la Toscana , y se encargue de la administración de aquel pais hasta la llegada de S. A. Génova ay de Abril, 1 Sabemos de Roma que llego el soberano Pontífice á aquella capital el 21 del corriente, y que el gener…</t>
  </si>
  <si>
    <t>Ross</t>
  </si>
  <si>
    <t>…ón, de los maris cales de campo Pringle, Barnes, Bing yD.F. Le-Cor, y de los,brigadieres generales da Costa, Ashworth y Buchan. La artillería británica, á las órdenes del teniente coronel Ross, y la por tuguesa, á las del coronel Tullok, se distinguieron: y el teniente general sir Rolando Hill hace particular mérito de los servicios que los tenientes coró neles Bouverie y Jackson , asistente ayudante general, y asistente quartelmaestre general de s…</t>
  </si>
  <si>
    <t>…llegasen i Quebec dichos navios el día 8 de Agosto.’* ? •' El navio de $. 'Mí San Lorenzo ha llegado de las Bermúdás'e'n 12 dias y y dice que las*tropas de Burdéos , al mandó del general Ross, quedaban allí y debían salir de la islsi dos ó tres ¿fas después dé lar páriida^dél;mismo navio. El almirante Cochrane las seguirá de cerca. r r ■ El número de tropas que tenemos actualmente en el continente es mu cha mayor de lo qué comunmente se cree. Segú…</t>
  </si>
  <si>
    <t>2039 proteger en todo evento Ja retirada del exército victorioso del general Ross. Este exército se dirigió inmediatamente desde Washington á Baltimore; y según noticias se hallaba el 27 á 11 midas de esta ciudad, sin haber en contrado mayor oposición por parte de los americanos. Estas mismas noticias refieren que el general Ross habia exi…</t>
  </si>
  <si>
    <t>…diatamente volaron, quemando igualmente el arsenal y astillero, asi como to’dos ios: edificios?.públicos de las inmediaciones* á excepción de la casa del presidente, que ocupó el. general Ross, estable ciendo en ella su quartel general* y publicando en seguida una proclama, en la qual declaraba que serian religiosamente respetadas las propiedades particu lares, como se ha verificado exactamente, menos con siete de las principales casas inmediatas a…</t>
  </si>
  <si>
    <t>…, donde se fomenta el espíritu hostil contra la tng aterra; y con este designio la esquadra subd.por ei;?riq de Parapscot, con un, cuerpo de exército de 4® hombres, al &gt;m,indo del general Ross, que desembircó en North-Point. A seis indi i' de JBPtim &gt;re se Iiallabt atrincheni v un exército americano de mas de 6$ hombres, con 12 piezas de artillería; v haci ndo el reconocimiento d- esta posicio &gt; nuestro valeroso general Ross, r.-c bló uaa herida mo…</t>
  </si>
  <si>
    <t>…rohibida la extracción de harinas y granos en el Baxo-Canadá, excepto para la costa de Labrador. Se asegura que el mayor general Pakenham está nombrado para suceder al desgraciado general Ross en el mando de nuestro exército de América. Este valeroso oficial es cuñado del duque de Wellington, y hermano del conde de Longíbrd, y sé halló de ayudante general del exército ingles en lá última guerra de España : es un oficial de un mérito muy distinguido…</t>
  </si>
  <si>
    <t>Rossi, Buenaventura</t>
  </si>
  <si>
    <t>Buenaventura Rossi</t>
  </si>
  <si>
    <t>…istración de las rentas: cada uno entenderá en uno de los departamentos en que se ha dividido el reyno; y el Príncipe los ha puesto á cargo de D. Gaspar Leone, D. Félix Ferraloro, D. Buenaventura Rossi, y el duque de Serradifalco. PRUSIA. Berlín jo de noviembre. El Rey de Dinamarca envió embaxádores al Príncipe Bernadotte con proposiciones de paz, y la respuesta lúe que las oiría en territorio dinamar qués. A consecuencia volvió á pasar el Elba con 40© homb…</t>
  </si>
  <si>
    <t>Rostignaik</t>
  </si>
  <si>
    <t>…egaron á un puente que habia destruido el enemigo. Estimu lados de su denuedo, y deseosos de dar el asalto, muchos oficiales y solda dos se arrojaron al foso , donde perecieron el conde Rostignaik , gefe del re gimiento de SaarIow,~y el oficial que mandaba la colima. A pesar de esto, necesitó el general valerse de toda su autoridad para impedir que los solda dos continuasen el ataque. Entretanto la guarnición, recelando que se repi tiese la tentativa,…</t>
  </si>
  <si>
    <t>Rotrenberg</t>
  </si>
  <si>
    <t>…al Wiikinson luego que se certificasen que se dirigían hacia este lado. „Tengo la satisfacción de remitir á V. S. una copia del oficio del teniente coronel Marrisson para el mayor general Rotrenberg, que contiene las cifcircunstancias del ataque dado contra el cuerpo de obervacion de su mando por usía parte de las fuerzas americanas mandadas por el brigadier general Boyd , que ascendían á 40 hombres, el qual terminó en una completa der rota del enemigo,…</t>
  </si>
  <si>
    <t>Rou</t>
  </si>
  <si>
    <t>…arte del enemigo; pero el terreno era tan estrecho que las tropas no podían desplegar para atacar las alturas, á pesar de las repetidas tentativas que hicieron al intento el mayor general Rou y la brigada portuguesa del brigadier Vasconcelos;</t>
  </si>
  <si>
    <t>Roussel</t>
  </si>
  <si>
    <t>…ievant, díó con la retaguardia d:i príncipe .Mau ricio Lichtenstein, le cogió 6 cañones y 600 hombres de á caballo, que fue ron cortados por la valiente división de caballería del general Roussel. El 23 nuestras tropas cercaron á Troyes por todos lados. Un ayudante de campo ruso vinoá los puestos avanzados pidiendo tiempo para evacuar la ciudad , y que de lo contrario seria incendiada^ Est# consideración detuvo los -movimientos del emperador__-.La ciu…</t>
  </si>
  <si>
    <t>Rowley</t>
  </si>
  <si>
    <t>…. tiempo del sitio molestaron mucho á los artilleros enemigos que se presentaban en la muralla. El 23 se tomó á Schanza, y esta ventaja se debió principalmente á los esfuerzos del capitán Rowley. Inmediatamente se prin cipiaron tres baterías para cañones de á 18 y 32, y el capitán Be;enstil abrí© una trinchera, con que se formó la primera paralela á 200 toesas de distan cia. Se construyó ademas una batería de morteros en Schanza, y se colocó un. °bus…</t>
  </si>
  <si>
    <t>…que se apoderaron las tropas austríacas, y se colocaron dos obuses en esta posición avanzada. El fuego continuó con alguna interrupción hasta el 23 al medio dia, en cuyo tiempo el capitán Rowley habia hecho avanzar un canon dea 32 hasta 100 toesas del Schanza, donde habia un ediiicio fuerte con un ca ñón y algunos morteros, situado en una. altura, y cercado de un muro de unos 14 pies de elevación, con una guarnición de 60 hombres, mandada por un ofic…</t>
  </si>
  <si>
    <t>esquadra han cumplido con sn deber.__ El capitán Rowley, según su cos tumbre, se ha distinguido particularmente en todas ocasiones. He admirado su bizarría en el ataque del Schanza; asi como el valor y la actividad de los tenientes Hotham y Moore, y de Mr. Hibbert, guardia marina del Aguila. El capitán Angelo, del…</t>
  </si>
  <si>
    <t>Roxas, Antonio de</t>
  </si>
  <si>
    <t>Antonio de Roxas</t>
  </si>
  <si>
    <t>720 guarnición y personas de distinción del pueblo á la casa■ alojamiento del ex presado D. Antonio de Roxas * en donde se sirvió un espléndido y abundante refresco , al que se siguió una escogida orquesta. Ai mismo tiempo por todas Jas calles del pueblo discurrían músicas y danzas; por todas partes se arro jaban cohetes , y en todos los ángulos del pueblo no se oia…</t>
  </si>
  <si>
    <t>…sistieron todas las autoridades y corpo raciones del pueblo, haciendo mas lucido este acto la tropa de la primera di visión del exército de reserva, al mando del mariscal de campo D. Antonio de Roxas, que ai fin dé él saludó con tres descargas generales. Por la no che se ilpminó la fachada de la iglesia catedral, y se adornó con figuras ale góricas y otros ornatos, que servían á hacer mas ostentoso el retrato del So berano, que, colocado baxo un rico dose…</t>
  </si>
  <si>
    <t>Roxas, Diego Morejon y</t>
  </si>
  <si>
    <t>Diego Morejon y Roxas</t>
  </si>
  <si>
    <t>…presentarse y felicita* al Rey nuestro Señor y á los Sermos. Infantes los comisionados por la villa de Ubrique D. Manuel Ximenez Guazo, D. Francisco Molle, D. Ignacio Mu helena y D. Diego Morejon y Roxas; de los quales el primero dirigió á S. M. el discurso siguiente: ,,Señor: la villa de Ubrique , capital del cantón denominado del cen tro, en la serranía de Ronda , fue uno de los dos primeros pueblos que hi cieron correr por sus campos la sangre francesa, y…</t>
  </si>
  <si>
    <t>Roxas, Lorenzo de</t>
  </si>
  <si>
    <t>Lorenzo de Roxas</t>
  </si>
  <si>
    <t>…isco Mas de la Torre, á D. Diego José Llinas de Valencia: para el beneficio simple servidero de la parroquia de las Peñas de S. Pedro, diócesis de Cartagena, vacante por muerte de D. Lorenzo de Roxas, á D. Cayetano Puerta: para el de la igle sia parroquial de Cañete, en el obispado de Córdoba, vacante por faUecimiento de E&gt;. Diego Rafael'Caballero,'á D. Jorge Fernandez: para el arce dianato de Berberiego, dignidad de la iglesia catedral de Calahorra, vaca…</t>
  </si>
  <si>
    <t>Roxas, Rafael de</t>
  </si>
  <si>
    <t>Rafael de Roxas</t>
  </si>
  <si>
    <t>…premo de Indias; D. Francisco Florencio Mondragon, gefe de esquadra y mayor general de ella; D. Juan de Urbina, mariscal de campo y segundo teniente de la compañía de Alabarderos; Don Rafael de Roxas, capitán de Reales Guardias Españolas; D. Alonso de Ro xas, capitán de fragata; D. Manuel Juano, teniente coronel del regimiente* de húsares de Aragón; D. Francisco de los Cobos, capitán del regimiento de la Princesa, y D. Pedro de Rosales, ayudante mayor del…</t>
  </si>
  <si>
    <t>Roxo, María</t>
  </si>
  <si>
    <t>María Roxo</t>
  </si>
  <si>
    <t>…-Rodrigo. = Exemo. Sr. D. Juan O-Donoju.» Al paso dé las tropas del general Soult por las inmediaciones del rio1 Júcar en el mes de octubre/de i8r.a, saquearon la casa de campo de Doña María Roxo. En uno de los muchos baúles escondidos que descubrieron habia varios vales reales, de los qpales se han encontrado algunos hechos pedazos, y otros se han echado menos. No se sabe si los que faltan los quemaron ó se los llevaron; y por si alguno tuviese notic…</t>
  </si>
  <si>
    <t>Roxo, Martin Xavier</t>
  </si>
  <si>
    <t>Martin Xavier Roxo</t>
  </si>
  <si>
    <t>…ongía que obtiene en la catedral de Santiago: para el arcedianato de Lara, dignidad de la iglesia metropolitana de Burgos., vacante por fenecimien to de D. Manuel Ramírez y.Cid, á D. Martin Xavier Roxo , canónigo doc toral de la misma iglesia: para una ración de la catedral de Santander, va cante por fallecimiento de D. Juan Nepomueeno del Puerto, á D, Juan López Muñíz , cura párroco de la misma catedral; y para otra ración de la misma , vacante por muerte…</t>
  </si>
  <si>
    <t>Royer</t>
  </si>
  <si>
    <t>…Se presentaron también alienado varios oficios concernientes á los acon tecimientos de Suiza, en donde han sido ineficaces todos los ardides del mi nistro francés Talleyrand y del secretario Royer. „No solo, dice el sena dor Fontanes al senado, han violado los adiados la neutralidad de la Suiza, sino que enviaron á Mr. de Senft de Pilsach á pedir que los suizos renun ciasen al acta de mediación, añadiendo á esta demanda la declaración de que el exércit…</t>
  </si>
  <si>
    <t>Royo, Miguel</t>
  </si>
  <si>
    <t>Miguel Royo</t>
  </si>
  <si>
    <t>…99334» 400388,401580 y 402488 , á D. José Vocina y Carruana, á quien estaban endo sados; y no habiendo llegado á sus manos, se suplica al que los tenga los entre gue en Valen ia á D. Miguel Royo, de aquel comercio, y en Madrid á D. Julián Hernández Campo, que vive en la costanilla de los Desamparados en el corralón. Restauración de las plazas de Lérida, .Mequínenza y Moiuon por medio de una estratagema: dada al público por el capitán de cazadores de…</t>
  </si>
  <si>
    <t>Rozas, Alberto</t>
  </si>
  <si>
    <t>Alberto Rozas</t>
  </si>
  <si>
    <t>…. D. José Morrillo, subteniente de id. D. Vicente Castañon, capitán del i.° Cántabro D. Bernardo Alvarez Vega, capitán del idé Laredo. D. &lt;3ábriel González Llanos , capitán de id. D. Alberto Rozas, teniente dé tiradores de Cantabria. D. Pedro Villanueva, subteniente de id. Quártef general de Croix-Dorade 11 de Abril de 1814. = Estanislao Salvador; ' ■ * * ir - i I ■ ' I ‘ : ■ * .1 MADRID EN LA IMPRENTA NACIONAL.</t>
  </si>
  <si>
    <t>Rozas, José Perez de</t>
  </si>
  <si>
    <t>José Perez de Rozas</t>
  </si>
  <si>
    <t>…á D. Pablo de Arispe: para el de las merindades de Castilla la vieja á D. Luis Amonio del Campo: para que sirva interinamente el de Avila á D. Manuel de Toro: para el de Logroño á Don José Perez de Rozas: para tenientes de corregidor de Madrid á D. Manuel de Gamboa, D. Francisco Assin, D. Luis Gabaldon y López, D. León de la Cámara y D. Joaquín Almazan: para la vara de Burgos á D. Prudencio Fernandez de la Pelilla : para el corregimiento de Molina de Aragón á…</t>
  </si>
  <si>
    <t>Rubalcaba, Alexo Gutiérrez</t>
  </si>
  <si>
    <t>Alexo Gutiérrez Rubalcaba</t>
  </si>
  <si>
    <t>…de admirar el zelo que han mostrado los que han prestada el socorro, no es menos digna de elogio la inteligencia y serenidad que en tan grande peligro han mostrado el .coman dante D. Alexo Gutiérrez Rubalcaba y la oficialidad del buque. Todo estaba</t>
  </si>
  <si>
    <t>Rubín, Joaquín</t>
  </si>
  <si>
    <t>Joaquín Rubín</t>
  </si>
  <si>
    <t>…el capitán de Ja Legión D. Augusto Barón Quistorp, aunque ha salido sano, es mas obra de su suerte que efecto de in ferioridad en su conducta en este dia; y la de los subalternos D. Joaquín Rubín y D. Martin Cadoringa», pues cargó y dispersó dos veces con la ba yoneta al enemigo con un valor igual al que por muchas veces los han he cho señalarse en las acciones: el capellán de este mismo cuerpo D. Pedro Joaquin Ortiz, que en esta ocasión y en todas las acciones anteriores…</t>
  </si>
  <si>
    <t>Rubio, Cayetano</t>
  </si>
  <si>
    <t>Cayetano Rubio</t>
  </si>
  <si>
    <t>…D. Pedro Satué y Aiiué, abad y canooigo electo de la insigne colegial iglesia de Zafra; el Excmo. Sr* teniente general marques de Monsalú, gentilhombre del Sr. Infante D. Carlos; D. Cayetano Rubio y D. Juan Larriba, como diputados del ayuntamiento y corporacio nes de la villa de Zafra ; el primero de los quales arengó ¿ S. M. en los tér minos siguientes: ,,Señor: la villa de Zafra, en Extremadura, por medio de sus denta dos no puede dexar de felicitar á V. M. por' su fe…</t>
  </si>
  <si>
    <t>Rubio, Isabel</t>
  </si>
  <si>
    <t>Isabel Rubio</t>
  </si>
  <si>
    <t>…ación y renovación, números 121089 y 118213; uno de J5° Pesos» de i.a de Setiembre, renovado en 1807, número 185112, y otro de 300 de la misma creación y renovación, número 174*6. Doña Isabel Rubio ignora e! paradero de su marido D. Roque Rodríguez, ca pitán, graduado de teniente coronel, .del rcgimunip de Navarra de infantería de línea, que era en 181 1 quando la rendición de la p!aza de O ¡venza, en don le fué prisionero y conducido á Francia, como lo…</t>
  </si>
  <si>
    <t>Rubio, Juan</t>
  </si>
  <si>
    <t>Juan Rubio</t>
  </si>
  <si>
    <t>3 2 i En el de Chachapoyas, de igual 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 Pinillos: el de teniente coronel á D. Pedro José Cacho; el de comandante del tercer esquadton á D.…</t>
  </si>
  <si>
    <t>Rubna</t>
  </si>
  <si>
    <t>…fra del Sultán Mahmud. FRANCIA. París 6 de Enero de 1814. H biéndose presentado delante de la ciulad de Ginebra un cuerpo de 3® hombres de la vanguardia enemiga, á las órdenes del general Rubna , acu dió el prefecto á la guardia nacional, que constaba de 1800 hombres. El ge neral Jordy, que mandaba la plaza, la había puesto en estado de defensa con 14 piezas de artillería: la guarnición constaba de 1500 hombres, y habían salido de Grenoble otros 150…</t>
  </si>
  <si>
    <t>Rudiger</t>
  </si>
  <si>
    <t>…sa de su derecha al cuerpo del general Wrede. Lo cosacos que lleva el general Wittgenstein, desde que pasaron el Rhin han tenido bastantes encuentros ventajosos con el enemigo. AI general Rudiger se le encargó que el 7 se apoderase de Wauzenau. El enemigo abandonó la ciudad luego que vio que se aproximaba; pero se situó con 1© infantes y 500 caballos cerca de Henheim. El general Kudiger acometió á esta fuerza; mató 70 hombres, cogió dos oficiales y 60…</t>
  </si>
  <si>
    <t>Ruffo</t>
  </si>
  <si>
    <t>…enien te general prusiano Mr. de Knesebeck; el conde de Goertz, consejero ín timo de Saxonia; el príncipe heredero de Mecklemburgo Strelitz; lord Cleve; el príncipe de Wrede, y el comandante Ruffo, embaxador de Sicilia cerca de la corte de Austria. Pasan ya de 16© los extrangeros que han concurrido á esta capital con motivo del congreso; de suerte que muchas calles se han convertido en mer cado------Los Soberanos entran de incógnito, excepto el emperad…</t>
  </si>
  <si>
    <t>Rufi, Mariano</t>
  </si>
  <si>
    <t>Mariano Rufi</t>
  </si>
  <si>
    <t>…los Sermcs. Sres. Infantes D. Carlos y D. Antonio, uña diputación de la villa del Toboso, compuesta de D. Miguel Martínez Cano, caballero profeso del hábito de Calatrava; del Dr. D. Mariano Rufi no González, corregidor por S. M. de la villa de Tarazona de la Mancha, y de D. Manuel Maria González, vecino de la expresada villa del Toboso; el primero de los quales dirigió á S. M. el discurso-siguiente: ,,Señor: la villa del Tobóso, en la benemérita prov…</t>
  </si>
  <si>
    <t>Rufino, Antonio</t>
  </si>
  <si>
    <t>Antonio Rufino</t>
  </si>
  <si>
    <t>…s muteé, ló llevaron por medio de los vítores y aclamaciones mil veces y de mil modos repetidas á la iglesia parroquia!, en dende fueron recibidos S. M. y A A. por el-cura párroco D. Antonio Rufino, acompañado»de los- éapelíanes D. Feliciano Andrés y D. Blas Rubio. En seguid* $e cantó él Te T)eum:\e\ qual concluido, se de tuvo S. M. á examinar los destrozos que 1a barbarie y espíritu destructor de las húdstes fra«désas^h4bian hecho en esfé tempío y en l…</t>
  </si>
  <si>
    <t>Rufo, Alvaro</t>
  </si>
  <si>
    <t>Alvaro Rufo</t>
  </si>
  <si>
    <t>…iudad había unos 4® hombres preparados á resistirse. En Portsmouth había un terror extraofidinario , y muchos vecinos- se retiraban de sus casas. SICILIA. Palermo 2£ de Setiembre. D. Alvaro Rufo, nuestro enviado extraordinario y ministro plenipoten ciario cerca de la corte de Viena, ha escrito que había recibido en París, en donde se hallaba en aquel momento, la noticia de oficio del nombramiento deí conde de Narbona en calidad de enviado extraordina…</t>
  </si>
  <si>
    <t>Rúhle</t>
  </si>
  <si>
    <t>…entar los planes para la defensa de las fronteras de Alemania, y para él ar ma mérito nacional. iSe asegura que uno de los principales redactores de las tareas dé la junta será el coronel Rúhle, conocido por su diario intitu lado Palas, por su viage con el exército en 1809 &lt;&amp;c., y por otra obra que ha publicado en compañía del general Jomini. Escriben de Constantinopla, con fecha de 25 de Octubre, que se ha aumentado la familia del Gran Señor con. e…</t>
  </si>
  <si>
    <t>Ruiz, Átanasio Quintano y</t>
  </si>
  <si>
    <t>Átanasio Quintano y Ruiz</t>
  </si>
  <si>
    <t>…M. concederle los honores de intendente de exército por de creto del mismo dia. Y con igual fecha, en atención á los méritos y buenos servicios del contador honorario de exército D. Átanasio Quintano y Ruiz* contador, principal de rentas de la provincia de Murcia * y en consideración á los méritos de D. Sebastian Vicente de Solis, nombrado superintendente administrador* de la Real fabrica de cigarros de Alicante, ha venido S. M. en concederles los honores de int…</t>
  </si>
  <si>
    <t>Ruiz, Isidro</t>
  </si>
  <si>
    <t>Isidro Ruiz</t>
  </si>
  <si>
    <t>…illa de Chinchón, y escribanía de D. Gabriel González Rey se sigaen autos de ocurrencia de acreedores á los bienes que en dicha villa y la de Arredondo per tenecían y pertenecen á D. Isidro Ruiz de las Canales, difunto, oriundo de aquel, y vecino que fue de esta; en cuyos autos por uno del dia 7 del corriente, dado por dicho señor alcalde, se manda que para que llegue á noticia de los acreedores ausentes ó ignorados, y qualquiera otra persona que der…</t>
  </si>
  <si>
    <t>Ruiz, José</t>
  </si>
  <si>
    <t>José Ruiz</t>
  </si>
  <si>
    <t>…fonso, teniente de id. D. Félix del Arenal, subte niente de id. D. José Gómez, subteniente de tiradores de Cantabria. Contusos. D. Angel Vallejo, ayudante segundo de estado mayor. D. José Ruiz, subteniente del 2.° de Asturias. D. Antonio Ruiz Alvarez, id de id. D. Jacobo Saavedfa, id. de id. D. Rafael Martínez, ayudante de Marina. D. Alexandró: Larrüa, teniente de id. D. Manuel Rodríguez, subteniente de vo luntarios de Asturias. D. Ramón Solís, ten…</t>
  </si>
  <si>
    <t>…n capitán á D. Juan Buendia, teniente á D. Francisco Flota, y subteniente á D. José Julián Quixano. En el piquete de dragones del Cuzco, vireynato dél Perú, teniente co mandante á D. José Ruiz, En la partida de Asamblea de la villa de Char-</t>
  </si>
  <si>
    <t>Ruiz, Juan</t>
  </si>
  <si>
    <t>Juan Ruiz</t>
  </si>
  <si>
    <t>…risioneros de Nancy , donde permaneció hasta ei día 30 de Abril de 1812 , desde cuyo tiempo no se sabe de él. Si alguno supiese de su pa radero se servirá avisarlo en esta corte á D. Juan Ruiz, en la Puerta del Sol, núni. ó, tienda al lado de la confitería. * Se halla vacante el partido de cirujano titular de la villa de Medinaceli : sa dotación consiste en 400 ducados, pagados de los propios, y es partido solo de eítuche. El profesor quo quiera pr…</t>
  </si>
  <si>
    <t>Ruiz, Juan Bautista Sánchez y</t>
  </si>
  <si>
    <t>Juan Bautista Sánchez y Ruiz</t>
  </si>
  <si>
    <t>…de dos meses, contados desde la fecha de esta publicación, á D. Francisco Xavier Granados, se cretario de ayuntamiento de la. misma. El sugeto que supiese el paradero ó suerte de D. Juan Bautista Sánchez y Ruiz, que en el año de 1808 se hallaba en Madrid, y es natural de la villa de Elche, en elfeynó'tfé'.Vfcléiieia, se*servirá avisarlo a su hermana Sor Josefa Antonia'Sánchez 7 Ruiz, religiosa en el monasterio'dé Elche. Artículo escrito en Londres por D. Mariano Car…</t>
  </si>
  <si>
    <t>Ruiz, Juan José</t>
  </si>
  <si>
    <t>Juan José Ruiz</t>
  </si>
  <si>
    <t>…los méritos "qué .ella y su marido hait contraído durante J*i última guerra, sirviendo de^confidentes del gobierno español todo el tiempo que el enemigo ocupó la capital* , ‘ .. * D. Juan José Ruiz, cura párroco de Remos, provincia de Soria, de seoso de contribuir al alivio de las cargas del estado, hizo en 25 del mes de Octubre próximo pasado el donativo de 6©-rs. vn. y 50 fanegas de trigo, 6 su importe; el qual S. M. se. ha. dignado-mandar que se admi…</t>
  </si>
  <si>
    <t>Ruiz, Pablo</t>
  </si>
  <si>
    <t>Pablo Ruiz</t>
  </si>
  <si>
    <t>…de MiUoiies. Ministros del Tribunal de Contaduría mayor. D. Pedro Regalado-de Garro; Marques de las Hormazas; D. Nicolás de Otamendi; D. Sebastian Jócano; D. Carlos de JEspinosa; D. Pablo Ruiz de la Bastida. = Palacio n de Agosto de 1814. = Señalado de la Real mano de S. M. 2.0 Restablecido mi Consejo de Hacienda por decreto de hoy para en tender en Jos negocios contenciosos y gubernativos que tenia, y he puesto á su cargo; á fin de que el manejo d…</t>
  </si>
  <si>
    <t>Ruiz, Simón</t>
  </si>
  <si>
    <t>Simón Ruiz</t>
  </si>
  <si>
    <t>…sente, y asimismo á los ignorados y ausentes, á efecto de que por sí, ó persona en su nombre con poder bastante (que deberán antes exhibir en la escribanía de provincia que exerce D. Simón Ruiz), concurran á ella; apercibidos unos y otros que de lo contrario Ies parará el perjuicio que hubiere lugar en derecho. Por providencia del Sr. D. Manuel Fernandez Gamboa, juez letrado de pri mera instancia en esta villa, se ha mandado citar y emplazar á los p…</t>
  </si>
  <si>
    <t>Runkel, Príncipe de Wied</t>
  </si>
  <si>
    <t>Príncipe de Wied Runkel</t>
  </si>
  <si>
    <t>…se á ha ciudad ; donde quedó enteramente bloqueado^ El mariscal St. L&gt;yr conoció entonces que su situación era en extremo crítica, y el 6 de no viembre acometió al cuerpo del féld mariscal Príncipe de Wied Runkel, que bloqueaba la ciudad por la orilla izquierda del Elba. El proyecto del ene migo era penetrar hasta Torgau, y abandonar á Dresde como-indefendible;</t>
  </si>
  <si>
    <t>Rus, Mariana</t>
  </si>
  <si>
    <t>Mariana Rus</t>
  </si>
  <si>
    <t>…aleguí, mariscal mayor del Real cuerpo de Guardias de Corps: las personas que tuvieren noticias de él de fecha posterior á la batalla de Ocaña, se servirán comunicarlas á su muger Doña Mariana Rus, que vi ve en esta corte, calle del Norte, núm. 15. Se halla vacante la plaza de cirujano titular de la villa de Marchena, en el reyno y arzobispado de Sevilla, que consta de 2500 vecinos; su dotación son 9 rs. diarios cobrados mensualmente de los propios, ad…</t>
  </si>
  <si>
    <t>S, Infante</t>
  </si>
  <si>
    <t>Infante S</t>
  </si>
  <si>
    <t>…354 El general en gefe del primer exército ha dirigido al secretario interino del despacho de la Ouerra el parte siguiente': „Excmo. Sr. : S. M. el Sr. D. Fernando vil y el Sermo. Sr. Infante S&gt;. Carlos siguen el viagecon- dirección á esa corte sin la menor novedad en *u importante salud. El Sermo. Sr. Infante D. Antonio ha quedado hoy e&gt;n .batato con motivo de una ligera indisposición; pero según manifestaron los médicos á mi salida, podrá ponerse…</t>
  </si>
  <si>
    <t>S, Nuncio de S.</t>
  </si>
  <si>
    <t>Nuncio de S. S</t>
  </si>
  <si>
    <t>…distinguida consideración. Dios guarde á V. E* muchos años. =: Madrid 24 de Mayo de 1814. = Excmo. Sr. =B. L. M. de V.-~E. su mas atento seguro servidor =:£l duque de S. Carlos. =Sr. Nuncio de S. S.” Contestación del Sr. Nuncio. „ Excmo. Sr.: en el ultimo correo que llegó aquí en la tarde del 4 del corriente recibí el muy apreciable oficio de V. E., su fecha 24 dei pasadoj por medio de monseñor el delegado apostólico de Lisboa, á quien para ma yor seguri…</t>
  </si>
  <si>
    <t>…á quien corresponda para su cumplimiento. e= Señalado de la Real mano de S. M. = En Palacio á 18 de Agosto de 1814, = A D. Fran cisco de Eguía. Por Real orden comunicada al Excmo. Sr. Nuncio de S. S. por la prime ra Secretaría ¡de Estado, con fecha de 28 de Julio próximo pasado, mandó S. M.se restableciese, inmediatamente el.tribunal de la Rota , para que con arreglo, á la .bula de su institución exerza las facultades que le están conce dida?» y habiéndol…</t>
  </si>
  <si>
    <t>Sa</t>
  </si>
  <si>
    <t>…opolitana de Samiag,-.a b. r-annbeo \ en tura de Palacios; para una canongía de la reíenda santa iglesia me^&gt;poluana de. Burdos,¡ vacáñte por muerte de-D. Pedro V ícente l^ ir-iua D. Sa turnino de cStaZ María , con dimisión del. arciprestaugo ce Herrera rao Písuerga-j v del -beneficio de Cabañeros en. la diócesi de Zamora-^para otra teanonena de la santa i^esia metropolitana-de Santiago, vacante por Failech1 miento-'de-D; Pedro de Silva , á…</t>
  </si>
  <si>
    <t>Saavedfa, Jacobo</t>
  </si>
  <si>
    <t>Jacobo Saavedfa</t>
  </si>
  <si>
    <t>…teniente de tiradores de Cantabria. Contusos. D. Angel Vallejo, ayudante segundo de estado mayor. D. José Ruiz, subteniente del 2.° de Asturias. D. Antonio Ruiz Alvarez, id de id. D. Jacobo Saavedfa, id. de id. D. Rafael Martínez, ayudante de Marina. D. Alexandró: Larrüa, teniente de id. D. Manuel Rodríguez, subteniente de vo luntarios de Asturias. D. Ramón Solís, teniente de la Corona. D. Antonio María de Castro, id. de id. D. Manuel Ramón Castell, id.…</t>
  </si>
  <si>
    <t>Saavedra, Francisco</t>
  </si>
  <si>
    <t>Francisco Saavedra</t>
  </si>
  <si>
    <t>…ogos á upa legal. compensación ,, y., para que ¿uniera qu autos datos y noticias puedan convenir para proceder con madurez y fjéyar á efecto tan deseada empresa , nombra S. M.. al Sr. D. Francisco Saavedra,bien persuadido deque este acreditado ministro se animará de los de seos de que está inflamado el gobier.no ,:y dará en esta tan importante oca.sion nuevas pruebas de su zelo, actividad é instrucción. , En atención al mérito contraído en la guerra pasada ppr…</t>
  </si>
  <si>
    <t>Saavedra, José María Andion y</t>
  </si>
  <si>
    <t>José María Andion y Saavedra</t>
  </si>
  <si>
    <t>…á Don Gerorumo de Sarasa ,v para otro beneficio simple servidero de la parroquia de la vida de Utiel, diócesi de Cuenca, vacante por fallecimiento de Don Juan Bautista Emparan, a D. José María Andion y Saavedra; y para la prestamera de la parroquia de Sta. María de CUdavedo, en la diócesi de Oviedo, vacante por fallecimiento de D. Juan Manuel González, á D. Faus tino García Loredo. , En virtud de despicho requisitorio librado por el juez de letras de la ciudad de Se…</t>
  </si>
  <si>
    <t>Saborído, Juan</t>
  </si>
  <si>
    <t>Juan Saborído</t>
  </si>
  <si>
    <t>44 d'etes D. Rafael sobrino, D. Martin de Villota y Lérin, D. Dionisio Gis— bert y Moho, B. Juan Bonilla y D. Juan Saborído: el segundo á D. Ch ínente González, D. Ramón Gascón, D. Patricio Agüádó, D. JosefLacarirera, D Tomas Beni.tez y D. Josef Éorbiu y Góngora; y el Vo á D. Franéisco Xavier tara, D. Andrés Ortega, D. Juan ;Q'ues'adá y Vial, D. Juan Quesada Alaminos, D. Salvador…</t>
  </si>
  <si>
    <t>Sabugo, Fernando</t>
  </si>
  <si>
    <t>Fernando Sabugo</t>
  </si>
  <si>
    <t>…r la mano á S. M. y AA. una diputación del ayuntamiento de la ciudad de Alcalá de Henares, compuesta de los Sres. D. José Antonio Rayón, al calde; D. Lorenzo de la Torre, regidor; D. Fernando Sabugo, procurador síndico , y D. Esteban -Azaña , escribano, en cuya ocasión el primero pro nunció «^discurso siguiente; t ... k &gt;</t>
  </si>
  <si>
    <t>Sachen</t>
  </si>
  <si>
    <t>227 Infantería y caballería. El general Sachen avanza por el puente de St. Vincent. Quando el feld-mariscal recibió aviso de haber tomado áLangres el prín cipe Schwartzenberg, arrollando al enemigo hasta Verdun, St. Michel» Commercy y Víncouleurs, dio disposiciones para tomar por asalto á Tonl por el lado…</t>
  </si>
  <si>
    <t>…les subalter nos, municiones y bagages. Hemos hecho 6© prisioneros: lós demás fueren arrojados en una laguna, ó muertos en el campó de batalla. El emperador perseguía vivamente al general Sachen, que está separado del general Biucher. Nn estra pérdida ha sido muy corta,. pues se reduce á 200 hombres. Idem 12 de Febrero. Mr. Alfred de M'ontesquiou, ayudante de cam po del príncipe de Neufchatel, despachado por S. M. I., ha traído á S. M. la emperatriz…</t>
  </si>
  <si>
    <t>Sacken</t>
  </si>
  <si>
    <t>…os medios imaginables. Idem 2 6\ Los exércitos se refuerzan diariamente: ayer llegaron 16® infantes y 3$ caballos para el cuerpo del general Langeron, que es ya de 50® hombres* El general Sacken ha recibido también grandes refuerzos. ‘ Bremen 28 de Diciembre. Tenemos noticias de que pasaron el Rhin 200® hombres en Schaífusa, Lintzenburgo, Rhelnfeld y Brisac : por consiguiente se acabó la inacción en: que estuvieron- los exércitos por algunas semanas.…</t>
  </si>
  <si>
    <t>…a’ de Befort estaba observada por un destacamento. El general Blúchet había pasado él Rhin y ocupaba á Coblenza. El cuerpo ruso del general Lángéron estaba delante de Maguncia. El general Sacken en Openhéim , donde tomó seis caño'nes y,feo prisioneros. Ei general ruso St. Priest pasó el Rhin por mas abaxo de Maguncia. Ninguno de estos cuerpos ba encontrado una serH*</t>
  </si>
  <si>
    <t>…e Maizieres y Brien ne en presencia del exército enemigo, mandado por el general Blucher, y reculado en 40© hombres entre rusos y prusianos, estando los primeros á las órdenes del general Sacken. A las quatro de la tarde fué embestida la aldea de Brienne. El general Lefebvre-des-Noutes, que manda una división dé caballería de Ja guardia, y los generales Grouchy y Milhaud dieron va rias y vigorosas cargas al enemigo por la derecha del camino, y se apo…</t>
  </si>
  <si>
    <t>…ecibidos en el pue blo los aliados no impidió que lograsen su empresa , y á las io de la noche se rindió aquel al constante valor de las tropas rusas. Por la derecha del pueblo el general Sacken cogió mas de 20 piezas de artillería; se hicieron unos i® prisioneros, y la pérdida en muertos y he ridos fue muy grande. El príncipe real de Wurtemberg avanzó á Chau menil, y. verificó sú reunión con el general conde Wrede. Ei. primero co gió 6 cañones, y el…</t>
  </si>
  <si>
    <t>…e Schwartzenberg, arrollando al enemigo hasta Verdun, St. Michel» Commercy y Víncouleurs, dio disposiciones para tomar por asalto á Tonl por el lado de Vord. Con arreglo á esto el general Sacken hizo sus prepara tivos; pero quando el enemigo se vio cortado, se rindió al general conde Lecwen, en cuyo poder quedaron quatro piezas de artillería, 400 hombres y dos banderas. El cuerpo del general Sacken se pone mañana en movimien to para arrojar al enemig…</t>
  </si>
  <si>
    <t>Sackeñ</t>
  </si>
  <si>
    <t>…real de Wurtemberg, ademas de las fuer zas de su inmediato mando. Después de un reconocimiento, dio el mariscal las disposiciones siguientes para el ataque. El cuerpo del general barón Sackeñ tuvo orden de avanzar desde Trannes en dos columnas, la una con dirección á Brienne por el mi no de Dien vine, y la segunda hacia el pueblo de La-Rothiere. El cuerpo del general conde Giulay formaba la reserva de la primera columna, y el del general Ahufieí l…</t>
  </si>
  <si>
    <t>…y su estado mayor han quedado prisioneros; ademas se han cogido 40 cañones, 6© hom bres, caxones de municiones y bagages. Ayer 11 derrotó el emperador completamente el cuerpo del general Sacken, tomándole )Orcañones y io® hombres.” En celebración de estas noticias, que suponemos exageradas, ha habido salvas en la costa de Francia. El quartel general de los aliados estaba el 9 en Troyes, habiéndose re tirado Br&gt;naparte á Nogent-sur-Seine. Los prusian…</t>
  </si>
  <si>
    <t>…astiani y Arrigi, ademas del suyo propio. Él dia 6 el quartel general del feld-mariscal Bíucher estaba en Sandren* El 8 se trasladó de Vertus para Etoges, hallándose entretanto el general Sacken en Montmirail, y el general York en Chateau-Tierry, y el general Kieist en Chalons, marchando, todos contra el exército dé Macdonald, que se retiraba con 100 piezas de artillería. El 8 por la noche el quartel general del feld-mariscal Blucher se trasla dó á V…</t>
  </si>
  <si>
    <t>…, al saber la marcha del felá-mariscal Biucher en esta dirección, destacaría fuerzas á su retaguardia. „ En atención á esto se dieron las siguientes disposiciones: los cuerpos del general Sacken y dei conde Langeron debían marchar á CoulomierS. y Chaiily, y en seguida hacia Meaux. Los cuerpos de los generales York y Kieist, después de haber hecho alto aquella noche.en Reoais y sus inme diaciones, recibieron orden de dirigirse á Ferté-sous-Jouarre. El…</t>
  </si>
  <si>
    <t>…l príncipe Poniatowsky, que deben llegar 2IÜ mañana. Estos días ha pasado por aquí e! exército del conde de Wittgenstein, y S. E. ha salido esta mañana con su quartel general. El^ general Sacken pasó por aqui hace algunos dias con dirección á Varsovia. ITALIA. Coni &amp; de Agosto. Los montes de Stura y Doira se hallan enteramente infestados de nume rosas quadrilfas de malhechores, compuestas de facinerosos de todas las na ciones que durante estos último…</t>
  </si>
  <si>
    <t>Sackeo</t>
  </si>
  <si>
    <t>…ca de Claye , bas ta que logró arrojar al enemigo con gran pérdida de los bosques inmediatos á aquel sitio. Ayer todo el exército , menos los cuerpos del feld mariscal Wrede y del general Sackeo, colocados en .posición háeia Meaux, avanzó sobre París. En el intermedio, las escaramuzas fueron incesantes, pero el enemigo se fue re tirando dexándonos á Pantin sobre su derecha , y todo el terreno que hay delante de Montmartre por su izquierda. Parece que…</t>
  </si>
  <si>
    <t>Sacketi</t>
  </si>
  <si>
    <t>…ucher también pasó el Rhin, y está en posesión de Cobíentza. Ei cuerpo rmo de Langeron está enfrente de Maguncia en la ori lla izquierda del Rhin, quedando aun Casrel cubierto. El general Sacketi pasó aquel rio el i,.° de Enero, á presencia del rey de Pr sia, junto á Op pen} ieim; y asaltando el reducto, tomó seis piezas de artillería y 700 pri sioneros. El general ruso St. Priest lo pasó por mas abaxo de Maguncia: ninguno de estos cuerpos encontraron…</t>
  </si>
  <si>
    <t>Sacra</t>
  </si>
  <si>
    <t>…dar gracias á Dios Todopoderoso por tan feliz como dichoso acontecimiento; y á éste fin dispuso que en la mañana del 17 se celebrase una solemne misa , y cantase un Te Deum con el Señor Sacra mentado en la iglesia dél oratorio de S. Felipe Neíi, á la qual concurrió el tribunal, presidido por su provisor y vicario general, y un numeroso con curso de gentes de todas clases, que concurrieron igualmente á dar al Todo poderoso gracias por un acontecimi…</t>
  </si>
  <si>
    <t>Sacramen</t>
  </si>
  <si>
    <t>…stólica iglesia catedral en acción de gracias por la feliz restitución de nuestro Santísimo Padre Pió Papa vn á su silla de Roma lia celebrado en este dia una solenv e misa con el Señor Sacramen tado y Te Deum,con¡ asistencia del limo. Sr. obispo, autorid des, indivi duos del ayuntamiento; y^ prelados de algunas comunidades, habiéndose ilu minado en la noche anterior todas las casas de los vecinos. Madtid 2 o de Ju -Á¡ El ?c5 del mes&gt;próx?mQ pasacio…</t>
  </si>
  <si>
    <t>Sacramentado</t>
  </si>
  <si>
    <t>…cio de la venida de la Re gencia del Reyno á la capital, panteón glorioso de los primeros mártires es pañoles sacrificados en nuestra gloriosa revolución. La augusta presencia del Señor Sacramentado, y un excelente coro de música dieron toda la solem nidad posible á esta función. El ayuntamiento salió en cuerpo de la casa consistorial, cuya fachada principal estaba adornada con banderas nacionales y aliadas, y baxo de ellas una tricolor de un corsario ar…</t>
  </si>
  <si>
    <t>…iglesia imíjgné Colegial deGuinharens,' en Portugal, caballero del orden de ■&amp; Benito de Ávis. h r* 1 ^ ; El limo. Sr. arzobispo obispo vestido de pontifical salió á manifestar al Señor Sacramentado; después se cantó un solemne Te Ddiitn por la múdca* á que siguió la misa pontifical, en la que predicó «l canónigo magistral Un batallón del regimiento de Truxillo* con su coronel al frente, estu vo Formado én la hermosa plaza de S. Jüátt', en la qual está l…</t>
  </si>
  <si>
    <t>…dos en la parroquia de aquel sitio el de la Ascensión, dieron gradas al Dios de las misericordias por los prodigios qué ha obrado en favor de V. M., y ofrecieron ante las aras del Señor Sacramentado dirigirle sus fervorosas súplicas para que el reynado de V. M. sea semejante al de los Alfonsos, Fernandos y Felipes: asi lo haga Señor, el Altísimo, para que lleno de prosperidades, pueda V. M. proteger y amparar á aquellos reales establecimientos en alivio…</t>
  </si>
  <si>
    <t>Saenz, José de Azpeytia y</t>
  </si>
  <si>
    <t>José de Azpeytia y Saenz</t>
  </si>
  <si>
    <t>201 T iglesia catedral de Pamplona; y parra-«1 de Lugo, vacante por fallecimiento del limo. Sr. I&gt; Felipe Pelaez Caunedo, á D. José de Azpeytia y Saenz de ¿anta María, arcediano titular y canónigo de la iglesia catedral de Segó vía. El Rey se ha dignado promoverá tenientes generales de sus exércitos á los mariscales de campo D. Félix Calleja, actual virey de Nueva-España* al conde de Castroterreño, existente…</t>
  </si>
  <si>
    <t>Saenz, Juan Josef</t>
  </si>
  <si>
    <t>Juan Josef Saenz</t>
  </si>
  <si>
    <t>…den superior en la im prenta Real. Véndese á 2 quartos en el despacho de la misma. Ante los Sres. del Real y supremo consejo de Indias se siguen autos en ins tancia de súplica por D. Juan Josef Saenz de la Calle, vecino de Sevilla, y apode rado del mayor número de acreedores prestamistas del consulado de Cádiz, é igual mente por D. Aquilino Antonio de Salamanca, marques de Villacampo; !a du juesa de.Montemar y marques de los Llanos, y por Doña María Franc…</t>
  </si>
  <si>
    <t>Sagasti, Serafín</t>
  </si>
  <si>
    <t>Serafín Sagasti</t>
  </si>
  <si>
    <t>…de cumplimentar á S. M. una diputación de la ciudad de Estella, en el reyno de Navarra, compues ta del Lie. D. Miguel Insausti, abogado de los reales consejos, alcalde de ella, y D. Serafín Sagasti, procurador síndico de la misma; el primero de los quales dixo;</t>
  </si>
  <si>
    <t>Sai, José Coba y</t>
  </si>
  <si>
    <t>José Coba y Sai</t>
  </si>
  <si>
    <t>…ático actual de historia eclesiástica ; los Dres. D. Andies Aransai, D, Agustín Librero y D. Fernando Velez, capellanes de honor de S. M.; el Dr. D. Andrés Cerezo; los Sres. Dres. D. José Coba y Sai o y D. Francisco Crespo Rascón, del consejo de S. M., y el Dr. D. José Ca— franga, oficial de la secretaría de Gracia y Justicia. Habiendo el Excmo. Sr. duque de S. Carlos presentado la universidad á S. M. y A A., el diputado mas antiguo habló brevemente á S.…</t>
  </si>
  <si>
    <t>Saint-Marcq, Felipe de</t>
  </si>
  <si>
    <t>Felipe de Saint-Marcq</t>
  </si>
  <si>
    <t>…á bien suprimir. También ha notnbrádo S. M. para Capitán general de Guipúzcoa al Te niente general D. Juan Carlos de Areizaga, y para Capitán general de Ga licia al de igual clase D. Felipe de Saint-Marcq. Igualmente ha nombrado S. M. para la de Castilla la Nueva, vacante por haber pasado á Inspector general de milicias el Teniente general marques de Villanueva de Duero conde de Villariezo, al de igual clase D. José Arteaga. Asimismo ha conferido el Rey el Gob…</t>
  </si>
  <si>
    <t>Sainz, Francisco García</t>
  </si>
  <si>
    <t>Francisco García Sainz</t>
  </si>
  <si>
    <t>…atedral de Astorga; ' para el a'rcediahatb de Valpúestá , dignidad de la santa iglesia metropolitana dé Bureos, vacante por fallecimiento de D. Juan Manuel dei Ajo y Su. Ma ría, á D. Francisco García Sainz, cur;a párroco del.obispado de digu, nza; • ¿ára la ^baála «de Covarrubias,, dignidad de. la santa .ig^sia rtietropohiana de Eureos^. vacante por promopion de D. Joaquín de.Munua y iiu^te a una . canonsía de la santa iglesia metropolitana de Samiag,-.a b. r-a…</t>
  </si>
  <si>
    <t>Sainz, Manuel</t>
  </si>
  <si>
    <t>Manuel Sainz</t>
  </si>
  <si>
    <t>…ste en 7 rs. diarios, casa y el estipendio que mensualmente le produzcan sus discípulos. Los pretendientes á una y otra plaza dirigirán sus memoriales á su único alcalde ordinario D. Manuel Sainz. . Se desea saber el paradero de Doña Juana Escarza', ama de gobierno que fué en.el año de 1808 de D. Pedro González, comandante del resguardo de Vitoria. La persona que supiese su paradero se servirá comunicarlo en el almacén de aceyte de la plazuela de Sto.…</t>
  </si>
  <si>
    <t>Sak</t>
  </si>
  <si>
    <t>…del enemigo en esta dirección transversal. Se cree que este cuerpo avanzado haya venido de Sezane, y que pertenezca á Marmont. El general Kieist está entrando hoy aqui. El general barón Sak«en y el general York permanecerán proba blemente en su actual posición hasta que se reúnan todos los cuerpos. ,, Tengo la honra &amp;c. Vertus 9 de Febrero. = iY. Lonve 4.0 „ Siento el haber de participar á V. que la división rusa del general Atsúfief padeció muc…</t>
  </si>
  <si>
    <t>Saken</t>
  </si>
  <si>
    <t>…engo la honra &amp;c. Quartel general del exército de Silesia en Sandron á 6 de Febrero. = H. Ls'we” 2.0 „E1 feld-mariscal Blucher traslada hoy su quartel general á Etoges. El general barón Saken está en Montmirail, teniendo sus puestos avanzados dos leguas mas allá. El general York es de suponer que estará ya en Chateau-Tierry : el general Kieist se halla en Chalons; y el general Kapsiewitz, con las divisiones del cuerpo del conde de Langeron, viene…</t>
  </si>
  <si>
    <t>…ranzas de que muchos da estos últimos se reúnan con sus cuer pos. Hasta ahora no ha habido tiempo para tener noticia de ellos. i,El general York está en Chateau-Tierry; el general barón Saken en Ferté-Sous-Jouarre: el general Kieist , que se dirigió ayer con el general Kapsiewitz á Ferté-Champenoise, ha tomado posición en este pueblo. El feld-mariscal Blucher está con ellos esperando mas noticias acerca del mo vimiento del enemigo para determinar…</t>
  </si>
  <si>
    <t>Sal, Sebastian</t>
  </si>
  <si>
    <t>Sebastian Sal</t>
  </si>
  <si>
    <t>…Justicia, del estado de Castilla y corona de Ara gón; D................ secretario del Real consejo de las Ordenes; D. Manuel Gamboa, teniente mas antiguo de corregidor de Madrid; D. Sebastian Sal cedo, secretario y contador; y D. Tomas de Casado, tesorero interino ; y habiéndose reunido la primera vez el dia 4 del corriente, se avisa al público de orden de la misma para su inteligencia, y que los interesados puedan acudir con sus solicitudes al secret…</t>
  </si>
  <si>
    <t>Sala, Domingo</t>
  </si>
  <si>
    <t>Domingo Sala</t>
  </si>
  <si>
    <t>…aría del referido cabildo, donde se le manifestarán las condiciones é hipotecas sobre que po drá estipularse el convenio, ó en esta corte al diputado del mipmo cabildo el canónigo D. Domingo Sala, que vive calle de las Veneras, num. 3. En el día i.° del próximo mes de Octubre á las 10 de la mañana se ha rá en la Real escuela veterinaria de esta córte la anual abertura de estudios, y^desde ,ei siguiente se.dará principio á la enseñanza de 10 á 12. Los…</t>
  </si>
  <si>
    <t>Salaberry</t>
  </si>
  <si>
    <t>…de 7© hombres, á las órdenes del general Hampton, ha sido vergonzosamente rechazado de la frontera del Canadá el 28 de octubre por una legión franca de canadianos, mandada por el coronel Salaberry, que ha tomado una posición excelente en los bosques donde se halla atrincherado. El teatro de esta heroicidad ha sido en Chateaugay. El resul tado de la acción ha sido el haber obtenido las milicias licencia para volver á sus casas durante el invierno. S. A.…</t>
  </si>
  <si>
    <t>Salamanca, Aquilino Antonio de</t>
  </si>
  <si>
    <t>Aquilino Antonio de Salamanca</t>
  </si>
  <si>
    <t>…en ins tancia de súplica por D. Juan Josef Saenz de la Calle, vecino de Sevilla, y apode rado del mayor número de acreedores prestamistas del consulado de Cádiz, é igual mente por D. Aquilino Antonio de Salamanca, marques de Villacampo; !a du juesa de.Montemar y marques de los Llanos, y por Doña María Francisca Barructa y Galdona, D. Vicente Antonio Echaniz, Doña Francisca Xaviera Galdón», Don Joaquín Diego de Saracoiz, Doña María Concepción Antonia de Umendia, D. Vi…</t>
  </si>
  <si>
    <t>Salamanca, José</t>
  </si>
  <si>
    <t>José Salamanca</t>
  </si>
  <si>
    <t>…tan feliz en su reynado, que no tenga &lt;£ue dar ¡pruebas de su lealtad.** Igualmente en este dia tuvieron el honor de presentarse á cumplimentar á S. M. y AA. por la villa de Haro D. José Salamanca, tesorero de la pro vincia de Madrid, D. Valentín Zorrilla, ex-inquisidor de Santiago, y D. Antonio Blanco; y después de besar la mano á S. M., el primero le di rigió el discurso siguiente: ,,Señor; la villa de Haro, constante en los principios de amor, fidel…</t>
  </si>
  <si>
    <t>Salamanca, José Antonio</t>
  </si>
  <si>
    <t>José Antonio Salamanca</t>
  </si>
  <si>
    <t>…l Ages ta y Otamendi 40: D. Diego Ovanguren 12 : D. Juan Baptista Echegaray,, administrador de tabacos, 6: D. José Ncdar 12: D. Santiago Chaves y Villota 6: D. Tomas Castillo 6; y D. José Antonio Salamanca, cura vi cario de Puquina, 12. Total 1126 pesos. Real cédula de S. M. y señores del Consejo, por la qual se sinre aprobar el re glamento propuesto y formadlo para el reintegro de los bienes confiscados per el gobierno intruso, con lo demas que expresa. Véndes…</t>
  </si>
  <si>
    <t>Salas, Fernando de</t>
  </si>
  <si>
    <t>Fernando de Salas</t>
  </si>
  <si>
    <t>…; D. Bartolomé Aguilera, teniente de infantería de A! mansa; D. Manuel Starico, teniente del -i.°de Guadix; Jüan &gt;-Batitista Martínez y D. Asensio Rosique, alféreces de Navio; y á D. Fernando de Salas, D. Fermin Aguado y D. Carlos Benvenuti, cadetes del mismo real cuerpo. Por el correo de 8 del corriente desde Cádiz á Madrid se extravió un vale real de 300 pesos de la creación de f.° de Mayo de 1808 , con el número 483487; el que sepa de su paradero se ser…</t>
  </si>
  <si>
    <t>Salas, Jayme</t>
  </si>
  <si>
    <t>Jayme Salas</t>
  </si>
  <si>
    <t>…de la creencia de sus abuelos, y trabajando incesantemente aun las gentes mas principales, lograron últi mamente descubrirlo, y probada después legalmente su identidad ante ti Dr. D. Jayme Salas, arcipreste de Sta. María, dignidad de esta santa iglesia metropolitana, y vicario general por el obispado de Huesca , á cuya diócesis pertenece esté monasterio y parroquia, han vuelto á exponerse al culto de los fieles las venerables reliquias de estos santo…</t>
  </si>
  <si>
    <t>Salas, Josef Ignacio Joven de</t>
  </si>
  <si>
    <t>Josef Ignacio Joven de Salas</t>
  </si>
  <si>
    <t>…lla, se cita, llama y, emplaza á D. Ramón Josef de Arce, conde de Galvez, D. Miguel Josef de Ázanza , D, Gonzalo O-Farril, marquesa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t>
  </si>
  <si>
    <t>Salas, Mateo</t>
  </si>
  <si>
    <t>Mateo Salas</t>
  </si>
  <si>
    <t>…sanos. También la mia ha sido de cinco muertos y ió heridos. Hubo soldado que á pedradas hizo retirar á dos franceses, á pe sar de que se hallaban armados. El cadete de granaderos D. Mateo Salas,! después de haberse tirado á la bayoneta contra mas de veinte franceses que le cercaron, y defendídose de ellos con la mayor bizarría, fué muerto por no haber podido ser socorrido á tiempo; su pérdida ha sido generalmente sentida de todos por el valor, seren…</t>
  </si>
  <si>
    <t>Salas, Miguel de</t>
  </si>
  <si>
    <t>Miguel de Salas</t>
  </si>
  <si>
    <t>…e hubiere lugar en derecho. Por providencia del Sr. D. Manuel Fernandez Gamboa, juez letrado de pri mera instancia en esta villa, se ha mandado citar y emplazar á los parientes de Don Miguel de Salas , del comercio de ropería que fué de la misma, para que si creen tener algún derecho á sus bienes, acudan4 deducirle en el término de 20 dias, con tados desde el 10 del presente, ante dicho señor juez y escribanía del número de D. Antonio López de Salazar; y…</t>
  </si>
  <si>
    <t>Salazar</t>
  </si>
  <si>
    <t>…Sebas tiani en Madrid; continuó sirviendo hasta la invasión de las Andalucías, y entonces resolvió, penetrado de la justicia de nuestra causa, pasarse á la par tida patriótica del comandante Salazar. Destruida ésta por los enemigos, y habiéndose salvado de aquella catástrofe por:casualidad, continuó su servia ció en la partida del célebre D. Julián Sánchez , donde ha permanecido por el espacio de año y medio; pero habiendo adolecido de una enfermedad, de…</t>
  </si>
  <si>
    <t>Salazar, Antonio López de</t>
  </si>
  <si>
    <t>Antonio López de Salazar</t>
  </si>
  <si>
    <t>…ara que si creen tener algún derecho á sus bienes, acudan4 deducirle en el término de 20 dias, con tados desde el 10 del presente, ante dicho señor juez y escribanía del número de D. Antonio López de Salazar; y pasados sin haberlo hecho, les parará entero per juicio. : Poesías patrióticas dé D. Manuel Josef Quintana: segunda edición', corregid* y aumentada con las demas composiciones líricas y elegiacas del autor: un tomo en 8.°, impreso con todo gusto y esmero e…</t>
  </si>
  <si>
    <t>…ía de Zubiaga, residente que fué en esta corte, para que en el tér mino de 30 dias , contados desdeño de Julio último, acudan ante dicho señor juez por la escribanía del número de D. Antonio López de Salazar, por sí ó personas que les represante con poder bastante, á deducir las acciones y derechos que les convenga; con apercibimiento que pasado dicho término les parará el perjuicio que haya lugar. Por providencia del Sr. D. Manuel Fernandez Gamboa, teniente corr…</t>
  </si>
  <si>
    <t>Salazar, Francisco</t>
  </si>
  <si>
    <t>Francisco Salazar</t>
  </si>
  <si>
    <t>…iguiente tuvo igualmente la honra de ser presentada á besar la real mano y cumplimentar á S. M. una diputación del reyno del Perú en h América meridional, compuesta de los señores D. Francisco Salazar, briga dier de los reales exércitos; el marques deTorretagle, coronel del regimien to de la Concordia; D. Francisco Valdivieso y D. Dionisio Inca Yupanqui, diputados por Lima; D. Gregorio Guinea, deán de la Sta. iglesia deTruxiiio; D. Agustín Fernandez de Cór…</t>
  </si>
  <si>
    <t>…de la Vega, que Vacó por muerte de D. .Lorenzo Vázquez : para el.beneficio simple de Flellin , vacante por muerte del cardenal de la santa iglesia romana D. Hipó lito Vincenti, á D. Francisco Salazar en consideración al distinguido méri to y acrisolado patriotismo que ha acreditado en defensa del Rey y de la religión: para el beneficio simple servidero de S. Vicente de la ciudad de Avila, vacante por muerte dé D. Francisco Porquerizos, á D. Felipe Do míng…</t>
  </si>
  <si>
    <t>Salazar, Luis de</t>
  </si>
  <si>
    <t>Luis de Salazar</t>
  </si>
  <si>
    <t>…para secre tario de Estado y del Despacho de Hacienda á D. Cristóbal ae Góngora , presidente del tribunal mayor de Cuentas; y para secretario detes tado y del Despacho de Marina á D. Luis de Salazar, secretario de Estado y del Despacho de Hacienda. Circular del ministerio de Gracia y Justicia. ,,Informado S. M. de que la escandalosa persecución que han sufrido las órdenes religiosas, y la notoria injusticia con que las despojaron de sus conventos, iglesi…</t>
  </si>
  <si>
    <t>Salazar, Luis María de</t>
  </si>
  <si>
    <t>Luis María de Salazar</t>
  </si>
  <si>
    <t>…r. d-jcjue de S. Carlos: para la de Gracia y Justicia al Sr. D. Pedro M;canaz; para la de la Gobernación de Ultramar al Sr. D. Miguel de Lardiz^bai y Uribe; para la de Hacienda al Sr. D. Luis María de Salazar, y para la de Guerra al Sr. D. Manuel Freyre. Para la mas fácil -expedición de los negocios se ha servido S. M. señalar los dias y horas en que han de celebrarse los despachos de las distintas se cretarías del ministerio» mandando que esta real resolución se…</t>
  </si>
  <si>
    <t>…ecesores puesto srempre la firma entera.=Tendreislo entendido, y lo comunicareis á quienes corresponda. = Rubricado de la real mano de S. M. = En palacio á 17 de Mayo de 1814. = A D. Luis María de Salazar.” Circular de la secretaria de Hacienda. Con esta fecha comunico á la junta del Crédito publico la real orden si guiente : ,, Enterado el Rey de la exposición de 12 del corriente, en la qual juz gaban W. SS. que á virtud del decreto dé S. M. de 4 del mismo* r…</t>
  </si>
  <si>
    <t>…concurren en el tesorero honorario de exército D. Diego de la Torre, na venido en nombrarle para la plaza de vocal d’e la junta del Crédito público, vacante por ascenso del Excmo. Sr. D. Luis María de Salazar á secretario de Estado y del despacho de Hacienda. ; Por decreto de 26 de Mayo último, en atención á los dilatados y buenos servicios,y á la confianza que merece á S.M. él intendente de exército Doq Francisco Laborda, ha tenido á bien conferirle en propiedad…</t>
  </si>
  <si>
    <t>…s conveniente. Tendreislo entendido, y para su cumplimiento lo comunicareis á quien .corresponda. = Está rubricado de la Real mano de S. M. = En Palacio á 11 de Jubo de 1814. = A. D. Luis María de Salazar.” En consecuencia, conformándose S. M. cen la propuesta de S. A.; se ha servido nombrar para vocales de dicha junta á lós capitanes generales de la ar mada Fr. D. Antonio Valdés y D. Félix de Tejada, al teniente general Don Julián de Retamosa, al gefe de esqu…</t>
  </si>
  <si>
    <t>…s acertada formación y arreglo.sTendreislo entendido, y para su cumplimiento lo comunicareis á quien corresponda. = Señalaco de la Real mano. = En Palacio ¿ 25 de Julio de 1814.=A D. Luis María de Salazar. Circular del Ministerio de Hacienda, ' Con esta fecha comunico á la Junta de Montes Píos Ministerial y de Oflcjnas la Real orden siguiente: + • r: . „ Conformándose el Rey con lo expuesto por la Junta con .motivo de haber denegado á Doña Josefa de Alba y Gár…</t>
  </si>
  <si>
    <t>Salazar, Martin</t>
  </si>
  <si>
    <t>Martin Salazar</t>
  </si>
  <si>
    <t>…Trejo y D. Juan Planearte. Con la de 5 de Mayo de 811 , á subteniente de bar dera al cadete D. Luis Urrutia. Con la de 20 de Julio del mismo, á teniente de la sexta del primero á D. Martin Salazar; á subteniente de fu sileros al sargento primero D. José Castro, y á subtenientes de bandera á los cadetes D. Juan de Dios Fuertes y D. Pab¡o Molina. Con la de 24 de Octubre del miuno año, á espitan á D. Miguel Santos; á ayudante mayor á D. Miguel de la Vega;…</t>
  </si>
  <si>
    <t>Salazar, Miguel</t>
  </si>
  <si>
    <t>Miguel Salazar</t>
  </si>
  <si>
    <t>…besar la mano y cumplimentar á S. M. en nombre del obispo y cabildo de la santa iglesia de Mondoñedo sus individuos el Excmo. Sr. D. Andrés García Fernandez» arcediano de Vivero; D. Miguel Salazar, maestrescuela, y D. José Morales, canónigo, el primero de los quales pronunció el siguiente discurso: ,,Señor:el obispo y cabildo de la catedral de Mondcñedo, enagenados del mas puro gozo, no pudieron menos de reunirse al pie del altar para bende cir al Dios…</t>
  </si>
  <si>
    <t>Salazar, Miguel de</t>
  </si>
  <si>
    <t>Miguel de Salazar</t>
  </si>
  <si>
    <t>…proporcionar 2.5 pares de zapa tos, su mucho zelo hizo que por sí mismo hablase á varios sugetos; y en efecto el limo. Sr. obispo de aquella santa iglesia dio 20 pares de zapatos; D. Miguel de Salazar, dignidad de maestrescuela de la misma, 3 iden?; Han Antonio Villapar, 2 idem; D. Juan de Villapor, síndico, 12 ideih$ B. Jpr sé María Luaces, 5 idem; D. Ramón Peña, B. Juan Vjüamonte, 0. Ramon Seixas, D. Blas Vidal y D. Bernardo Lauro, 2 pares cada.uno; con…</t>
  </si>
  <si>
    <t>Salazar, Ramón</t>
  </si>
  <si>
    <t>Ramón Salazar</t>
  </si>
  <si>
    <t>…con derecho á ellos se presentes acreditarlo de bidamente á la justicia de dicha villa, Haciéndolo constar; en la inteligencia deque la mencionada justicia ha puesto en'posesión á D. Ramón Salazar hasta que se pre sente otra persona que acredite tener mejor derecho. MADRID EN LA IMPRENTA NACIONAL.</t>
  </si>
  <si>
    <t>…l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yetano Ortega, en a…</t>
  </si>
  <si>
    <t>Salcedo, Juan Antonio</t>
  </si>
  <si>
    <t>Juan Antonio Salcedo</t>
  </si>
  <si>
    <t>…é dejcMotezuma-, corregi dor; los Sres. Dv Fráfltiscd Ramiro y Art&amp;yosí, 'vicario eclesiástico; Don Manuel de HerciHa* Visitador ecle^tico-;'D.-Rafael R*eynaUe, -regidor-de Madrd; D. Juan Antonio Salcedo, euira pá/roco:de S. Ginés; D. Fermín</t>
  </si>
  <si>
    <t>Salcedo, Juan Antonio de</t>
  </si>
  <si>
    <t>Juan Antonio de Salcedo</t>
  </si>
  <si>
    <t>…mo mes había tenido ya en Aranjuez la honra de cumpli mentar á S. M. y AA. Componíase esta diputación del abad del cabildo Don Domingo Alvarez , beneficiado de Santiago;del decano D. Juan Antonio de Salcedo, cura de S. G'nes; de D. Fernando Moran, beneficiado de S. An drés, y de D. Juan de Leza y Cano, cura de S. Salvador; el primero de los quales, que ya en Aranjuez había dirigido á S. M. la palabra en un bre</t>
  </si>
  <si>
    <t>Salcedo, Pió Sebastian de</t>
  </si>
  <si>
    <t>Pió Sebastian de Salcedo</t>
  </si>
  <si>
    <t>…ena, diócesis de Cuenca, vacante por fallecimiento de D. Gervasio Verde, á D. Cárlos Me ras; y para otra prestamera de la parroquia de la villa de Ventosa, en la misma diócesis, á D. Pió Sebastian de Salcedo, vice-rector del seminario con ciliar de S. Julián de Cuenca. Por oficio del comandante general del apostadero de la Ha vana (que in serta el expediente del asunto de que el siguiente es un extracto) ha teni do S. M. noticia circunstanciada del combate que ha…</t>
  </si>
  <si>
    <t>Salgueyro, Joaquin Bernardo</t>
  </si>
  <si>
    <t>Joaquin Bernardo Salgueyro</t>
  </si>
  <si>
    <t>…La persona que supiere del paradero de D. Benito Antonio Martincz Santos, se servirá avisarlo en esta corte á Doña Petra Salgueyro, calle de Cuchilleros, nú mero 6; y en Zamora á D. Joaquin Bernardo Salgueyro. Se halla vacapte la preceptoría de gramática y cátedra de latinidad de la vüla de Autol, obispado de Catahorra: su dotación comiste en 100 ducados que pro duce una capellanía colativa fundada al intento; en 1500 rs. ccn que le contribui rá el común de vecino…</t>
  </si>
  <si>
    <t>Salgueyro, Petra</t>
  </si>
  <si>
    <t>Petra Salgueyro</t>
  </si>
  <si>
    <t>…que sea el expresado término de 50 dias, les parará entero perjuicio. La persona que supiere del paradero de D. Benito Antonio Martincz Santos, se servirá avisarlo en esta corte á Doña Petra Salgueyro, calle de Cuchilleros, nú mero 6; y en Zamora á D. Joaquin Bernardo Salgueyro. Se halla vacapte la preceptoría de gramática y cátedra de latinidad de la vüla de Autol, obispado de Catahorra: su dotación comiste en 100 ducados que pro duce una capellanía colat…</t>
  </si>
  <si>
    <t>Salido, Diego Luis</t>
  </si>
  <si>
    <t>Diego Luis Salido</t>
  </si>
  <si>
    <t>…Figueroa, D. José de Morete, D. Repulido M.scdona!, D. José Martínez de San Martin, D. Cárlos de Coupigni, D. Francisco Xavier de Cavanes, D. Joaquín de los Ríos D. J xsé Marrón , D. Diego Luis Salido, D. José Castellar, D. José Iglesias Barrantes , P. Ramón Losada Bernaldo de Quicós, J&gt;. José Fuentepita, P. Joan Loarte, D. Joaquín Gómez de Laserna , D. Felipe de Sesma, Don Antonio Tomas, el barón de Biure, D. Gaspar de Roeabjruna, D. José Ma ría de Torrij…</t>
  </si>
  <si>
    <t>Salinas, Alonso Hornillo y</t>
  </si>
  <si>
    <t>Alonso Hornillo y Salinas</t>
  </si>
  <si>
    <t>…gentío de los pueblos comarcanos, asi como i los novillos que s.e lidiaron, y repartieron de limosna á los pobres. Por La noche en casa del señor fiscal, teniente del real cuerpo, D. Alonso Hornillo y Salinas, se sir vió un espléndido y abundante refresco de toda clase de bebidas y licores, al que concurrieron todas las autoridades eclesiásticas y civiles y la nobleza. Concluido el refresco se siguió un magnífico bayle,que duró hasta la media noche , ai mismp tiem…</t>
  </si>
  <si>
    <t>Salinas, Alonso Horrillo y</t>
  </si>
  <si>
    <t>Alonso Horrillo y Salinas</t>
  </si>
  <si>
    <t>…un manejo de caballos por. los caballeros individuos, corriendo parejas, lances de alcancías , y va rias e.-caramozas y evoluciones. Por la noche se sirvió en las casas del Se ñor D. Alonso Horrillo y Salinas, teniente de S. A. R., un magnífico y suntuoso refresco, al que concurrieron todas las señoras de la primera dis tinción rica y suntuosamente adornadasy un numeroso concurso dei ilustxe ayuntamiento, cabildo eclesiástico , militares y demas personas de condec…</t>
  </si>
  <si>
    <t>Salinas, Raymundo Ettenhard y</t>
  </si>
  <si>
    <t>Raymundo Ettenhard y Salinas</t>
  </si>
  <si>
    <t>604</t>
  </si>
  <si>
    <t>…Mayo tuvo asimismo la honra de cumplimentar á S. M. el ca bildo de curas y beneficiados de las iglesias parroquiales de la ciudad de Cuenca, representado por su arcipreste titular D. Raymundo Ettenhard y Salinas, dignidad de estasanta iglesia, y D. Francisco Martínez de Vados, be neficiado de la iglesia parroquial de S. Nicolás; el primero de los quales ha bló asi á S. M.: * •; ,,Señor: el cabildo de curas y beneficiados de las iglesias parroquiales de la ciudad de C…</t>
  </si>
  <si>
    <t>Saliqueti, Francisco</t>
  </si>
  <si>
    <t>Francisco Saliqueti</t>
  </si>
  <si>
    <t>…dia 26 de Marzo de 1813 ; y en su consecuencia ha concedido la cruz de oro de la orden militar de S. Fernando al coronel D. Mariano Vi lla, al comandante del esquadron de Ubrique D. Francisco Saliqueti , y al capitán del regimiento primero de infantería de Cataluña D. Juan Piñeyro, y la de plata al soldado del propio regimiento D. Juan Vivó, mandando al mismo tiempo S. M. que al capitán del mismo regimiento D. Vicente Sánchez se le tenga presente para suS a…</t>
  </si>
  <si>
    <t>Salomón</t>
  </si>
  <si>
    <t>…ses en el Mediterráneo. ■ ESPAÑA. Cádiz 27 de Marzo. En Puerto-Rico no ocurría novedad el 18 de Febrero___ Según noti cias de Puerto-Cabello de 6 de Enero las tropas, al mando dei Sr. Salomón, se habían.trasladado á Coro, dexando en aquel puerto una guarnición cor respondiente : la vanguardia de Boves se hallaba en las inmediaciones de Caracas. Por cartas particulares de Buda se sabe haberse manifestado peste en las provincias de Valaquia, Moldavi…</t>
  </si>
  <si>
    <t>Salten</t>
  </si>
  <si>
    <t>…y sus tropas llegaban inas allá de Verdun, sin haber renido encuentro alguno de consideración. La plaza de Verdun se hallaba provista y en buen estado de defensa. La división del general Salten se hallaba én Pont-a-Moisson; la de Yorck delante de Metz; la de Klebt delante dé Thionville, y ja de Langeron de lante de Maguncia. Toda la infantería de este exército está empleada en él bloqueo de las plazas. ' . El rigor de la estación y la necesidad de m…</t>
  </si>
  <si>
    <t>Salvador, Estanislao Sánchez</t>
  </si>
  <si>
    <t>Estanislao Sánchez Salvador</t>
  </si>
  <si>
    <t>…on su sangre en este día; 'baste decir- qtíe la pérdida de cada uno de ellos seria bastante para afligir á los militares amantes de la gloria dé su profesión. El mariscal de campo D. Estanislao Sánchez Salvador y todos los oficiales de este acreditado cuer-? pó cumplieron sus deberes con el zelo é inteligencia que en todas ocasiones los han distinguido, y tienen el dolor de haber perdido uno de sus mas dig nos individuos en D. José Ortega , que ha fallecido de resul…</t>
  </si>
  <si>
    <t>Samartin, Salvador</t>
  </si>
  <si>
    <t>Salvador Samartin</t>
  </si>
  <si>
    <t>…. Andrés Oller, dipu tado por la provincia de Cataluña; D. Pedro García Coronel, que lo es su plente por el Perú; D. Miguel Antonio Blanes, diputado por la provincia de la Mancha; D. Salvador Samartin, suplente por Nueva-España; Don Martinrano Francisco Pastór, diputado por la provincia de Valencia; Don Tadeo Gárate, suplente por el Perú; D. Mariano Rodríguez Olmedo, su plente ípor las provincias del Rio de la Plata; y en clase de suplentes á Don Tomas May…</t>
  </si>
  <si>
    <t>Sampont, Francisco</t>
  </si>
  <si>
    <t>Francisco Sampont</t>
  </si>
  <si>
    <t>…licas y gratuitas de estática é hidrostática, de las quales había establecí do ya la enseñanza en el año de 1807, baxo !a dirección del mismo profel sor que lo es en el dia el Dr. D. Francisco Sampont. Bien penetrados los ilustrados individuos de esta junta de las incalculables ventajas que pueden producir en una ciudad fabricante é industriosa las ciencias qüe enseñan los fundamentos en que estriba la acción de que sirven á perfeccionar las má quinas , y…</t>
  </si>
  <si>
    <t>San, Domingo</t>
  </si>
  <si>
    <t>Domingo San</t>
  </si>
  <si>
    <t>…al público para que se le dirijan todas las pretensiones y papeles que digan relación con el expresado establecimiento. En «1 concurso de acreedores á los bienes de la quiebra de D. Domingo San</t>
  </si>
  <si>
    <t>Sán, Francisco Marín y</t>
  </si>
  <si>
    <t>Francisco Marín y Sán</t>
  </si>
  <si>
    <t>…l resolución á consulta de la Cámara ha nombradoS. M. para nna plaza del Consejo Reai, vacante por fallecimiento de D. Juan Antonio In— guanzo, y renuncia de D. Pedro María Ric, á D. Francisco Marín y Sán chez. Para la regencia de ia audiencia de Galicia, vacante por promoción de D. José de Navia y Bolaños á la de la extinguida audiencia de Madrid, á D Manuel de León Santos de San Pedro. Y para la de Canarias, vacante por traslación de D. Manuel de Ondarza á l…</t>
  </si>
  <si>
    <t>Sán, Joaquín Antonio</t>
  </si>
  <si>
    <t>Joaquín Antonio Sán</t>
  </si>
  <si>
    <t>…so, que dirigen al cielo sus ruegos por la importante salud de V. M.” El mismo día D. José Cauz Menendez, juez primero de la ciudad de Oviedo, D. Manuel de V.illaverde, regidor, y D. Joaquín Antonio Sán chez, procurador general, comisionados por su ayuntamiento, tuvieron igualmente el honor de besar la mano á S. M. y AA., y de felicitarle á nom bre de él y de los habitantes del concejo; pronunciando el primero de ello* el discurso siguiente: ,,Señor: el ayun…</t>
  </si>
  <si>
    <t>Sán, José Domingo</t>
  </si>
  <si>
    <t>José Domingo Sán</t>
  </si>
  <si>
    <t>…Miguel García de Paredes ,* cura de la parroquia de S. Juan Tianguismanalco, en aquel obispado. Para dos raciones y una media ración de la santa iglesia de Guadalaxara de Indias á D. José Domingo Sán chez, D. Diego de Aranda y D. José Miguel Ramírez, curas párrocos del mismo obispado: y para una plaza de oidor de la Real audiencia de Guadalaxara á D. Mariano Mendiola , auditor que fué de milicias de aquella pro vincia. El Rey se ha servido nombrar al Dr.…</t>
  </si>
  <si>
    <t>Sanche, Estanislao</t>
  </si>
  <si>
    <t>Estanislao Sanche</t>
  </si>
  <si>
    <t>…mariscal de campo D? Pedro de la Barcena, dei brigadier Di José Ezpeleta , del mariscal de campo D. Antonio Garcés de MarciÚá-', y del géfe del Estado * mayor1 del quarté-exército D. Estanislao Sanche^ Salvador. Los Oficiales y tropa se;por'taróitr,bien''e« todos los ataques* qtie sucesivamente sé dieron , después dé haberse vuéltb a Tormar¿ No sien do el terreno á propósito para la caballería, no tUv6 oeasioii esta arma de</t>
  </si>
  <si>
    <t>Sánchez</t>
  </si>
  <si>
    <t>…ritaron, sin anteceder indicación mía, viva el Rey repetidas veces. En el discurso del almuerzo siguieron brindis por el Exorno. Sr. virey; por Villacura, cacique gerreral; por el Sr. Sánchez, y por la fe licidad de nuestras armas, y en todos repitieron con igual ardor viva el Rey. ,,Concluido, los llevé al alcázar, donde gustaron en extremo del exercicio general que mandé hacer por media hora, acabando con un saludo de 21 cañonazos, á que siguier…</t>
  </si>
  <si>
    <t>Sánchez, Agustín</t>
  </si>
  <si>
    <t>Agustín Sánchez</t>
  </si>
  <si>
    <t>…Heredia, D. Alonso Aznar y D. Felipe de la Cámara: la subtenencia de granaderos á D. José Ireneo Guerra; y subtenencias de fusileros á D. Ma nuel Benito Quixano, D. Nicolás Ortiz, D. Agustín Sánchez, D. Arcadio Quixano, D. Joaquín Sánchez y D. Arcadio Cicero. Por los oficios que con fecha del 23 del corriente han dirigido el secre tario interino del despacho de Estado y el gefe político de la provincia de Valencia ha sabido Ja Regencia con particular sat…</t>
  </si>
  <si>
    <t>Sánchez, Andrés Ciudad</t>
  </si>
  <si>
    <t>Andrés Ciudad Sánchez</t>
  </si>
  <si>
    <t>232° ARTICULO DE OFICIO. El Rey se ha servido nombrar inspector general de las fábricas de sali tre, pólvora y azufre del reyno á D. Andrés Ciudad Sánchez, contador ho norario de Exército,en atención á sus distinguidos servicios y apreciables co nocimientos en estos ramos. Se halla vacante la plaza de maestro de primeras letras de la villa de Barajas de Meló, partido de Huete, en la provincia de Cuenca: su dota…</t>
  </si>
  <si>
    <t>Sánchez, Celestino</t>
  </si>
  <si>
    <t>Celestino Sánchez</t>
  </si>
  <si>
    <t>…efusión de su paternal amor. El Rey se ha servido nombrar para una canongía de la iglesia metropo litana de Sevilla, vacante par,fallecimiento de D. Ignacio Vaicárcel y.Var gas, á D. Celestino Sánchez, prior.de la colegiata de S. Hipólito de Córdo ba*, .para otra canongía de la iglesia catedral de Valladolid, vacante por muerte de D. Gabriel Obregon, á D. Manuel de Orbaneja: para una ración de la iglesia metropolitana de Burgos, vacarte por fallecimiento d…</t>
  </si>
  <si>
    <t>Sánchez, Francisco</t>
  </si>
  <si>
    <t>Francisco Sánchez</t>
  </si>
  <si>
    <t>…e firman. Ala irtd ¡¡¡o de Diciembre^ El dia 4 de Setiembre último tuvo la honra de cumplimentar á S. M. por su feliz restitución a! trono, en nombre de la villa de Navamorcuende, Don Francisco Sánchez de la Plaza, vecino de ella, el qual arengó en los térmi nos siguientes t ,,Señor : la villa de Nsvamorcuende r partido de Avila, penetrada del mayor gozo por el feliz regreso de V. M. al trono de sus ilustres progeni tores, tiene hoy la complacencia de llega…</t>
  </si>
  <si>
    <t>Sánchez, Francisco Marin y</t>
  </si>
  <si>
    <t>Francisco Marin y Sánchez</t>
  </si>
  <si>
    <t>…la audiencia de Sevilla á D. Juan Pedro Mótales: para otra de oidor de la de Galicia á D. Juan Perez Villamil, ministro de la de Asturias: para una de ministro del consejo Real á D. Francisco Marin y Sánchez: para la re gencia de la audiencia de Galicia á D. Manuel de León Santos de S. Pedro: para la de Canarias á D. Manuel Delgado: para una plaza de la sala de al caldes de casa y corte á D. Ramón Satué: para otra de la misma sala á Don Vicente.......Cabero: para…</t>
  </si>
  <si>
    <t>Sánchez, Joan Francisco</t>
  </si>
  <si>
    <t>Joan Francisco Sánchez</t>
  </si>
  <si>
    <t>…ben reunír seme: ya han entrado ios ganados de que arriba hago relación, con mas 50 muías. Dios guarde á V. S. muchos años. Rete 31 de Diciembre de 1814= Ildefonso Elorriaga. = Al general D. Joan Francisco Sánchez. Madrid $ de Setiembre. El dia 31 de Agosto alas siete y quarto de la mañana se presentó'el Rey nuestro Señor acompañado del Exctno. Sr. duque de Alagnn, &lt;eapitaTr 'de' la guardia de su persona, en el quartel que ocupa el regimiento de caballe ría del Rey de…</t>
  </si>
  <si>
    <t>Sánchez, Joaquín</t>
  </si>
  <si>
    <t>Joaquín Sánchez</t>
  </si>
  <si>
    <t>…la Cámara: la subtenencia de granaderos á D. José Ireneo Guerra; y subtenencias de fusileros á D. Ma nuel Benito Quixano, D. Nicolás Ortiz, D. Agustín Sánchez, D. Arcadio Quixano, D. Joaquín Sánchez y D. Arcadio Cicero. Por los oficios que con fecha del 23 del corriente han dirigido el secre tario interino del despacho de Estado y el gefe político de la provincia de Valencia ha sabido Ja Regencia con particular satisfacción que S. M. y AA. continuaban en aquella ciudad con…</t>
  </si>
  <si>
    <t>Sánchez, José Domingo</t>
  </si>
  <si>
    <t>José Domingo Sánchez</t>
  </si>
  <si>
    <t>2120</t>
  </si>
  <si>
    <t>…iplomacia, está escrita con mucho tino y circunspección , y fundada sobre principios sólidos de equidad y justicia. ESPAÑA Madrid 2 de Noviembre, El dia 31 de Julio próximo pasado D. José Domingo Sánchez y Don Diego Aranda, curas párrocos en la diócesis de Guadalaxara, en América, y diputados por la misma proyincia, tuvieron el honor de besar la mano á S. M.; y llevando la voz el primero dixo: ,,Señor: dos diputados de la provincia de Guadalaxara, en América, ca pellanes de vue…</t>
  </si>
  <si>
    <t>Sánchez, José García</t>
  </si>
  <si>
    <t>José García Sánchez</t>
  </si>
  <si>
    <t>…o.” Asimismo este dia fué admitida y cumplimentó á S. M. y AA. una di putación de la insigne iglesia magistral de la ciudad de Alcalá de Henares, compuesta de su abad mayor el Dr. D. José García Sánchez, el Dr. Don Nicolás Martínez Escudero, dignidad de chantre, y el Dr. D. Gerónimo López Bartolomé, dignidad de tesorero. El 24 del mes próximo pasado cumplimentó á S. M. por su feliz resti tución al trono el ayuntamiento de la M. N. y L. ciudad de Segovia por…</t>
  </si>
  <si>
    <t>Sánchez, José Serápió</t>
  </si>
  <si>
    <t>José Serápió Sánchez</t>
  </si>
  <si>
    <t>…vera y Olaortua. A: imismo ha nombrado S. A. para ia chantría de la iglesia catedral de Ciudad-Real de Chiapa á D. Ramón Ordoñez, y para la canongía lectora! de la misma iglesia á D. José Serápió Sánchez. Estando prontas á salir del puerto de Cádiz quatro embarcaciones do guerra, que han de llevar las correspondencias de las islas Filipinas, Monte video, Puerro-Rico, Costa-firme, el Perú, la Ilavana , Nueva-España y demás provincias de Ultramar, se avisa al p…</t>
  </si>
  <si>
    <t>Sánchez, Juan de Mata</t>
  </si>
  <si>
    <t>Juan de Mata Sánchez</t>
  </si>
  <si>
    <t>…iá misma. Se desea saber el paradero ó suerte de D. Manuel de Bu&amp;tamante., subteniente del regimiento de infantería de Guad.íi áxara, que pasó al Norte; el dél teniente del mismo D. Juan de Mata Sánchez, ó de su muger Doña María Estrella P/ado; el de D. Domingo xMartinez, capitán del batallón de infantería ligera de Campomtypr, ó sus herederos, para comunicarles asuntos de intereses; á cuyo efecto podrán pa sar i verse con D. Bernardino Gómez, que vive en Ma…</t>
  </si>
  <si>
    <t>Sánchez, Juan José</t>
  </si>
  <si>
    <t>Juan José Sánchez</t>
  </si>
  <si>
    <t>…drés Oller, dipu tado por la provincia de Cataluña; y por secretarios á les Sres. D. Manuel María Aldecoa, diputado por la provincia de Vizcaya; D. Blas Ostolaza por la del Perú ; D. Juan José Sánchez de la Torre por la de Búrgos, y Don Tadeo Joaquín Gárate por la del Perú. El señor duque de Ciudad-Rodrigo ha dirigido al señor secretario de Estado y del despacho de la Guerra el parlte siguiente: „Excmo. Señor: conforme á las intenciones manifestadas á V. E…</t>
  </si>
  <si>
    <t>Sánchez, Julián</t>
  </si>
  <si>
    <t>Julián Sánchez</t>
  </si>
  <si>
    <t>…ida patriótica del comandante Salazar. Destruida ésta por los enemigos, y habiéndose salvado de aquella catástrofe por:casualidad, continuó su servia ció en la partida del célebre D. Julián Sánchez , donde ha permanecido por el espacio de año y medio; pero habiendo adolecido de una enfermedad, de terminó convertirse á la santa religión católica apostólica romana, y se pre sentó al señor gobernador de esté arzobispado; el qual habiendo examinado su dispo…</t>
  </si>
  <si>
    <t>…fonda , se hallarán Iojs retratos á caballo, que formarán colección: c) teniente general D. Pedro Villacampa, D. Juan de Tapia,, el barón de Eróles, D. Juan Martin el Empecinado, D. Julián Sánchez, D. Juan Palarea (el Médico), D. Francisco Abad (Chaleco), á 8 rs. iluminados y á 4 en negro. Se irán publicando los restantes heroes que mas se han distinguido en. defensa de la patria. MADRID EN LA IMPRENTA NACIONAL.</t>
  </si>
  <si>
    <t>…to de D. Francisco Xavier Mina á caballo en medio pliego, que hace co lección con los de D. Juan Martin (el Empecinado), el barón de Eróles, D. Juan de Tapia, D. Pedro Yiilscampa, D. Julián Sánchez, D. Juan Palarea (el Médi co) y D. Francisco Abad y Moreno. Se continúa grabando los demas patriotas que mas se han distinguido en defensa de la patria. Se venden en ¡a librería de Quiroga, calle de las Carretas, fonda del Angel, y en el almacén de estampas c…</t>
  </si>
  <si>
    <t>Sánchez, Miguel</t>
  </si>
  <si>
    <t>Miguel Sánchez</t>
  </si>
  <si>
    <t>…nsarle» El dia &amp; del mes de Julio último tuvo el honor de cumplimentar y besar la mano de S M* y A A. la diputación del ayuntamiento y clero de la villa - de Archidonacompuesta de D. Miguel Sánchez de la Fuente, regidor, y de D. José Alcántara, presbítero;, la que filé presentada por el Excmo. Sr* duque de O:una, quien dirigió á S. M. el discurso siguiente: », Señor: U villa de Archidona , cuya diputación presento á V. M., vie ne hoy á ofrecerle el home…</t>
  </si>
  <si>
    <t>Sánchez, Pedro Boado</t>
  </si>
  <si>
    <t>Pedro Boado Sánchez</t>
  </si>
  <si>
    <t>…isco Ib añez, D. Santiago Suso y Anda, D. Vicente Calvo, D. Manuel José Arbizu, D. Lucas Gómez Negro, D. Martin de Gastañaga, D. Jo&gt;é Ro dríguez Biezma, D. Miguel Antonio Rodrigo, D. Pedro Boado Sánchez; y para fiscales á D. Felipe Baraybar y D. Juan Ramón Matute. En Ultra mar para la canongía de ia iglesia catedral de Guadalaxara á O. José Manuel Sanmartín; para ración en la misma iglesia á D. Toribio González, y para media ración á D. José Miguel Ramírez.…</t>
  </si>
  <si>
    <t>Sánchez, Vicente</t>
  </si>
  <si>
    <t>Vicente Sánchez</t>
  </si>
  <si>
    <t>…primero de infantería de Cataluña D. Juan Piñeyro, y la de plata al soldado del propio regimiento D. Juan Vivó, mandando al mismo tiempo S. M. que al capitán del mismo regimiento D. Vicente Sánchez se le tenga presente para suS ascensos. En consideración á las circunstancias, méritos y servicios de D. Manuel Fernando Ruiz del Burgo, vocal auditor ¿general del consejo supremo del Almirantazgo, ha venido S. M. en concederle merced de título de Castilla pa…</t>
  </si>
  <si>
    <t>Sanchiz, José</t>
  </si>
  <si>
    <t>José Sanchiz</t>
  </si>
  <si>
    <t>…tos que todavía ocupen las tropas del enemigo. D. Pasqual Sanchiz, del comercio de Cádiz, remitió en 19 de Noviembre de 1810 en un paquete con el patrón Simón Domingo á su hermano D. José Sanchiz, del comercio de Valencia , y endosados á su orden , nueve vales reales de á 600 pe sos, nueve de á 300, y tres de á 150 ,cuyas creaciones y números son los siguien tes: cinco vales de la creación de Setiembre de á 600 pesos, números 136058, 141347, 12524.,96…</t>
  </si>
  <si>
    <t>Sanchiz, Pasqual</t>
  </si>
  <si>
    <t>Pasqual Sanchiz</t>
  </si>
  <si>
    <t>…de Mayo de 1809, y de qualquiera otra orden en consejo, instrucción ó notificación, cese en.lo sucesivo, con la excepción de los puestos que todavía ocupen las tropas del enemigo. D. Pasqual Sanchiz, del comercio de Cádiz, remitió en 19 de Noviembre de 1810 en un paquete con el patrón Simón Domingo á su hermano D. José Sanchiz, del comercio de Valencia , y endosados á su orden , nueve vales reales de á 600 pe sos, nueve de á 300, y tres de á 150 ,cuyas c…</t>
  </si>
  <si>
    <t>Sancho, Joan</t>
  </si>
  <si>
    <t>Joan Sancho</t>
  </si>
  <si>
    <t>…s y contusos ha consistido , de los primeros en tres oiiciales y 23 soldados, siendo aque llos ci'cotnandance del 2.0 de Vizcaya D. Miguel de Artola, el teniente del mismO'ctíerpo D. Joan Sancho , y* el ayudante del &gt;2.° de tiradores de Can tabria \D. Alfonso'Pozo. Los heridos «omtres oficiales y 5ó soldados, siendo ios-priméros el cípitan dd.:2.° de tiradores de Cantabria D. Anselmo Ondicota,?el tenrénte del 3.0 de tiradores de Cantabria D. Felipe d…</t>
  </si>
  <si>
    <t>Sancho, José Sanz</t>
  </si>
  <si>
    <t>José Sanz Sancho</t>
  </si>
  <si>
    <t>…iaza Sanz , regidor, 40: Manuel José Sanz, regidor, 30: Xavier : Miguel Asenjo, regiAsen jo,. regidor, 60 : Mateo Sancho,‘regidor, 30 dor, 100: Juan Sanz Sancho.. procurador, 120: D. José Sanz Sancho, abo gado de ■ los ^tribunales nacionales , 120 : D. León Saturnino Laviada, 80: D. Pablo Sanz Sancho, 60: Dr. D. Juan Francisco Sastre y Madrid, 200: IX..,ML. S.JBL, xqo : José, Fructuoso Sanz, 160: Francisco Mejorada Fray le, 100:,María Amtonia Sancho Morag…</t>
  </si>
  <si>
    <t>Sancho, Pablo Sanz</t>
  </si>
  <si>
    <t>Pablo Sanz Sancho</t>
  </si>
  <si>
    <t>…, 60 : Mateo Sancho,‘regidor, 30 dor, 100: Juan Sanz Sancho.. procurador, 120: D. José Sanz Sancho, abo gado de ■ los ^tribunales nacionales , 120 : D. León Saturnino Laviada, 80: D. Pablo Sanz Sancho, 60: Dr. D. Juan Francisco Sastre y Madrid, 200: IX..,ML. S.JBL, xqo : José, Fructuoso Sanz, 160: Francisco Mejorada Fray le, 100:,María Amtonia Sancho Morago, 50: Isidoro Sanz Valles, .66 y 18 maravedises: José Milano Cadereha ,100: Juan Riaza Riazg, 8.0: Pe…</t>
  </si>
  <si>
    <t>Sandoval, José Ortiz</t>
  </si>
  <si>
    <t>José Ortiz Sandoval</t>
  </si>
  <si>
    <t>…de D. José María Roo , á D. Juan José Díaz Franco: para el beneficio simple de la parroquia de la villa de Arcos de la Frontera, diócesis de Sevilla, vacante por fallecimiento de D. José Ortiz Sandoval,á D. Gonzalo María del Rio y Carrillo: para la prestamera deTrebugena, en la misma diócesis , vacante por muerte de D Gerónimo Manuel de Céspedes, á D. Gerónimo de Godoy y Quintana3y para la prestamera de Texada,en</t>
  </si>
  <si>
    <t>Sandoval, Manuel José</t>
  </si>
  <si>
    <t>Manuel José Sandoval</t>
  </si>
  <si>
    <t>…rma D. Amadeo Mora, y al sargento mayor D. Cayetano Blengua. A subtenientes en el batallón de milicias disciplinadas de infantería de Chiquimula, en Goatemala, á D. Dionisio Paez, D. Manuel José Sandoval y Don Juan José Palma, sargentas del propiobeuerpov &lt; * ; ' D. Gonzalo de Herrera, diputado en Cortes por la isla de Cuba, deseo so de dar pruebas de su amor á riuestró monarca el Sr. D. Fernando vn, ha puesto á disposición del Gobierno un coche con su tiro para que sirva en…</t>
  </si>
  <si>
    <t>Sánfúyjo, Ramón de</t>
  </si>
  <si>
    <t>Ramón de Sánfúyjo</t>
  </si>
  <si>
    <t>…s mancebos para la barba ; debiendo pagar la rasura los vecinos que se afcyten en sus casas, los partos y curaciones de Jmano ai rada. Los pretendientes dirigirán los memoriales á D. Ramón de Sánfúyjo^isfccretario de! ayuntamiento de dicha villa, y se reciben hasta 20 del corriente';..v Algunos amigos del ilustre, sabio y benemérito de la patria D. Gaspar de Jovellanos, deseosos de contribuir á las honras que merece por sus vastos conocimien tos en ciencia…</t>
  </si>
  <si>
    <t>Sanrin, Tomas Aparicio</t>
  </si>
  <si>
    <t>Tomas Aparicio Sanrin</t>
  </si>
  <si>
    <t>…Laureano González Mendizabal: para el arcedianato de Madrid, dignidad de la santa iglesia primada de Toledo, vacante por fallecimiento del Excmo. Sr, D. José E11 staquio Moreno, á D. Tomas Aparicio Sanrin,dean y canó nigo de la iglesia catedral de Ciudad-Rodrigo, y colector general de espolios y vacantes: para una canongía de la iglesia colegial de Antequera, dió cesis de Málaga, vacante por fallecimiento de D. Francisco de Paula Man— silla , á D. José de Mier…</t>
  </si>
  <si>
    <t>Santander, José Mariano</t>
  </si>
  <si>
    <t>José Mariano Santander</t>
  </si>
  <si>
    <t>…dos caxones de mu niciones, ordenándole se entregue del mando de esa tropa, que por ha berse retirado el capitán D. Mariano Campo par2 su destino quedó á cargo del de igual clase D. José Mariano Santander. De quanto ocurra daré á V. E. oportuno aviso para su superior conocimiento. D ios nuestro Señor guarde á V. E. muchos años. Quartel principal de Huejutla 30 de Noviembre de 18 13. = Excmo. Sr -=z AL xanJro Aívarez de Cüilian.zz Excino. Sr. D. Félix María Cal…</t>
  </si>
  <si>
    <t>Santia</t>
  </si>
  <si>
    <t>…que la servia interinamente. Sistema ó curso completo de Cirugía, por el.célebre Benjamín Bell; traducido del ingles al castellano de la íiltima edición corregida por el autor por D. Santia go García: reimpreso en cinco tomos en quarto con 100 estampas, y adicionado eh esta segunda impresión con varias memorias y reflexiones importantes sobre algunos puntos muy intrincados de la cirugía, y otros adelantamientos modernos, por D. Agustín Frutos. S…</t>
  </si>
  <si>
    <t>Santiago</t>
  </si>
  <si>
    <t>…entar á S. M. una diputación de la ciudad de Burgos , compuesta de sus regidores D. Antonio Cárcamo y Cornejo y D. Ramón de Villanueva, y de su procurador ma yor síndico del común D. Santiago de la Cantera, de ios quales el primero dixo:„Señor: la ciudad de Burgos, tan antigua y noble como siempre leal á sus Reyes, recibe hoy la mas dulce satisfacción en felicitar á V. M. por su libertad del penoso cautiverio, y restauración al trono de sus august…</t>
  </si>
  <si>
    <t>Santin, Tomas Aparicio</t>
  </si>
  <si>
    <t>Tomas Aparicio Santin</t>
  </si>
  <si>
    <t>…usto Abuelo se propuso en las preces de dicha» gracia pontificia,» y S. S. en el Breve de su concesión ;♦ atendiendo á la,literatura, integridad, zelo y prudencia que concurren en D. Tomas Aparicio Santin , Arcediano de Madrid, dignidad de la Santa Iglesia Primada de Toledo, Colector general de Espoiios y Vacantes eclesiásticas, y Superintendente de varias caías de Misericordia del Reyno, he tenida á' bien) nombrarle, como en efecto le. nombro, para la execuci…</t>
  </si>
  <si>
    <t>Santos, Benito Antonio Martincz</t>
  </si>
  <si>
    <t>Benito Antonio Martincz Santos</t>
  </si>
  <si>
    <t>…eglo á graduación y prelacion legal; &lt;on aperci bimiento de que pasado que sea el expresado término de 50 dias, les parará entero perjuicio. La persona que supiere del paradero de D. Benito Antonio Martincz Santos, se servirá avisarlo en esta corte á Doña Petra Salgueyro, calle de Cuchilleros, nú mero 6; y en Zamora á D. Joaquin Bernardo Salgueyro. Se halla vacapte la preceptoría de gramática y cátedra de latinidad de la vüla de Autol, obispado de Catahorra: su dotació…</t>
  </si>
  <si>
    <t>Santos, Frambco Fernandez</t>
  </si>
  <si>
    <t>Frambco Fernandez Santos</t>
  </si>
  <si>
    <t>…dia 2 del corriente fué asimismo admitida á felicitar á S. M. una di putación del ayuntamiento de la ciudad de Vailadolid, compuesta del alcal de D. José de Cartagena, del regidor D. Frambco Fernandez Santos, y del procurador síndico D. Rafael Masas; el primero de los quafes arengó á S. M. en los términos siguientes: ,, Señor: fe ciudad de Vailadolid , representada .por ia diputación de su ayuntamiento tiene la satisfacción de llegar á L R P. de V. M á ofrecer su…</t>
  </si>
  <si>
    <t>Santos, José</t>
  </si>
  <si>
    <t>José Santos</t>
  </si>
  <si>
    <t>…l compañía de granaderos al capitán del propio cuerpo D. Bernardo Darquea. En el de milicias urbanas de infantería de Abancay el empleo de sar gento mayor al capitán de granaderos D. José Santos; y compañías á los tenientes D. Mariano González, D. Gregorio Alagon, D. Mariano Cevallos y D. José Fernandez Peredo. En el de Chachapoyas subtenencia de bandera al sargento primero Don Diego Roldan. En el de León de Huanuco compañía de granaderos al de fusil…</t>
  </si>
  <si>
    <t>Santos, José Teodoro</t>
  </si>
  <si>
    <t>José Teodoro Santos</t>
  </si>
  <si>
    <t>…ciodel&amp;yuntamietir to. constitucional de esta, villa poniendo én! sin jnotreia-haber adeudado nuevo nombramiento de fiscal de ella, por dimisión del que obtenia eí¡te cargo? eq el Sr. D. José Teodoro Santos / procurador síndico de la misma, quien en</t>
  </si>
  <si>
    <t>…so Ximenez de Cisneros. Los honores del consejo de Hacienda á D. Manuel López de Araujo, á D. Francisco González Estéfani, á D. Francisco Ortiz Taraa* co, á D. Nicolás Lamiel, y á D. José Teodoro Santos. Conformándose el Rey nuestro Señor con el parecer de su consejo supre mo de la Guerra, se há servido declarar por distinguida y digna de premió la acción del puente de S. Andrés sobre el rio Algodor, á una legua de Yévenes, el dia 26 de Marzo de 1813 ; y en…</t>
  </si>
  <si>
    <t>Santos, Manuel de Ileon</t>
  </si>
  <si>
    <t>Manuel de Ileon Santos</t>
  </si>
  <si>
    <t>…Aranda de Duero a D. Sebastian Muñoz de Perlacia: para las plazas d,e oidores de ta chancillería de Valladojid, vacantes por haber sido ascendidos á regentes de Galicia y Canarias D. Manuel de Ileon Santos y D. Manuel Tadeo Delgado, á D. José de Coha y $aro y á D. José Reguera,,alcalde del crimen d la misma; y para sus resoltas á D. Juan Nepomuceno Vela y D. Esteban Moyano: para la vara de Montoro á B. Francisco Xavier Rincón : para la de Cabra á D. Vicente Ruiz Morquecho: para…</t>
  </si>
  <si>
    <t>Santos, Manuel de León</t>
  </si>
  <si>
    <t>Manuel de León Santos</t>
  </si>
  <si>
    <t>…M. en nombrar para dos plazas de oidores de la chancillería de Valladoiid, vacantes por haber sido ascendidos á las de regentes de las respectivas audiencias de Galicia y Canarias D. Manuel de León Santos y D. Manuel Tadeo Delgado, á D. Josef de Coisa y Saro y D. Josef Reguera, alcaldes del crimen de la misma chancillería j y para las resultas por promoción de estos á D. Juan Nepomuceno Vela y D, Esteban Moyano. El Rey se ha servido conceder el gobierno de Llerena al brigadier…</t>
  </si>
  <si>
    <t>Santos, Miguel</t>
  </si>
  <si>
    <t>Miguel Santos</t>
  </si>
  <si>
    <t>…sileros al sargento primero D. José Castro, y á subtenientes de bandera á los cadetes D. Juan de Dios Fuertes y D. Pab¡o Molina. Con la de 24 de Octubre del miuno año, á espitan á D. Miguel Santos; á ayudante mayor á D. Miguel de la Vega; á teniente de granaderos á D. Miguel Piñeyro ; á subtenientes dé ídem a D. Domingo Parño y D. José Ignacio Castro, y á subtenientes de bandera al cadete D. Jo&lt;é González Oso río y al sargento primero D, Francisco Azqu…</t>
  </si>
  <si>
    <t>Santos, Pío</t>
  </si>
  <si>
    <t>Pío Santos</t>
  </si>
  <si>
    <t>…y su ministro en el tribunal de Cruzada y Gra cias subsidiarias; D. Justo Martínez de Baños; Fr. Eustaquio de Aimarza, presidente del real monasterio de S. Gerónimo de Madrid , y D. Pío Santos,</t>
  </si>
  <si>
    <t>Sanz, Antonio</t>
  </si>
  <si>
    <t>Antonio Sanz</t>
  </si>
  <si>
    <t>…como la tropa que tuvo la suerte de batirse, llenaron cumplidamente mis deseos. Dios guarde á V E. muchos años. Campamento de los Reques 24 de Febrero de 1814* = El Em pecinado. =Sr. D. Antonio Sanz, comandante del bloqueo.__ Todo lo que comunico á V. E-, debiendo añadir que-en razón de las órdenes y medidas indicadas por V. E., el regimiento de Rio ja , que estaba avanzado en la Torye.del Cordé, fue á sostener al de Cuenca, y el de Cariñena, que se hall…</t>
  </si>
  <si>
    <t>Sanz, Claudio</t>
  </si>
  <si>
    <t>Claudio Sanz</t>
  </si>
  <si>
    <t>…chos individuos, y que se publiquen en la gaceta estos rasgos de patriotismo. En virtud de providencia del Sr. D. Francisco Assin, teniente corregidor de esta villa, refrendada de D. Claudio Sanz, escribano de su número, se hace saber á todos los acreedores á la testamentaría del Excmo. Sr. marques de Alcañices, di funto, que deben acudir dentro del término de 15 dias, contados desde el 27 del mes próximo pasado, á la contaduría de la casa de S. E., e…</t>
  </si>
  <si>
    <t>Sanz, José</t>
  </si>
  <si>
    <t>José Sanz</t>
  </si>
  <si>
    <t>…. Nota. En la gaceta núm. 83 del jueves 9 del corriente pág. 632 al ha blar de la diputación de la villa de Arenas, que se presentó á cumplimentar á S. M., se omitió al presbítero D. José Sanz, que como individuo de ella fue el que arengó á S. M. EN LA IMPRENTA REAL.</t>
  </si>
  <si>
    <t>Sanz, Josef Antonio</t>
  </si>
  <si>
    <t>Josef Antonio Sanz</t>
  </si>
  <si>
    <t>…Reyrió se Ki servido conferir el empleo de coronel del regimiento de de Burgós 'ai de la misma telase del 2.0 de -igual nombre D. Toaquin González -de Mench&amp;ca; el de‘ Cariñena al brigadier D. Josef Antonio Sanz, coronel comandante del extinguido de Velez-Múlaga; el dei de infantería ligerifde voluntarios cazadores* de Castilla al bri gadier D. Francisco Xavier Cornel, coronel agregado al 2° de Mallorca; •el dei de Rla-serícia ál coronel D‘. Rárnon Acedo Rico* tenien…</t>
  </si>
  <si>
    <t>Saoken</t>
  </si>
  <si>
    <t>22' La-Rothiere; pués aunque el barón Saoken logró arrojarlos ana vez de allí, volvieron con gruesas columnas de infantería y baterías de artillería, y re novando el ataque con gran vigor, se apoderaron de la iglesia y de algunas* casas, mientras los rusos ocupaban otras. Los prisioneros dicen que Bonap…</t>
  </si>
  <si>
    <t>Saracoiz, Joaquín Diego de</t>
  </si>
  <si>
    <t>Joaquín Diego de Saracoiz</t>
  </si>
  <si>
    <t>…marques de Villacampo; !a du juesa de.Montemar y marques de los Llanos, y por Doña María Francisca Barructa y Galdona, D. Vicente Antonio Echaniz, Doña Francisca Xaviera Galdón», Don Joaquín Diego de Saracoiz, Doña María Concepción Antonia de Umendia, D. Vi cente Joaquín de Barrutia, Doña Josefa Joaquina de Aizolares, D. Joaquiu María ¡BarróeVi , Doña María Teresa Faraudo, Doña María Antonia de Goycneche é Indaburu, con el citado consulado de Cádiz sobre paga de l…</t>
  </si>
  <si>
    <t>Sarasa, Gerorumo de</t>
  </si>
  <si>
    <t>Gerorumo de Sarasa</t>
  </si>
  <si>
    <t>…icio de la parroquia de Sta. Ceci lia de Medeihn, en el obispado de Plasencia, vacante por haber emprendido la carrera de las armas, y no saberse su paradero, D. Juan de Sarasa, á Don Gerorumo de Sarasa ,v para otro beneficio simple servidero de la parroquia de la vida de Utiel, diócesi de Cuenca, vacante por fallecimiento de Don Juan Bautista Emparan, a D. José María Andion y Saavedra; y para la prestamera de la parroquia de Sta. María de CUdavedo, en la di…</t>
  </si>
  <si>
    <t>Sarasa, Juan de</t>
  </si>
  <si>
    <t>Juan de Sarasa</t>
  </si>
  <si>
    <t>…u&gt;a,n i Para el beneficio de la parroquia de Sta. Ceci lia de Medeihn, en el obispado de Plasencia, vacante por haber emprendido la carrera de las armas, y no saberse su paradero, D. Juan de Sarasa, á Don Gerorumo de Sarasa ,v para otro beneficio simple servidero de la parroquia de la vida de Utiel, diócesi de Cuenca, vacante por fallecimiento de Don Juan Bautista Emparan, a D. José María Andion y Saavedra; y para la prestamera de la parroquia de Sta. M…</t>
  </si>
  <si>
    <t>Sarasola, Juan Ignacio</t>
  </si>
  <si>
    <t>Juan Ignacio Sarasola</t>
  </si>
  <si>
    <t>…o , á los dos dias noticioso el mismo arzobispo de que por disposición de su gober nador D. Lojrenzo Ortega se publicaban los decretos y manifiesto, escribió al arcipreste de Faro D. Juan Ignacio Sarasola, prohibiéndole la publicación baxo pena de excomunión , y encargándole circulase esta orden á los de-, mas arciprestes. Asi lo verificó el de Faro, entorpeciendo por este medio extraordinario el puntual cumplimiento que habían empezado á tener los de cretos d…</t>
  </si>
  <si>
    <t>Saro, Josef de Coisa y</t>
  </si>
  <si>
    <t>Josef de Coisa y Saro</t>
  </si>
  <si>
    <t>…lería de Valladoiid, vacantes por haber sido ascendidos á las de regentes de las respectivas audiencias de Galicia y Canarias D. Manuel de León Santos y D. Manuel Tadeo Delgado, á D. Josef de Coisa y Saro y D. Josef Reguera, alcaldes del crimen de la misma chancillería j y para las resultas por promoción de estos á D. Juan Nepomuceno Vela y D, Esteban Moyano. El Rey se ha servido conceder el gobierno de Llerena al brigadier D. Manuel Iturrigaray, el de Villanueva de los Infantes…</t>
  </si>
  <si>
    <t>Sarreá, Mateó</t>
  </si>
  <si>
    <t>Mateó Sarreá</t>
  </si>
  <si>
    <t>…¿ muchos años. Madrid 4 de Noviembre de 1814. El Rey Se há servido nombrar para el arcipfestazgo de Canales en él arzobispado déTToledo ¡ que se halla Vacante por fallecimiento de D. Mateó Sarreá, á' D. Satrirriíno Peal y Diazr; yapara él beneficio simple servidero dé Ja iglesia parroquial de S. Miguel de la ciudad de Andujar, vacante poír muerte de í). Pedro Izquierdo , á ,D. Miguel, Antonio de Antuñano, cura párroco de Gordejuela. Asimismo se ha dig…</t>
  </si>
  <si>
    <t>Sarsfieid, Pedro</t>
  </si>
  <si>
    <t>Pedro Sarsfieid</t>
  </si>
  <si>
    <t>…do , hizo una salida con-toda la fuerza disponible, y atacó á las tropas del bloqueo, como V. E. se servirá ver en la adjunta copia del parte que me ha pasado el mariscal de campo D. Pedro Sarsfieid, siendo el resultado ¿fk; es,ta.accionJíjidqUtrÍr . nuevos laureles los valientes que tengo el honor de mandar. Todo lo que digo á V. E. para que se sirva ponerlo en ¡conoció imiénto^de S.; ¡Regencia rdei Rey ño. Dios guárde&gt; á V, E. muchos años. &lt;Reu§,j9i de…</t>
  </si>
  <si>
    <t>Sarsfiela, Pedro</t>
  </si>
  <si>
    <t>Pedro Sarsfiela</t>
  </si>
  <si>
    <t>…er exército, sobre la línea del Llobregat,, que ocupaba el ene migo con 4© hombres: la tercera división de este segundo exército, á las ór denes de su general el mariscal de campo D. Pedro Sarsfiela, con la caballe ría inglesa y dos piezas de artillería, se dirigió por el camino real, y á las ocho de la mañana atacó los puntos de Molins de Rey y S. Vicens, cu yas alturas fueron gallardamente tomadas por el batallón i.° dé Volunta rios de Aragón: Oitjro^…</t>
  </si>
  <si>
    <t>Sarsfield</t>
  </si>
  <si>
    <t>…los puntos de Molins de Rey y S. Vicens, cu yas alturas fueron gallardamente tomadas por el batallón i.° dé Volunta rios de Aragón: Oitjro^ tres batallones vadearon el rio con el general Sarsfield</t>
  </si>
  <si>
    <t>…de que tuvieron que atacarlos en reductos. ,, A la derecha se hallaba el señor general en gefe del exército aliado Don Henrique Clinton con algunas tropas de su exército y las del general Sarsfield , las que tuvieron una parte muy activa, batiendo á los enemigos que se le presentaron. „ Crmo el objeto fué solo un reconocimiento, nos retiramos dexando ar diendo los reductos del enemigo, y trayéndose mis tropas algunos prisio neros. ,,Todo lo que digo á V…</t>
  </si>
  <si>
    <t>…ncipe de Scnivartzenberg, comandante en gefe del grande exército-aliado. ESPAÑA* . . . ' . - . \ Tarragona G de Febrero. Antes de ayer se situaron quatro regimientos del mandb del:general Sarsfield con el esquadron de Soria en S. Feliu. En la mañana‘de ayer se-han tiroteado las descubiertas de caballería entre el pueblo de' Sans: y-la Cruá; cubierta, y duró el fuego hasta las niiéve; el geñeraLSarsñeld á-esta hora tenia dos compañías de‘cazadores en S'.…</t>
  </si>
  <si>
    <t>…la que iba colocado el retrato de nuestro adorado Monarca : tras de esta, que estaba precedida de un competente número de caballería, iba S. E. el gene ral en gefe, acompañado del general Sarsfield y de los estados mayores de ambos. De esta suerte siguieron hasta palacio, en donde se colocó el retrato de&gt;S.)M., desfilando toda la tropa por frente de él, en mediode los repeti dos vivas y cordiales afectos de un inmenso pueblo. Madrid 1$ de Junio. El 17 d…</t>
  </si>
  <si>
    <t>Sarsfteld</t>
  </si>
  <si>
    <t>21^ general Sarsfteld en Sarria coh tinos {?oó. Clinton en Esplugas con unos 12®, dándose la mano todos tres generales; y quedan los enemigos reducidos á ía plaza-solamente y al fuerte Pío. Idem 20» Esta tarde ha llegado la guarnición francesa de Monzon prisionera de guerra. Igual…</t>
  </si>
  <si>
    <t>Saso, Isidoro del</t>
  </si>
  <si>
    <t>Isidoro del Saso</t>
  </si>
  <si>
    <t>…Ríos , D. Car los de Gunchi, D. Bartolomé Georget, el barón de la Barre , D. José Fal ques, D. Manuel María Prosterla, D. José Bucareli, D. Nazario de Fguía, I). Raymundo Ferrer, D. Isidoro del Saso, D. Pedro de Oiedo, D. Mi guel Ignacio Mari mon, D. Pedro Dávalos Santa María, D. Vicente Osorio, D. Joaquín Ibarra, D. Guillermo Parker Carrol , D. Juan de Pontous y Moxica , t D. José de, Aymerich , D. José María de Ezpeleta., D. José de O-Lawlor, D. Manuel…</t>
  </si>
  <si>
    <t>Sastre, Ignacio</t>
  </si>
  <si>
    <t>Ignacio Sastre</t>
  </si>
  <si>
    <t>…s para otra dlaconil de la catedral de Gerona, vacante por muerte de D. Juan Vilomara : á Don Narciso Gobern para otra también diaconil de la misma catedral, vacante por muerte de D. Ignacio Sastre: á D. José Ferrer Aymeri para otra tam bién diaconil de la misma catedral, vacante por muerte de D. Antonio Se gura: á D. Mariano Bataller para otra presbiterial de la misma catedral, va cante por muerte de D. Félix Rabal: á D. Francisco Sepulcro para una rac…</t>
  </si>
  <si>
    <t>Sattz</t>
  </si>
  <si>
    <t>…o el cuerpo entre muertos y heridos: por ahora no se sabe el nombre del capitán muerto ni del teniente herido; pero se dará noticia de ello en otro papel. Extracto delparte que el brigadier Sattz da al Excmo. Sr, general en g Je, BLOQUEO DE TORTOSA. El 18 de este mes á las dos y media de la tarde salid el general francos barón Robert de Tortosa con 280® hombres de su guarnición por la orilla izquierda del Ebro eri dirección á Tibens, llevando algunas…</t>
  </si>
  <si>
    <t>Satué, Ramón</t>
  </si>
  <si>
    <t>Ramón Satué</t>
  </si>
  <si>
    <t>…sus augustos Hermano y Tio , fué admitida á cumplimentar á. S. M. una dipu tación de la audiencia de Madrid compuesta del regente de ella D. José Navia Bolaños, y de los ministros D. Ramón Satué y D. Francisco Marchámalo, el primero de los quales cumplimentó á S. M. en los términos siguientes: ,,Señor : la audiencia de Madrid , qué como todo buen español suspiraba ansiosamente por ivec á V. M. restablecido en su augusto trono, tiene íhoy el inexplicable placer ..de que se hay…</t>
  </si>
  <si>
    <t>Satue, Ramón</t>
  </si>
  <si>
    <t>Ramón Satue</t>
  </si>
  <si>
    <t>…stá rubricado de ia Real manó, =£ En Palacio á 16 de Setiembre de 1814.= A D. Diego de la Quadra.” El Rey nuestro Señor, en atención á los distinguidos servicios y patrio tismo de D. Ramón Satue, ministro que fué de la extinguida audiencia de Madrid, ha venido en-nombrarle para la plaza de la sala de alcdldes de casa y corte, que ha resaltado vacante por ascenso de D. Diego Vadillo á otra dei consejo de las Ordenes. El Rey se ha servido nombrar para…</t>
  </si>
  <si>
    <t>…a la re gencia de la audiencia de Galicia á D. Manuel de León Santos de S. Pedro: para la de Canarias á D. Manuel Delgado: para una plaza de la sala de al caldes de casa y corte á D. Ramón Satué: para otra de la misma sala á Don Vicente.......Cabero: para una plaza efectiva de juez auditor de la Rota á D. Vicente Ruiz de Albillos. Asimismo ha concedido S. M. gracia de capellanes de honor á D. Ma tías Vinuesa López de Alfaro; á D. Blas Ostoiaza, y á D…</t>
  </si>
  <si>
    <t>Sauca, Ignacio</t>
  </si>
  <si>
    <t>Ignacio Sauca</t>
  </si>
  <si>
    <t>…mbrar para el corregimiento de la ciudad de Astorga á D. Basilio García Manrique, y para el de la villa de Torrijos á D. Manuel Perez Aransoro; para la vara de lá villa de Elche á D. Ignacio Sauca; para la de Almazañ á D. Gregorio Bárraycoa; para la de SantULua i d J oaquin Paz Merino; para la de Tabara á D. Manuel Xlmenez , y par ra ia dé Sald ña á D. José Benito Gutiérrez Bustamante. En atención á los distinguidos méritos y servicios del brigadier de…</t>
  </si>
  <si>
    <t>2203 na á D« JoaquínfPáz Merino : parala de.Almazan á D. Gregorio Barray-coa: paira la de Elche á D. Ignacio Sauca: para el corregimiento'de* Gandís ■i E&gt;. Francisca.Antonio Moya; para Já. vaca deóBejar á D. Domingp Colla zo : para la de Archidona á D. Juan José Mal dona dos paca el corregimien to de Coria 4 D• Félix Erizo y Morales: para el de Arcos de ia Frontera á D- J…</t>
  </si>
  <si>
    <t>Saun, Antonio</t>
  </si>
  <si>
    <t>Antonio Saun</t>
  </si>
  <si>
    <t>…se habían incorporado eá sus regimientos, con expresión dé los motivos que á cada uno han asis tido para ello; y resultando que de los comprehendidos en la lista solo dos, que son D. Antonio Saun, capitán del i.° de Cataluña, y D. León Barrio, capitán agregado al de Navarra, no tienen razones que alegar en su favor* espero se servirá S. A. la Regencia del Reyno mandar que se publiquen los nombres de estos dos oficiales en la gaceta del Gobierno en los…</t>
  </si>
  <si>
    <t>Sauz, Josef Antonio</t>
  </si>
  <si>
    <t>Josef Antonio Sauz</t>
  </si>
  <si>
    <t>…barón Robert de Tortosa con 280® hombres de su guarnición por la orilla izquierda del Ebro eri dirección á Tibens, llevando algunas columnas por la sierra, al tiempo mismo que el brigadier D. Josef Antonio Sauz, comandan te general interino de la segunda división de infantería del segundo exérci to, y encargado del bloqueo, hacia por la derecha del rio un paseo militar sobre la torre del Corde con los regimientos de su mando. Estando en este movimiento tuvo Sanz avi…</t>
  </si>
  <si>
    <t>Savary</t>
  </si>
  <si>
    <t>…quien le ha vuelto esta noche la visita. * fí'.r, Se dice que la emperatriz. Mafia Luisa será ’ gran duquesa, de Palma yPlasencia. : ,■ * v ^ ^ . , ^/ Ha llegado á está capital el general Savary; duque de Royigo. , Se asegura que S. M. el emperador Alexandró ha ,dádo órdeo á los co^</t>
  </si>
  <si>
    <t>Saxonia, Antonio de</t>
  </si>
  <si>
    <t>Antonio de Saxonia</t>
  </si>
  <si>
    <t>…. Vierta i.° de Setiembre. SS. MM. II. han regresado á Schoembrunn de su viage á la Austria su-* perior , acompañados del archiduque Fernando gran duque de Toscana, de S. A. R. el duque Antonio de Saxonia, y de la archiduquesa Teresa su esposa. El príncipe Leopoldo, hijo menor de S. M. Siciliana Fernando iv* ha ido á Oííen á visitar al archiduque palatino de Hungría. Diariamente llegan á esta capital extrangeros de distinción con motivo del próximo congreso. A…</t>
  </si>
  <si>
    <t>Scg</t>
  </si>
  <si>
    <t>…anz, calle de la Cruz. Manifiesto que en contestación al aviso importante á los albéyfares, impreso en Madrid en 24 le Octubre de 1813 por D. Antonio Bobadilla , ofrece al público D. Scg íamundo cVÍálats. Se hallará en la librería de Matute, calle de las Carretas. l\jLíXXy^Á.U rj ' nPTjj EN . LA IMPRENTA, NACIONAL.</t>
  </si>
  <si>
    <t>Schmid</t>
  </si>
  <si>
    <t>…Soleure una conspiración nueva contra el gobierno, en la que por fortuna habían tomado parte muy pocos vecinos de la ciudad, y aun eran estos de lamas ínfima clase del pue blo. El capitán Schmid, hijo del comandante del mismo nombre, hacia de caudillo de los insurgentes, y. con una parte de la guarnición que le estaba vendida tomó las puertas de la ciudad. La otra parte de la guarnición, y la artillería principalmente, se mantuvieron heles al gobiern…</t>
  </si>
  <si>
    <t>SchouwaloíF</t>
  </si>
  <si>
    <t>…e ha tomad© posición en Momierarnery cerca de Vandocuvré. 4 ■ • El conde Flauhaut, ayudante de campo del emperador Napoleón; el conde Dúcea &gt; ayudante-del imperador de Austria; el conde SchouwaloíF, v ' ay udante del emperador de Riísía^ y el general Rauch , gefe del cuerpo de Ingenieros de! rey de Prusia , sé hán juntado en Lussigny para tratar de las * condiciones de un a-Suspensión dearmas.1 Dí este modo fué libertada la capital de Champaña e! dia 24…</t>
  </si>
  <si>
    <t>Schuller</t>
  </si>
  <si>
    <t>…a del regimiento del archiduque Raynier, que lo esperó for mado. En el palacio arzobispal, en donde se alojó S. M., fue recibido por el conde de Collovrat, gran burgrave, y por el caballero Schuller, presi dente del gobierno, que acompañaron en seguida á S. M. ál quarto que le estaba preparado. Inmediatamente después pasó S. M. á visitar á S. A I. la princesa heredera de Weymar, y por la noche fue a! teatro, en donde recibió los repetidos aplausos de los…</t>
  </si>
  <si>
    <t>Schwartzemberg</t>
  </si>
  <si>
    <t>…Al mismo tiempo que los del Norte avanzan hasta Brusélas, el general Kleist baxa por Th onville á darse la mano por su izquierda con el general Biucher, que marcha por Langres. Ei general Schwartzemberg comunica con este por su derecha desde las inmediaciones de Dijon, y extiende su izquierda hasta Macón. Estas noticias que vienen en el monitor del 18 de este anuncian á la Francia su entera invasión; y las continuas proclamas á los departamentos para la leva…</t>
  </si>
  <si>
    <t>…r &amp;c.= Cathcart.^a Al viz conde Castlereagh. Basilea 14 de Enero. Milord: las columnas de los exércitos aliados si guen avanzando por todas partes. El quartel general del mariscal príncipe Schwartzemberg estaba el 12 en Vesoul, é iba á pasar adelante. Los habitantes hicieron fuego á las tropas mandadas por el general Giulay en su marcha á Langres; pero no hubo otro ejemplar, y k)s aliados en todas las demas partes han sido bien recibidos. El quartel general d…</t>
  </si>
  <si>
    <t>…Marta. SECRETARIA DE NEGOCIOS EXTRANGEROS. ' Concluyen los partes de lord Burghersh. 3.0 Después de la toma de Bar y de. todas las posiciones del enemigo en este lado del Aube, el príncipe Schwartzemberg persiguió ayer á los franceses de la otra parte del rio, y estableció sus puestos avanzados de ca ballería cerca de Magni por la izquierda, y en las inmediaciones de Val Suzenay por la derecha. En la tarde, del 27 se recibió aviso del príncipe real de Wurtemb…</t>
  </si>
  <si>
    <t>…el Monitor de Bonaparte sino dei exército de Italia, del que se dice que entro en Parma, y cogió 2500 pri sioneros. A fin de tranquilizar á los parisienses sobre tos progresos del príncipe Schwartzemberg, Ies dice el Monitor que el parque de artillería, que esta ba en Guignes, se habia dirigido á Sens, y que el exército del príncipe Schwartzemberg ha sido rechazado en toda la línea de Montereau y de Nogent. De esto se infiere que el príncipe Schwartzemberg ha…</t>
  </si>
  <si>
    <t>…nto hecho aquel día se vio que el exército francés es taba en posición, extendiéndose al Barce sobre la derecha del Sena, y á la Maison-Blanche á la izquierda de este rio. El 3 el príncipe Schwartzemberg se resolvió á atacar. El cuerpo del ge neral Wittgenstein tomó la dirección de Piney para envolver la, izquierda del enemigo en la aldea dé Laubressel, y amenazar .su tíomunicacjort con Troyes, dirigiéndose hácia St. Parre. El general Wrede debía aguardar e!…</t>
  </si>
  <si>
    <t>3 2 cuerno. El conde Pablen sobre la derecha empezaba ya á amenazar la reta* guardia dei enemigo. En este momento el príncipe Schwartzemberg mando á cinco batallones fvivaros pasar el Barce cerca de Courcerange, establecerse en los bosques de la derecha de este rio, y ponerse en comunicación con los rusos en Láubressel. Este movimiento fué executado en el instante. El general Wreue tomo entonces p…</t>
  </si>
  <si>
    <t>…a. $9. f f qaarta*. ] 4*3 GACETA DE LA REGENCIA DE LAS ESPAÑAS DEL SABADO 23 DE ABRIL DE 1814. SUIZA. Bastíen i.° de Marz0. Los periódicos de Suiza publican la siguiente carta del príncipe Schwartzemberg, por la que se manifiestan los sublimes sentimientos del Empera dor de Austria y del comandante en gefe. A la condesa de Buffon en Montbard. S. M. el emperador, mi soberano, habiéndome mandado cuidar de la se guridad de todos los pueblos dedicados á las cienc…</t>
  </si>
  <si>
    <t>…sta ba colocada al rededor del tablado. Durante el Te Deum los príncipes y el exército manifestaron el mas profundo respeto.__ El celebrante presentó á besar la cruz á SS. MM., al príncipe Schwartzemberg, á S. A. I. el gran duque Constantino, á SS. A A. RR.. los príncipes de Prusia, y á todos los oficiales generales de los exércitos aliados. En seguida enarboló la cruz: á esta señal, príncipes y soldados, todos se arrodillaron;, rogando á Dios, y haciendo rep…</t>
  </si>
  <si>
    <t>Schwartzenberg</t>
  </si>
  <si>
    <t>236 .El príncipe Schwartzenberg lia manifestado ta mayor pericia militar, conduciendo las tropas de su mando al glorioso estado en que al presente se hallan. Atravesando des3e las fronteras de Suiza los grandes puntos de defensa que li^bia en esta parte de Francia, ha verificado su reunión…</t>
  </si>
  <si>
    <t>…el último 17* De este modo fue completa la victoria en todos los puntos. Asi que se empezó la batalla vinieron al campo el emperador de Rusia, él rey de Prusia y el feld-mariscal príncipe Schwartzenberg. El féld-mariscal Blucher pasó luego al frente del exército para llevar á efecto las dispo siciones que había tomado. Él fué el mas avanzado en el ataque del pueblo de La-Rothiere, y estuvo animando las tropas mientras embestían. A su lado fué muerto un cosac…</t>
  </si>
  <si>
    <t>…cuerpo avanzado de la división del conde Wittgenstein, mandado por el conde Pab len , y le rechazó con una pérdida considerable , tanto en hombres como en artillería. Entonces el príncipe Schwartzenberg hizo retirar su exército al otro lado del Sena. El dia 19 acometió el enemigo por tres veces y furiosamente at cuerpo del príncipe real de Wurtemberg , que estaba situado en Montereau y ocu paba el puente de esta ciudad. Ei enemigo fué.rechazado con pérdida,…</t>
  </si>
  <si>
    <t>…el Sena. £1 general Boyer atacó en Mery flas reliquias de los cuerpos de los ge nerales .Blucher ,'Sacken y York, que habían pasado el Aube, á fin de re unirse con el exército del príncipe Schwartzenberg en Troyes. El general Boyer atacó al enemigo al paso de carga; le derrotó, y se apoderó del pue blo. El enemigo exasperado le incendió con tanta rapidez, que fué impósi^ bie pasar por medio de las llamas para perseguirle. Desde el 22 al 23 el emperador trasla…</t>
  </si>
  <si>
    <t>…s. Durante estas operaciones, Bonaparte habia intentado forzar las posicio nes del Aube: sus tropas habían ocupado á Bar del Aube, y tomado posi ciones enfrente de esta ciudad. El príncipe Schwartzenberg se determinó á atacark, y después de una acción muy reñida, arrojó al enemigo de todas sus posiciones, atravesando el mismo pueblo de Bar del Aube con pérdida de 3® hombres. r ,*■. ■ Estas ventajas determinaron al príncipe Schwartzenberg á arrrjar al ene migo…</t>
  </si>
  <si>
    <t>…el aoandono de dichos puntos, avanzó sus cuer pos á St. Hüaire, donde estuvo en posición durante aquel dia. También ha ocupado á Trainel. ¿ En consecuencia de estos movimientos el príncipe Schwartzenberg ha mandado que se haga mañana un reconocimiento por toda la caballería de su exército, auxiliada por la del mariscal Blucher. Estos cuerpos se dirigi rán hácia los puntos de Trainel, St. Hilaire' y Nogent. Habiendo llegado á Mery el mariscal Blucher, la cabal…</t>
  </si>
  <si>
    <t>…a Levigni, por la dere cha del general Wrede. El general Víttgenstein llegó á dichas alturas á eso de las n, y tuvo que sostener un combate muy reñido por la posesión de ellas. El príncipe Schwartzenberg en persona dirigió várias veces los ataques de las tropas rusas, y en uno de ellos fue herido, aunque creo levemente; como quiera ha adquirido mucha gloria en este dia. Las tropas francesas han sido arrojadas con pérdida considerable de to das las posiciones…</t>
  </si>
  <si>
    <t>Schwarzemberg</t>
  </si>
  <si>
    <t>…deseo de destronar al usurpador para manifestarse los pueblos contra él. Por las últimas noticias que acabamos de recibir de Francia se sabe que Napoleón ha sido derrotado por el príncipe Schwarzemberg y el gene ral Blucher. en Chalons del Mame; y aunque noticia no es positiva,</t>
  </si>
  <si>
    <t>Scuba.cp.if</t>
  </si>
  <si>
    <t>…il, ia q.ual le pasó la bota, aunque no le hizo, daño de consideración. El coronel. V a le ruine, del: estado mayor, fue herido al mismo tiempo. También filé herido en este dia el príncipe Scuba.cp.if, gene ral de los cosacos. Sm embargo,, toda la pérdida ha sido'-tíe pb&amp;c considera^ clon , pues se reduce á'unos -2.2.0 entre- muertos y^berid&amp;sv :V’&gt; ■'‘td El feld- mariscalBiticher ha vivaqueado esta éxercitó eñfda posición que había tomado por la- mañana.…</t>
  </si>
  <si>
    <t>Scuditi, Francisco de Paula</t>
  </si>
  <si>
    <t>Francisco de Paula Scuditi</t>
  </si>
  <si>
    <t>…que vacó por .muerte de fi* José. Marín y Llabuca, á D. Rafael Ferraz: para el medio beneficio rural de Butarque y Obera, en el arzobispado de Toledo, vacante por fallecimiento de D. Francisco de Paula Scuditi, á D. Manuel de Castro.y Aíar.con.: Igualmente accediendo á ia solicitud del patriarca de las Indias, obispo.de Órihuela , ha venido- S. M; en consignar á favor d«d presbítero 0. José Antonio Prco la pendón de ^12042 rs-. de vn¿ que Tobre los frutoá y reñías…</t>
  </si>
  <si>
    <t>Sdina, Fernando</t>
  </si>
  <si>
    <t>Fernando Sdina</t>
  </si>
  <si>
    <t>…ión á que han ¡levado esta máquina la observación^ y estudio de "los empleados en él. Eúípre$ehcia de S. M. se tiraron la gran estampa, dibujada por D. José Camarón, y grabada por Don Fernando Sdina, copia del célebre quadro de Rafael de Urbino, conocido con el nombre de el Pasmo de Sicilia, y otras dos de S. Juan Bautista y Sto. Tomas apóstol, obras de D. Juan Antonio Salvador Carmona, en tod2s las qbales fué de admirar la entera perfección y exactitud…</t>
  </si>
  <si>
    <t>Se, Antonio</t>
  </si>
  <si>
    <t>Antonio Se</t>
  </si>
  <si>
    <t>…tra también diaconil de la misma catedral, vacante por muerte de D. Ignacio Sastre: á D. José Ferrer Aymeri para otra tam bién diaconil de la misma catedral, vacante por muerte de D. Antonio Se gura: á D. Mariano Bataller para otra presbiterial de la misma catedral, va cante por muerte de D. Félix Rabal: á D. Francisco Sepulcro para una ración de !a catedral de Orihuela, vacante por muerte de D. Gabriel Andu ez2: á D. Gerónimo Merino para una canong…</t>
  </si>
  <si>
    <t>Se, Kieist de Noliendort</t>
  </si>
  <si>
    <t>Kieist de Noliendort Se</t>
  </si>
  <si>
    <t>…el general Gaudi, encargados de tomar posesión de la Saxonia, salieron el 5 de este mes para Dresde. El último permanecerá alli hasta que se encargue del mando militar el. general conde Kieist de Noliendort Se prosiguen con mucha actividad los preparativos para recibir á los So beranos extrangeros. .Parece constante que el rey de Dinamarca se detendrá aqui algún tiempo. - . El Príncipe Regente de Inglaterra ha enviado, al feld-marisca! Blucher, príncipe de Wahlstad…</t>
  </si>
  <si>
    <t>Se, M. R. P.</t>
  </si>
  <si>
    <t>M. R. P. Se</t>
  </si>
  <si>
    <t>…r sus memoriales al alcalde constitucional. La dignidad de diputado en Cortes, discurso pronunciado en la misa solemne de Espíritu Santo para la elección de la junta electoral por D. M. R. P. Se hallará en la librería de la viuda de Barco López. Manejo real ó tratado de Equitación, compuesto por el Excmo. Sr. conde de Grajal, que nuevamente publica, aumentado con algunas notas, D. Ignacio de Michelena, maestrante de ía real de Ronda: un tomo en 8.° S…</t>
  </si>
  <si>
    <t>Sebastian</t>
  </si>
  <si>
    <t>…strick su quartel general ocupando á Lieja y Chárlemont, y observan do él flanco derecho del general Blucher.’ El i8 tenia su quartel general en Namur. . ' " ’ ; - . • ' - 1 ' -El general Sebastian!, que se hallaba dias pasados en Colonia, ha hecho en varias ocasiones de 500 á 600 prisioneros. , Paso del Rhin par el exército llamado de Silesia , compuesto de prusianos y rusos. En i.® dé Enero pasó el Rhin por varios puntos el exército de Silesia. Alguno…</t>
  </si>
  <si>
    <t>Sebastian, Cáríos</t>
  </si>
  <si>
    <t>Cáríos Sebastian</t>
  </si>
  <si>
    <t>…Crédito público, y en las provincias á los comisionados siguientes: • t ■ i, j , ■ i ■ ¡ ■ • i En Avila.................... .... D. Manuel Palomares. En Badajoz^.....*.......... ;D. Cáríos Sebastian ^íalagamba» ¡ , En Barcelona..*...... ..... - D. Ramón Llordella. En Burgos...,...;.............. D. Ramón Martínez Montaos* En Bilbao.-........................ D. Francisco de la Mata. En Cádiz.................... . D. Benito de la Piedra. * *J$nCartagena:’V…</t>
  </si>
  <si>
    <t>Secretario</t>
  </si>
  <si>
    <t>Ním. 4«. [ 5 guarios. ] 297 GACETA E XTR A OIDIÑARIA DE LA REGENCIA DEL MIERCOLES 23 DE MARZO DE 1814. ARTICULO DE OFICIO. El señor duque de Ciudad-Rodrigo ha digirido al Sr. Secretario del des pacho de la Guerra ios partes siguientes: i.° Excmo. Sr.: teniendo en consideración los perjuicios que estaban su friendo los pueblos de la inmediación de Santoña, no menos que el comer cio de la costa del Norte, por el abrigo que ofrecía este puerto…</t>
  </si>
  <si>
    <t>…s casas de ia calle del Arenal y calle Mayor adornadas con colgaduras. , ARTICULO DE OFICIO. Itinerario del viaje que lleva el Etnmo. Sr. Presidente de la Regencia, acompañado del Sr. Secretario del despacho de Estado, desde Madrid á Valencia. Leguas. De Madrid á Aran juez........................ De Aranjuez al Corral de Aimaguer Del Corral al Pedernoso..................... Del Pedernoso á Minaya........ ........... De Minaya á Albacete.......... ...…</t>
  </si>
  <si>
    <t>…uarentena de 15 dias. Lo que comunico á V. E. de Real orden para su inteligencia. Dios guardé á V. E. muchos años. Palacio 1 2 de Agosto de 1814. = M. El *Dü(jtíe de San'C-árlos,= Sr. Secretario dei Despáého de Gracia' y Jusridá*.= Lb que de orden del Réy participo á V. E. para que haciéndolo presente -en el Consejo y tome este las providencias que estirúe convenientes:” =: Publicada en el Consejo la antecedente Real orden, ha acordado se guar de y c…</t>
  </si>
  <si>
    <t>…rector general del Real Cuerpo de Artillería se ha dirigido por el Excmo. Sr. Secretario de Estado y dei Despacho de la Guerra con fecha de 7 del actual el Decreto siguiente: „ Al Sr. Secretario interino de Estado y del Despacho de Hacienda digo con esta fecha lo siguiente: Enterado el Rey de la buena conducta que ha observado en los depósitos de Francia el Subteniente de Artillería D. Ma nuel Zacarés, que fue hecho prisionero en el Norte quando el e…</t>
  </si>
  <si>
    <t>…ia nación sacri ficarán gustosos sus vidas y haciendas eu todas ocasiones.” ARTICULO DE OFICIO. Circular de 7a Real Tesorería general. Con fecha 2 de Agosto última me comunica el Sr. Secretario del Des» pacho de Hacienda la Real órden siguiente: «, El Sr. Secretario del Despacho de la Guerra con fecha de 27 de Julio Último me dice lo.que sigue: Con fecha de 17 del anterior me ha manifes tado el Intendente de Castilla la Vieja haberse presentado á curar en e…</t>
  </si>
  <si>
    <t>…a una dilatada vida para bien y lustre de la religión y de la monarquía.” ARTICULO DE OFICIO. Circular de la Real Tesorería general. Con fecha 8 de Setiembre último me comunica el Sr. Secretario del Des pacho de Hacienda la Real orden siguientes ,, El Sr. Secretario de Estado y del Despacho de la Guerra con fecha 28 de Agosto último me dice lo que sigue: El Rey ha tenido á bien mandar que el Regimiento de infantería del Príncipe, que se halla en el Exército…</t>
  </si>
  <si>
    <t>…orden para su inteligencia y cumplimiento en la parte que le toca. Dios guarde á V. muchos años# Madrid i.° deOctu* bre de 1814. .. -- * f i ; \ Con fecha de 21 de Octubre paso el Sr. Secretario ^e-Estado y del Des* pacho al Sr. Duque.del Infantado un eíicio.deikreoor siguiente: : ^ Sr.deseando el Rey promover todos, los establecimientos que -Exorno. pueden contribuir al alivio de sus amados .vasallos, de todas &lt;elase$ , y ere* yendo-que el estableci…</t>
  </si>
  <si>
    <t>…ias; y que reciba la fidelidad, respeto y veneración que 1¿ protesta la ciu dad de Toro y pueblos de su tierra&gt;,r ARTICULO DE OFICIO. Circular de los Señores del Consejo, Real, El Señor Secretario! interino de Estado y del Despacho; universal de, Gracia y Justicia ha comunicado aT Excelentísimo Señor Presidente delf Consejo la Real orden, que dice, asi: ¡ rr.- . ,, Excelentísimo Señor t Habiendo llegado á manos del Rey un libro es- ’■ crito en francés…</t>
  </si>
  <si>
    <t>…V. E. muchos años. México 16 de Junio de i8i4. = Excmo. Sr.=s Félix Calleja. = Excmo. Sr. Ministro de la Guerra.” ■ . - i S ■ * » % J 1 ' * t ■ . , • r 4 - . » Asimismo el Excmo. Sr. Secretario universal de Indias ha reci bido ln siguiente felicitación que hace á S. M. por su exaltación af</t>
  </si>
  <si>
    <t>Seg'ovia, Pedro López</t>
  </si>
  <si>
    <t>Pedro López Seg'ovia</t>
  </si>
  <si>
    <t>…Mozun, coronel en comisión del mismo. La Regencia del Reyno se ha servido nombrar para cinco plazas de ma gistrados dé la audiencia’de Quito á D. Migu^Otermin, D. Manuel Galeano, D. Pedro López Seg'ovia, D. Santiago Corbalan y D&gt; Antonio María Izquierdo de la Torreé y para'fiscales de la misma á D. Juan Josef del Campo y D. Manuel Antonio de Noriega Domínguez. Relación de los buques de nuestro comercio que de 15 dias á esta parte se sabe haber1 apresado los…</t>
  </si>
  <si>
    <t>Segoviaño, Manuel Morales y</t>
  </si>
  <si>
    <t>Manuel Morales y Segoviaño</t>
  </si>
  <si>
    <t>…á cumplimentar á S. M. una comisión de la universidad de Alcalá , compuesta dé su rector el Dr. D. Tomas López de Regó y de los Dres. y deanes D. José Ruperto Molina, de teología; Don Manuel Morales y Segoviaño, de jurisprudencia; D. Domingo Diez, de me dicina , y D. Patricio Ramírez, de artes, acompañados del maestro de ce remonias; y el expresado rector arengó asi: ,,Señor: vuestra universidad de Alcalá, representada por su rector y</t>
  </si>
  <si>
    <t>Sehwartzenbarg</t>
  </si>
  <si>
    <t>…presores de una plaza española. Ir un 24 de Enero, Parece que Dijon y León han sido ocupados por el exército austríaco, compuesro.de 15-0®' hombres de toda arma, á las órdenes del príncipe Sehwartzenbarg, contra quien ha marchado Bonaparte con 160$, dexando descubiertos todos ios puntos amenazados. " Doctrina rural , 'p*ra que se aficionen los hombres a! estudio de-* la agricultura: por E. A. L. A. A. = Paradoxas médicas, en que se trata de las c afus as-, pr…</t>
  </si>
  <si>
    <t>Sehwarzenberg</t>
  </si>
  <si>
    <t>…. Je y de St. Usage , lo que se verificó. Habiendo recibido aviso de que Napoleón se dirigía con una parte de su exército hacia Sezanne, para operar contra el mariscal Blucher, el príncipe Sehwarzenberg ha mandado marchar al momento hacia Tróyetf. Parece que-Bonaparte ha dexado 45® hombresí en la línea deTroyes,y ha marchado con el resto de su exército contra el mariscal Blucherj pero hay motivos de esperar que el mariscal Bhicher puede efectuar su reunión c…</t>
  </si>
  <si>
    <t>Selma, Josef</t>
  </si>
  <si>
    <t>Josef Selma</t>
  </si>
  <si>
    <t>…s, 1 oficial y 2 soldados ahogados, y 2 soldados contusos. Total general 1 ofi cial y 30 soldados. Nota. El oficial ahogado lo es el teniente del regimiento de infantería de Doyle D. Josef Selma. = Campamento sobre las alturas de Hasparren 9 de Diciembre de i8i3. = V.° B.°=:Pablo Morillo. = El gefe de estado ma yor =Z. Aguado.^Es copia. El embaxador del Rey cerca de la corte de Londres avisa que S. A. R. el Príncipe Regente en virtud de hallarse libr…</t>
  </si>
  <si>
    <t>Sepulcro, Francisco</t>
  </si>
  <si>
    <t>Francisco Sepulcro</t>
  </si>
  <si>
    <t>…iaconil de la misma catedral, vacante por muerte de D. Antonio Se gura: á D. Mariano Bataller para otra presbiterial de la misma catedral, va cante por muerte de D. Félix Rabal: á D. Francisco Sepulcro para una ración de !a catedral de Orihuela, vacante por muerte de D. Gabriel Andu ez2: á D. Gerónimo Merino para una canongía de la metropolitana de Valencia, vacante por fallecimiento de D. José Faustino Alcedo: á D. Luis de Exarque para otra de la misma, va…</t>
  </si>
  <si>
    <t>Serón, Juan Guerrero y</t>
  </si>
  <si>
    <t>Juan Guerrero y Serón</t>
  </si>
  <si>
    <t>…a grado de teniente coronel al capitán D. Antonio Orozco; y en el regimiento de caballería vo luntarios de la Colonia del Sacramento nombrado primer comandante y sar gento mayor á D. Juan Guerrero y Serón; Para pago de acreedores, y en virtud de providencia dél Sr. D. Francisco A^sin, teniente de corregidor de esta villa, se ha mandado sacar á pública subasta una casa perteneciente ai concurso de Doña Ana de Mata, sita en la cabe de Mira él Rio aita á la del B…</t>
  </si>
  <si>
    <t>Serrano</t>
  </si>
  <si>
    <t>…d de Arcos, después de una obstinada resistencia, con notable pérdida suya y alguna nuestra , mereciendo por estas acciones singulares elo gios d^l cmcia! ingles cominiante, y del general Serrano, que io era dé la sierra, en oficios dirigidos á la justicia, invirtiéndose en la manutencioti de estos valientes defensores de la patria, y de las crecidas partidas transeún tes inmensas sumas que franqueaba gustoso el vecindario; pero no pudiendo ya bastar…</t>
  </si>
  <si>
    <t>Serrano, José Arroyo y</t>
  </si>
  <si>
    <t>José Arroyo y Serrano</t>
  </si>
  <si>
    <t>…................ D. Francisco Escovar. En Guadal^xara-........... D Joaquín Beladies. ■ '' ' -En Guipúzcoa y Vitoria. D F rancheo Arrieta ' • En J. 3en............................ D. José Arroyo y Serrano y D. Francisco Ló pez Zavala. En León............................... D. Toma* Díaz Serrano. En Mn aga...... . D. Juan Pomar. En Murcia...................i.... D. José Dbach.</t>
  </si>
  <si>
    <t>…a...................... D. Francisco Escovar. En Guadalaxara............. D. Joaquín Beladies. En Guipúzcoa y Vitoria. D. Francisco Arrieta. En Jaén............................... D. José Arroyo y Serrano y D. Francisco Ló pez Zavala. En León.............................. D. Tomas Díaz Serrano. En Málaga. '...................... D. Juan Pomar. En Murcia......................... D. José Ubach. En Oviedo...................... .. D. Rubiano y Nieto. En Orense......................…</t>
  </si>
  <si>
    <t>…* En Gfañada..;.'..?.^... ... D. Francisco Eseovar* ; r ■En Guadataxar#. ^ D.JoaqujnBeladies. En Guipúzcoa y. Vitoria C I&gt;. Francisco Arríeta., ¡; En Jaén......................... D. José Arroyo y Serrano y D. Francisco Lo* • ' pez Zavala. En Leon'.Jt^..¿..¿i.¿-i.’./.ICU.¿ D. Tomas Diaz Serrano* ,EniMdfkgae^.M.d:'^.d;v -D.-Júáft Pomar. ' '• *r J&gt;. íosé'Ubacb. * En Oviedo....D. Rubianó y Nieto. 'En Órense......................... D. Fernando Rey. Eii,Lugo'. '..... ...... D. José…</t>
  </si>
  <si>
    <t>Serrano, Julián</t>
  </si>
  <si>
    <t>Julián Serrano</t>
  </si>
  <si>
    <t>Manso, con sns dos diputados D. Julián Serrano y D. Juan Pablo Noveila; y tomando el primero la palabra, dixo: „ Señor: la diputación del ducado de Medinaceli, á nombre de los 85 pueblos de que se compone, felicita y da la enhorabuena á V. M. por el regreso tan deseado al trono de sus augustos predecesores. Diferentes veces, Señ…</t>
  </si>
  <si>
    <t>Serrano, Manuel García</t>
  </si>
  <si>
    <t>Manuel García Serrano</t>
  </si>
  <si>
    <t>…dió cesis de Toledo, vacante por muerte de D. José de Cas ro, á D Sebastian Nicanor Sánchez; para una media ración de la iglesia catedral de Córdoba, vacante por fallecimiento de D. Manuel García Serrano , á D. Bartolomé Vi vas y Romero; para el beneficio simple servidero de la parroquia de Tarancon, diócesis de Cuenca, vacante por muerte de D. Ignacio García del Cas tillo, á D. Marcos Ponce de León ; y para el beneficio curado de la villa de Andoain , dióces…</t>
  </si>
  <si>
    <t>…dicce is de Toledo, vacante por muerte de D. José de Castro, á D, Sebastian Nicanor Sánchez: para una media ración de la iglesia catedral de Córdoba, vacante por falle cimiento de D. Manuel García Serrano, á D. Bartolomé Vivas y Romero:</t>
  </si>
  <si>
    <t>Serrano, Rafael</t>
  </si>
  <si>
    <t>Rafael Serrano</t>
  </si>
  <si>
    <t>…a urbanidad y cortesía, dán dolas una perfecta inteligencia. Los alumnos que sobresalieron entre todos fueron D. Antonio Quintana, D. Rafael de Martos, D. Mariano Perez Delantero, D. Rafael Serrano, D. Julián Diaz, D. Rafael María Ortega, D. Lucas Pardo, D. Fernando de Córdoba, D. José Badell y D. Mariano Delier. Se concluyó el acto con un elogio que hicieron los expresados señores,, ofreciendo premiar á los exercitames según costumbre. Reus ij de Enero…</t>
  </si>
  <si>
    <t>Serrano, Tomas Díaz</t>
  </si>
  <si>
    <t>Tomas Díaz Serrano</t>
  </si>
  <si>
    <t>…. En Guipúzcoa y Vitoria. D. Francisco Arrieta. En Jaén............................... D. José Arroyo y Serrano y D. Francisco Ló pez Zavala. En León.............................. D. Tomas Díaz Serrano. En Málaga. '...................... D. Juan Pomar. En Murcia......................... D. José Ubach. En Oviedo...................... .. D. Rubiano y Nieto. En Orense........................... D. Fernando Rey. En Lugo.............................. D. José Mar…</t>
  </si>
  <si>
    <t>Serrano, Tomas Diaz</t>
  </si>
  <si>
    <t>Tomas Diaz Serrano</t>
  </si>
  <si>
    <t>…En Guipúzcoa y. Vitoria C I&gt;. Francisco Arríeta., ¡; En Jaén......................... D. José Arroyo y Serrano y D. Francisco Lo* • ' pez Zavala. En Leon'.Jt^..¿..¿i.¿-i.’./.ICU.¿ D. Tomas Diaz Serrano* ,EniMdfkgae^.M.d:'^.d;v -D.-Júáft Pomar. ' '• *r J&gt;. íosé'Ubacb. * En Oviedo....D. Rubianó y Nieto. 'En Órense......................... D. Fernando Rey. Eii,Lugo'. '..... ...... D. José María Gayoso. jEntPaleficia.rr..,,....r..... D. Marcelino de la Torre* !…</t>
  </si>
  <si>
    <t>Sesíé, Toribio Nuñez</t>
  </si>
  <si>
    <t>Toribio Nuñez Sesíé</t>
  </si>
  <si>
    <t>…u-cámara á cumplimentarle y besar su real mano a la universid. d de Salamanca. La diputación encargada por la universidad de Facer e^te homenage á S. M. era compuesta de los Dres. D. Toribio Nuñez Sesíé, su bbiotecario mayor; D. Pedro Tiburcio Gutiérrez, catedrático de leyes; D. Miguel Marcos . catedrático de filosofía, y D. Tomas González, encargado de la de elocuencia. Acompañaban á la diputación los Excmos. Sres. duque de S. Carlos, marques de Cerralbo y…</t>
  </si>
  <si>
    <t>Sesma, Felipe de</t>
  </si>
  <si>
    <t>Felipe de Sesma</t>
  </si>
  <si>
    <t>…rrón , D. Diego Luis Salido, D. José Castellar, D. José Iglesias Barrantes , P. Ramón Losada Bernaldo de Quicós, J&gt;. José Fuentepita,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t>
  </si>
  <si>
    <t>Severo, Francisco</t>
  </si>
  <si>
    <t>Francisco Severo</t>
  </si>
  <si>
    <t>…ra su renovación, é ignorándose su parade* ro, se suplica ai sugeto en cuyo poder se hallen, ó tenga,noticia de eltos, se sirva avisar en Portugalete á ios Sres. D. Josef Mariano, D. Francisco Severo y Doña Joaquina de Larrea, y en esta corte á D. Paulino Sorzano y Soria, del comercio, portales de Santa Cruz. ^ , Se han extraviado á D. Antonio Fernandez^ presbítero, en la ciudad de Astorga, entre otros papeles y vales reales tres de 300 pesos, lino creación de Mayó, número 395476,…</t>
  </si>
  <si>
    <t>Sevilia, Juan de</t>
  </si>
  <si>
    <t>Juan de Sevilia</t>
  </si>
  <si>
    <t>…ánimo de S. M. para los demas encargos ó comisiones que sean de su Real confianza. El Rey , bien enterado de todo, y convencido hasta la evidencia su Real ánimo de la inocencia de D. Juan de Sevilia, de cuyo porte, conducta y fi delidad nunca dudó S. M.; pero que no obstante, vista la sospecha que Gontra él se deduxo ya desvanecida, estimó necesario, para satisfacción de la vindicta pública y mayor calificación de su buena opinión y la de toda la secreta…</t>
  </si>
  <si>
    <t>Sevilla, Juan de</t>
  </si>
  <si>
    <t>Juan de Sevilla</t>
  </si>
  <si>
    <t>…rmase causa, sin excepción de fue ro, ni perdonar medios ni diligencia alguna hasta descubrir su verdadero autor. De resultas de las diligencias principiadas fue puesto en arresto D. Juan de Sevilla, oficial de la secretaría de Estado y del despacho de la Guerra, por solo el indicio de haber declarado los maestros revisores de letras, nom brados para el reconocimiento y cotejo de papeles ocupados judicialmente, que la letra de Sevilla, en la qual obraban…</t>
  </si>
  <si>
    <t>Sevillano, Felipe Martin</t>
  </si>
  <si>
    <t>Felipe Martin Sevillano</t>
  </si>
  <si>
    <t>…villa de Cabezuela, en Extrema dura, cuya dotación son 8$) rs. vn. anuales. Los sugetos que quisiesen hacer solici tud dirigirán sus memoriales al alcalde ordinario de dicha villa D. Felipe Martin Sevillano. Las cartas se dirigen por rlasencia. En la villa de Mondejar, provincia de Güadalaxara, distante ocho leguas de esta corte , se llalla vacante la plaza de maestra de niñas, cuya dotación es de j\ rs. diarios pagados mensual y puntualmente, y casa. Las que qu…</t>
  </si>
  <si>
    <t>Sevillano, Juan</t>
  </si>
  <si>
    <t>Juan Sevillano</t>
  </si>
  <si>
    <t>…8 de Agosto último tuvieron el honor de ser admitidos á cum plimentar y besar la mano de S. M., en nombre del ayuntamiento del lugar de -Vicálbaro, el alcalde de primer voto de él D. Juan Sevillano, y el escri bano del mismo ayuntamiento D. Jcsé Hilario Bertrán;el qual dirigid á S. M. la palabra en los términos siguientes: ^ ,, Señor: el ayuntamiento del lugar de Vicálbaro se presenta hoy á V. M. para tributarle el homenage mas sincero, procedente del a…</t>
  </si>
  <si>
    <t>Sezanne, Marmont de</t>
  </si>
  <si>
    <t>Marmont de Sezanne</t>
  </si>
  <si>
    <t>…. _ Fecho &amp;c.” GRAN BRETAÑA. JLÓndres8deMarzo, r SECRETARIA t)E NEGOCIOS EXTRANGEROS. Concluyen los partes del coronel Loive, 12. *,En mi oficio del participé á V. la retirada del mariscal Marmont de Sezanne, á quien persiguió este exército con intención de irle á los alcances el dia siguiente hasta Feité- Gaucher. Al llegar á este pueblo supo</t>
  </si>
  <si>
    <t>Sicilia, Leonardo</t>
  </si>
  <si>
    <t>Leonardo Sicilia</t>
  </si>
  <si>
    <t>…ada T&gt;; Ramón Romay y D. Francisco Plaséncia. Será siempre sentida en él exército la pérdida de los coroneles D. Francisco Xavier Ba’anzat, dei de yólüntaritíi‘dé:*la Corona, y dé D. Leonardo Sicilia, del dé tiradores de Cantabria^: amfeósgefes eran de ios mas respetables del exército por sus virttídés militares, yautf puede decirse que eran un modelo de ellas. Seria *iñúy »prblixo !$? ihé-'éxfetídiese á informar á V. E. de las calidades persónate? &gt;de da…</t>
  </si>
  <si>
    <t>…Ajan &gt; subtenienteid., D^Jos# Moreno, ayudante del de Oviedo. D. Pedro María Fernandez/ teniente de id. D. José Castañon, subteniente de ud. D. José Gómez, s.uStjménte.;dé Laredo. D. Leonardo Sicilia, coronel de tiradores de Cantabria. .©..Pascual Perez Lazarraga, teniente de id. - , . , . r3 ' ... ■ . Heridos. ' \ El teniente general D. Gabriel de Mendizabal. D.. José | ,co&lt;r mandante general de la quarta división, brigadier, del e$j:adpr;mayor. ©on Pedr…</t>
  </si>
  <si>
    <t>Sierra, Domingo Clemente de</t>
  </si>
  <si>
    <t>Domingo Clemente de Sierra</t>
  </si>
  <si>
    <t>…s dias en tas diferentes obras tomadas, y tas pérdidas de los cuerpos de la izquierda. El comandante general que dexé encargado de parte de las oper raciones .del ata izquierea el coronel D. Domingo Clemente de Sierra reco mienda bastante la conducta, valor y servicios del capitán D. Rafael-Diez, encargado del estado mayor de la misma ala. Deseo me anuncie; V. ^E. su voluntad en quanro á la conservación ó demolición de las obras ueí Gromo y Laredo, que mantengo en su mejor…</t>
  </si>
  <si>
    <t>Sierra, Fernando de</t>
  </si>
  <si>
    <t>Fernando de Sierra</t>
  </si>
  <si>
    <t>…Manuel Iturrigaray, el de Villanueva de los Infantes ai coronel D. Mar cos Nuñez y Abreu, el de Ocaña al de igual clase D. Joaquín Manglanot y e! de Almagro al de la propia clase D. Fernando de Sierra, todos en las ordenes militares. O En atención al distinguido mérito y acendrado patriotismo que en la pa sada guerra con Francia ha acreditado D. Manuel Ximenez Guazo, oficial mayor de la secretaría de Estado y del despacho de Gracia y Justicia, en ca lidad…</t>
  </si>
  <si>
    <t>Sierra, Francisco Fernandez de</t>
  </si>
  <si>
    <t>Francisco Fernandez de Sierra</t>
  </si>
  <si>
    <t>…a núm. 4. ■■ "■ ■ ■ -■ i&gt;w' *■ Mt *?j! ■' ■■ ■ - n 11 "■—»"» ■ Nota. Enla gaceta núm. 154 del sábado 19 de Noviembre, fol. 1179, líri. 15, donde dice 2&gt;. Fernando de Sierra, léase D. Francisco Fernandez de Sierra*- ■ ' ■ Vt ■’ ■ 1 - —----- ................ EN XA IAÍFfcENTA REAX: ■ _ &gt; ■ • ; . . . , . . ': .. &gt; 1..</t>
  </si>
  <si>
    <t>Sierra, Francisco Gregorio de</t>
  </si>
  <si>
    <t>Francisco Gregorio de Sierra</t>
  </si>
  <si>
    <t>….. Dios guarde, á. V. muchos años.. Madrid 26 de Setiembre de 1814. El Rey se fia servido nombrar para una canongía de la iglesia catedral dé Oviedo, vacante por. fallecimiento de D. Francisco Gregorio de Sierra, á D. Juan Mier Gastañon: para una. capellanía de Sres. Reyes nuevos de la ciudad de Toledo, vacante por muerte de D. Carlos Duran, á D. Manuel Domingo de Perca y Arangoyti: para el. beneficio simple servidero de la parroquia de.-Stai María de Carraona, dióce…</t>
  </si>
  <si>
    <t>Sierra, Nicolás María</t>
  </si>
  <si>
    <t>Nicolás María Sierra</t>
  </si>
  <si>
    <t>…ez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 de alcaldes de Casa y Corte á D. Ignacio Martínez de Villela, y ministros de ía misma á D. Manuel María Junco, D. Diego María Vadillos, D. J…</t>
  </si>
  <si>
    <t>Sierra, Nicolás María de</t>
  </si>
  <si>
    <t>Nicolás María de Sierra</t>
  </si>
  <si>
    <t>Gaceta de Madrid n.º 70 (extraordinaria)</t>
  </si>
  <si>
    <t>…minios, -como á su Soberano, 104 diputados, á saber, 57 propietarios y 47 suplentes, como consta del acta que certificó el secretario de Estado y del despacho de Gracia y Justicia D. Nicolás María de Sierra. Pero á estas Cortes,, convocadas de un modo jamas usado en España, aun en los casos mas arduos , y en los^ tiempos turbulentos de^ minoridades de Re yes, en que ha solido, ser mas numeroso el concurso. de procurada-</t>
  </si>
  <si>
    <t>…e fué de sagrada teología, y D. Fr. Veremundo Arias, obispo de Pamplona, catedrático que fué también de teología: el Dr. D. José Mintegui, catedrá tico jubilado de cánones; el Dr. D. Nicolás María de Sierra, del consejo Real, catedrático que fué de elocuencia; el Dr. D. Diego Antonio Ramos Aparicio, catedrático actual de historia eclesiástica ; los Dres. D. Andies Aransai, D, Agustín Librero y D. Fernando Velez, capellanes de honor de S. M.; el Dr. D. Andrés Cer…</t>
  </si>
  <si>
    <t>…tonio de Inguanzo.... Burgos y Santander. Sr. D. Benito Arias de Prada.. .......... Cartagena, Segovia y Osma. Sr. D. Gerónimo Diez........................ Coria) Astorga y Cádiz. Sr. D. Nicolás María de Sierra........... Ciudad'Rodrigo, Jaca y Málaga. Sr. D. José Antonio Larrumbide..... Toledo (excepto Madrid) Uclés y . . León en tas Ordenes. Sr. D. Luis Melendez Bruna............ .Sevilla, Sigüenza, Jaén y Pamplona* En atención á los buenos servicios de D. Blas de…</t>
  </si>
  <si>
    <t>…da en Madrid á 8 de Julio de 1814. = YO EL REYá = Yo Don Juan Ignacio de Ayestarán, Secretario del Rey nuestro Señor, lo hice es cribir por su mandado. = El Duque dei Infantado. = D. Nicolás María de Sierra. = D Antonio Alvarez de Cóntreras. = D. Sebastian de Torres. = Don Luis Meiendez y Bruna. =Registrada, Fernando de Iturmendi. =rleniente de Canciller mayor, Fernando de Iturmendi. = Es copia de su original, de que certifico. D, Bartolomé Muñoz,</t>
  </si>
  <si>
    <t>…O EL REY. = Yo D. Juan Igna cio de Ayestarán, Secretario del Riey nuestro Señor, lo hice escribir por su mandado. = El Duque del Infantado. = D. Juan Antonio González Carrillo. s= D. Nicolás María de Sierra. = D. Sebastian de Torres. = D. Luis Melendez y Bruna. = Registrada, Fernando de Iturmendi. = Teniente de Canci ller mayor, Fernando de Iturmendi. El Rey nuestro Señor en consideración á los distinguidos servicios y di* latado mérito del mariscal de campo D.…</t>
  </si>
  <si>
    <t>Sierra, Vfctór</t>
  </si>
  <si>
    <t>Vfctór Sierra</t>
  </si>
  <si>
    <t>…on el mismo ob— jetó el teniente D. Mánuel Caballero del’Pozo y el subteniente D. Roque JáGmci Valle. Ultimamente se distinguió en esta acción el teniente de bása las de Cantabria D. Vfctór Sierra, que con siete soldados dispersé1 quatrto campa-más enemigas que estaban sostétíiend'b sus guerrillas,-y despüés de ha1-' heridó á algunos 7 y hecho' prisionérós á varios, se retiro;á j&gt;ie por haber perdido su caballo’ ¿n * la carga que les di'ó-.1 ‘Todo lo q…</t>
  </si>
  <si>
    <t>Sil, Manuel</t>
  </si>
  <si>
    <t>Manuel Sil</t>
  </si>
  <si>
    <t>…ef de Ázanza , D, Gonzalo O-Farril, marquesa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 Alonso, D: Francisco Alonso, D. Antonio Bera2a y D. Jose…</t>
  </si>
  <si>
    <t>Siles, Antonio</t>
  </si>
  <si>
    <t>Antonio Siles</t>
  </si>
  <si>
    <t>…de visitarla Real escuela de Taquigrafía. Recibid á S. AL y AA. una comisión de la Reai sociedad,patriótica de Aíadrid, compuesta de su director el'Excmo. Sr. duque de I-lijar, de D. Antonio Siles, D. Joa quín de la Croix y Vidal, D. Ramón Rise!, D. Luis Gabaldon, D. Anto nio Regás, D. Tiburcio Hernández, D. José María Celas, D. Francisco Fernandez, D. Antonio Osteret, D. Victoriano Rodríguez y D. Francisco de Paula Martí, maestro de dicha escuela, qui…</t>
  </si>
  <si>
    <t>Silva, José</t>
  </si>
  <si>
    <t>José Silva</t>
  </si>
  <si>
    <t>…nición en Zaragoza, está Vicente Zamora , natural de Tala vera: la persona que sepa el para dero de dicho sugeto ó de) regimiento se servirá avisar por medio de esta ó por carta á D. José Silva, oficial mayor de correos de Talavera de la Rcyna. D. Pascual Vasallo, del comercio de Alicante, hace saber á sus corresponsa les y demas personas que le favorecen con su amistad, que cautelosamente se ha presentado en varias partes del reyno á algunos de ell…</t>
  </si>
  <si>
    <t>Simbschen</t>
  </si>
  <si>
    <t>258</t>
  </si>
  <si>
    <t>…o querrá participar de los riesgos y laureles de sus compatriotas y de sus valientes aliados ?/ „He establecido mi quarteL general «n Thonon. —Conde Sonra,z. % gene ral sardo.” El general Simbschen por su parte ha apoyado este llamamiento, recor dando á los saboyanos el ejemplo de España, de Alemania y de Holanda». SUIZA. Bii site a 2 &amp; de Enero,. Orden del dia del general conde Wiitgenstein. d su exército desde Rasrtadt el 1? de Enero. * Soldados: el T…</t>
  </si>
  <si>
    <t>…. 1 Parece queíos monarcas aliados han tomado baxo su protección al rey de Cerdeña., qn cuyo nombre se ha publicado la siguiente proclama con la autorización deLgeneral austriaqo barón Simbschen, que pasó porThoBon el 14 del pasado. v*</t>
  </si>
  <si>
    <t>Simón</t>
  </si>
  <si>
    <t>…como tengo participado á V. E , llegó el coronel Cook de París para informarme de los acontecimientos de aquella ciudad hasta la noche del 7. Le acompañaba en su viage ei coroi eí Sr. Simón, encargado por el gobierno provisional de París de informar á los mariscales Soult y Suchet de los mismos acontecimientos. Al principio el mariscal Soult no creyó la noticia bastante auténtica para decidirse á enviar su adhesión al gobierno provisional, y me…</t>
  </si>
  <si>
    <t>Sistemes, Joaquin</t>
  </si>
  <si>
    <t>Joaquin Sistemes</t>
  </si>
  <si>
    <t>…z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cirujano mayor de exército, se servirá avisarlo en esta…</t>
  </si>
  <si>
    <t>Six</t>
  </si>
  <si>
    <t>…do del teniente D. Antonio López y cadete Don Joaquin Miranda, la compañía de infantería de Puebla al del alférez D. Mi guel Calderón, 40 dragones de Ayacapistla y Janacate al del capitán D. Six to Manso y teniente D. Pedro Dávalos, igual número de Izucar y Chetla al del teniente D. Mariano Comoforte y D. Ignacio Adorno, y una guerri lla de dragones fieles del Potosí al cargo del cabo Reyes González, que to dos ascendían á 186 hombres. La fuerza del…</t>
  </si>
  <si>
    <t>Sixto</t>
  </si>
  <si>
    <t>…ras letras á todos los jóv&amp;nls de la población, pagando una módica cantidad los pudientes, y recibiendo gratuita esta enseñanza todos los pobres del vecindario. **'it " c-, j j El Sr. Sixto ley&gt;&lt;3í uh^discutso^íen élnque expfiíso los diversos medios que pudieran adoptarsd para hospicio: de. usta ciudad , lejos, de ser una car*</t>
  </si>
  <si>
    <t>Sker</t>
  </si>
  <si>
    <t>…muralla hasta las n y media de la misma noche. Entretan o la pérdida irreparable del brigadier general Gore y del te niente coronel Jorge Carleton y la herida peligrosa del mayor general Sker ret, habiendo privado á la columna de la derecha de sus importantes servi cios, se puso esta en desorden, y experimentó una pérdida considerable en muertos, heridos y prisioneros. Habiéndose visto obligada la columna del centro á replegarse con una pérdida co…</t>
  </si>
  <si>
    <t>Skerret</t>
  </si>
  <si>
    <t>40 2 general Skerret y el brigadier Gore con la de la derechj; esta fue la pri mera que se abrió paso en el cuerpo de la plaza. Estas dos columnas tenían Orden de extenderse por la muralla, y juntarse lo mas pronto posible, y apoyar en Seguida la columna del centro, ó forzar la p…</t>
  </si>
  <si>
    <t>…. Despees que nos establecimos y ocupamos algunas casas, desde las quales podía el enemigo incomodarnos, envié una fuerte patrulla hacia el punto por donde habian entrado el mayor general Skerret y el teniente coronel Carleton, y al mis mo tiempo destaqué al teniente coronel Clifton con una partida deiGuardias del primer regimiento para asegurar la puerta de Ambéres,¡y ver si podría adquirir noticias del teniente coronel Morrice. El teniente coronel C…</t>
  </si>
  <si>
    <t>…a puerta del Puerto se habian visto obliga das á rendirse, y que marchaba con escolta á la ciudad. También supe la suerte del destacamento del teniente coronel Clifton , del mayor general Skerret, dei mayor general Gore y del teniente coronel Carleton , y que las tropas que mandaba habian padecido mucho, y habian sido rechazadas de los pumos avanzados en lo largo de la muralla adonde habian penetrado. Como yo estaba convencido de que prolongando el co…</t>
  </si>
  <si>
    <t>Skiolde</t>
  </si>
  <si>
    <t>…eros se necesitaban 24 horas para echar uno. , Las tropas eotraton en el pueblo á Es diez de la noche. El enemigo se retiró á Segeberg, adonde se encamina e; general Walmoden : el general Skiolde; rand empezó esta mañana á las seis á perseguir al enemigo con su caba.l ría. Ya se han h cho algunos centen res de prisioneros. , Los. habitantes de Luheck estaban determinados á auxiliar con las armas los esfuerzos del exército que venia á restablecer su an…</t>
  </si>
  <si>
    <t>Skjoldebrand</t>
  </si>
  <si>
    <t>…el general mayor conde G. de Morner, ocupan las islas de Valoe, que son la llave del golfo de Cristiania. El coro nel Flay ha desembarcado ya en la isla septentrional de Sandó, el coronel Skjoldebrand en la Sandó meridional, y el mayor Hay en la de Ulerfon. El enemigo Jia dexado muchos efectos, y arrojado al mar varios cañones. Los habitantes se muestran contentos y felices al ver terminados sus traba jos, y acusan á los hombres poderosos como autores de t…</t>
  </si>
  <si>
    <t>Smith</t>
  </si>
  <si>
    <t>…Graham. Mi general: tengo la honra de comunicar á V. E. que la columna que atacó por el lado de Ambéres entró en la plaza el 8 á eso de las once y me dia de la noche. El teniente, coronel Smith y el capitán sir G. Hoste, del cuerpo de ingenieros, hicieron los esfuerzos posibles para ¡untar las escalas y los tablones necesarios á fin de efectuar el asalto, colocarlas para baxar al roso, y subir á la muralla del cuerpo de la plaza,: en el curso de est…</t>
  </si>
  <si>
    <t>Smith, Carmichael</t>
  </si>
  <si>
    <t>Carmichael Smith</t>
  </si>
  <si>
    <t>…rdida de tiempo se dispusieron las baterías, y por el esfuerzo de los artilleros é ingenieros, aquellos á las órdenes del teniente coronel sir G. Wood , y estos á las del teniente coronel Carmichael Smith, estuvieron pron tas á las tres y media de la tarde del dia 3. En esta hora rompieron el fue go Tas baterías, y durante el corto ensayo de aquella tarde se conoció bien el defectuoso estado de los morteros de Williamstadt y de las municiones. De este modo se…</t>
  </si>
  <si>
    <t>Smitli, Hamilton</t>
  </si>
  <si>
    <t>Hamilton Smitli</t>
  </si>
  <si>
    <t>…mer teniente del Horacio, y á todos los oficiales; ma rineros y soldados de marina que han servido á mis órdenes en esta empresa. Ko puedo menos de manifestar mi agradecimiento al capitán Hamilton Smitli, del departamento del quartelniaestre general; su auxilio y consejos, juntos á su conocimiento de la lengua holandesa, han contribuido bastante al buen éxito de estas operaciones. Incluyo la lista de la artillería tomada. =: G. Stuart (Sigue la lista de 14 pi…</t>
  </si>
  <si>
    <t>Sobrado, Felipe</t>
  </si>
  <si>
    <t>Felipe Sobrado</t>
  </si>
  <si>
    <t>…é instructivas. Consta de dos tomos en 4. , que se venden en la librería de Pcrez, calle de las Carretas, á 44 rs. en rústica. Odas de Horacio, traducidas en verso castellano por D. Felipe Sobrado, mi nistro de !a audiencia de Galicia: un tomo en 8.°, impreso y publicado en la Co rtina. Se vende en las librerías de Collado, calle de la Montera, y de Matute, ca lle de las Carretas. En la librería de la viuda de Quiroga, calle de las Carretas, se hallará…</t>
  </si>
  <si>
    <t>Sobrevía, José</t>
  </si>
  <si>
    <t>José Sobrevía</t>
  </si>
  <si>
    <t>…22 de Setiembre de 1813. Tiene á su frente por director primtíro al Exemo. Señor -'duque de Iíijar, marques de Ozoni, conde de Aráñday y por director se-1 gundo al señor canónigo D. José Sobrevía. En la elección de oficiales sé nombró censor al Sr. D. Agustín Alegre, abogado, alcalde primero consti tucional; contador al Sr. D. Antonio Herranat, y tesorero al Sr. D. Andrés 3Ma-riá , abogado. Declarada vacante Ik secretaría principal quedesempeñaba rD.…</t>
  </si>
  <si>
    <t>Sobrinos, Agustín</t>
  </si>
  <si>
    <t>Agustín Sobrinos</t>
  </si>
  <si>
    <t>…mano á S. M. y A A. una di putación de la villa de Talavera de ía Reyna, compuesta del Sr D. Ilde fonso Martin Gutiérrez, alcalde primero, délos Sres. D. Manuel Rubio Es cudero y D. Agustín Sobrinos, regidores, y del Dr, D. José María de la Paz Rodríguez, procurador síndico general de su ilustre ayuntamiento, el primero de los quales manifestó á S. M. en un breve y ■ enérgico discurso quan satisfactorio era al ayuntamiento y á los leales vecinos de Talav…</t>
  </si>
  <si>
    <t>Sobron, Francisco Antonio</t>
  </si>
  <si>
    <t>Francisco Antonio Sobron</t>
  </si>
  <si>
    <t>…ña Joaquina, Doña María del Carmen", Doña Teresa y Doña Ber narda López Val verde han hecho cesión á S. M. de 137 25 rs. vn. que im portan sus haberes de la pensión que disfrutan. Don Francisco Antonio Sobron ha ofrecido á S. M. 3© rs. que entregó en calidad de empréstito al ayuntamiento de Miranda de Ebro. Do ! Narciso de Oñate ha ofrecido al Rey por la primera secretaría de Estado © rs. vn. para las urgencias del estado. Ulti-Humeme un sacerdote, que por modesti…</t>
  </si>
  <si>
    <t>Socies, Miguel</t>
  </si>
  <si>
    <t>Miguel Socies</t>
  </si>
  <si>
    <t>…del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t>
  </si>
  <si>
    <t>Sofdevilia, Carlos</t>
  </si>
  <si>
    <t>Carlos Sofdevilia</t>
  </si>
  <si>
    <t>2046 El Rey se ha servido nombrar para la vara primera de Granada á Don Carlos Sofdevilia: para la segunda á D. Felipe Sandovai y Chaves: para que sirva interinamente el juzgado de letras de la ciudad de Larca á D. José Salustiano de Cáceres: para que continúe por ahora en el corregimiento de Lucena á E). Manuel Ortiz de Pinedo: para la vara de al…</t>
  </si>
  <si>
    <t>Sojo, Luis de</t>
  </si>
  <si>
    <t>Luis de Sojo</t>
  </si>
  <si>
    <t>…a. , . ; La persona que tenga derecho á los bienes de Doña Nícolasa Blanco, que fa lleció en esta corte el 22 de Febrero de 1812 , y vivía en la calle de Fúcar, acirdirá.á casa de D. Luis de Sojo, del comercio, calle de„ pQStas.-» ,. •, ... ,Nociones ds economía política y de la ciencia de hacienda, apoyadas encías leyes é historia de España, por D. José Canga Arguelles. ;= Memorias- económicas y políticas de D. José Canga Arguelles, siendo.secretario…</t>
  </si>
  <si>
    <t>Solano, Estanislao</t>
  </si>
  <si>
    <t>Estanislao Solano</t>
  </si>
  <si>
    <t>…infantería, redactada sobre una instrucción de Federico ic á sus oficiales de caballería é infantería, y reimpresa por orden del general G. L. Suchet, traducida al castellano por D. Estanislao Solano, y dada á luz por un ami go suyo. Se hallará en la librería de Orea, calle de la Montera, frente á S. Luis, á 10 rs. en pasta: un tomo en 8.° También se hallará esta obra en Cádiz en la .libre ría de Castillo, calle de S. Francisco, y en Logroño en la de Brie…</t>
  </si>
  <si>
    <t>Solares, Bernardo de Riega y</t>
  </si>
  <si>
    <t>Bernardo de Riega y Solares</t>
  </si>
  <si>
    <t>…icos de D. José del Rivero Cevalb s, contador general de la Real lotería, se ha dignado concederle los honores de ministro del tribunal de la contaduría mayor de cuentas. El limo. Sr. D. Bernardo de Riega y Solares, del consejo y cámara de S. M. en el supremo de Castilla, co no ae&lt;or de la Rea! ca a, consecuente á Real orden de 30 último, comur i ad* p' r el Fxcmo. Sr duque de San Car los, mayordomo mayor de S. M., por auto de di T ayer ha m. nchdo sacar Úpública subast…</t>
  </si>
  <si>
    <t>Solares, Francisco</t>
  </si>
  <si>
    <t>Francisco Solares</t>
  </si>
  <si>
    <t>…pérdida de instante al comandante de armas de &lt;5Zaeualtipan, capitán D. José Antonio del Callejo, asegurándole podía contar con el destacamento de Xochlcoatlan, á cuyo comandante capitán D. Francisco Solares con la misma fecha pasaba orden de que se sujetase á sus órdenes en caso de citarlo para perseguir á esa gavilla. Asi lo veriñcó este oficial, y con fecha 12 deí que acaba me comunica que habiéndolo destinado el capitán Callejo al punto de Tezcntecomatlan , p…</t>
  </si>
  <si>
    <t>Solekow</t>
  </si>
  <si>
    <t>…tación de tres miembros del mismo senado el día 17 del mismo mes para presentar el decreto al empera dor. La diputación se compone del príncipe Kurakin, del general Tormasow y del general Solekow. . . El número de los individuos de la cámara de los pares en Francia as ciende á 154; entran en este número todos ios mariscales, excepto Davoust. Estos nombramientos son vitalicios. ESPAÑA. Oviedo 2 de Junio. La restitución de nuestro amado Monarca el Sr. D…</t>
  </si>
  <si>
    <t>Solís, Ramón</t>
  </si>
  <si>
    <t>Ramón Solís</t>
  </si>
  <si>
    <t>…d de id. D. Jacobo Saavedfa, id. de id. D. Rafael Martínez, ayudante de Marina. D. Alexandró: Larrüa, teniente de id. D. Manuel Rodríguez, subteniente de vo luntarios de Asturias. D. Ramón Solís, teniente de la Corona. D. Antonio María de Castro, id. de id. D. Manuel Ramón Castell, id. de id. D. An drés Gayoso,, subteniente de id. D. Pedro Cid, id. de id. D. Lorenzo As ease) ¿ teniente coronel del de Ribero. D. Bartolomé Sotelo, capitán de id. D. Joa…</t>
  </si>
  <si>
    <t>Solis, Sebastian Vicente de</t>
  </si>
  <si>
    <t>Sebastian Vicente de Solis</t>
  </si>
  <si>
    <t>…os y buenos servicios del contador honorario de exército D. Átanasio Quintano y Ruiz* contador, principal de rentas de la provincia de Murcia * y en consideración á los méritos de D. Sebastian Vicente de Solis, nombrado superintendente administrador* de la Real fabrica de cigarros de Alicante, ha venido S. M. en concederles los honores de intendente de provincia. El Rey se ha servido nombrar para el corregimiento de la ciudad de Astorga á D. Basilio García Manrique…</t>
  </si>
  <si>
    <t>Sollozo, Antonió Fermín</t>
  </si>
  <si>
    <t>Antonió Fermín Sollozo</t>
  </si>
  <si>
    <t>…e frágil t‘á{iV íos alféreces de navio D. Juan de A zas, D. Loren zo Villegas, D. Josef Pumarejo y I). Carlos Calafat, y á alféreces de na¿vío á íos de fragata D. Alexandro Pusa , D. Antonió Fermín Sollozo, Don Román Ayala , D. Rafael Martínez, D. Juan Moreno, D. Francisco Cha morro ,D. Joaq'Difi'Argiiel les y D. Miguel Ordoñez. La Regencia del Reyrió se Ki servido conferir el empleo de coronel del regimiento de de Burgós 'ai de la misma telase del 2.0 de -igua…</t>
  </si>
  <si>
    <t>Sollozo, Fermín</t>
  </si>
  <si>
    <t>Fermín Sollozo</t>
  </si>
  <si>
    <t>…idos, prisioneros y extraviados del quarto exírcito. Muertos. * • , * ■ '■ i D. J uan Sánchez Garrido, teniente del 2.0 de Asturias. D. Carlos Calafiat, capitán del ó.° de Marina. D. Fermín Sollozo, teniente de id. D. Francisco Xavier Pialanzat, teniente coronel de voluntarios.de la Carona, D.*Mapuel José Pii^a, teniente de id. D. Francisco Ajan &gt; subtenienteid., D^Jos# Moreno, ayudante del de Oviedo. D. Pedro María Fernandez/ teniente de id. D. José Ca…</t>
  </si>
  <si>
    <t>Solsoria, Francisco Arjona</t>
  </si>
  <si>
    <t>Francisco Arjona Solsoria</t>
  </si>
  <si>
    <t>7 6o Sr. D. Antonio Ignacio de; Coriabarría............7...................................... Madrid. ^ ' Sí. D. Francisco Arjona Solsoria, Urgel, Tarazón a y Bar• • . i-.:-- -¿u" •/ bastro. . Sr. D. Miguel Alfonso Villagomez... Canaria y Ceuta. Sr. D. Juan Antonio Carrillo............. Cuenca) Badajoz y Plasencia. Sr. D. Tomas Moyano......... Córdoba) Valencia, Segorbe y Ori; huela. Sr¿ D. Juan…</t>
  </si>
  <si>
    <t>Somercet, E.</t>
  </si>
  <si>
    <t>E. Somercet</t>
  </si>
  <si>
    <t>…, sostenidas pprda-caballen^mgiepy debiar^tac sii&amp;ftfta E! teniente general s:r Stapletton Cotton deoia también seguir los movimientos del ma riscal con la brigada de húsares, del lord E. Somercet; y la brigada del co ronel Víviane, al mando del córonel Areritchyld",' debía observar los movi mientos-de da caballerea enemiga por ambas orillas d.el jErs, inas alta de nues tra izquierda. La tercera división y la ligera, al mando del teniente general, Pict…</t>
  </si>
  <si>
    <t>Somersct, Eduárd</t>
  </si>
  <si>
    <t>Eduárd Somersct</t>
  </si>
  <si>
    <t>…cet y Lanoy , ha llándose el general Clinton con la sexta división, y el teniente general sir Stapletton Cotton con las brigadas de caballería del mayor general Ponsoinb y y y del lord Eduárd Somersct bien avanzados sobre su derecha. Aunque la resistencia del enemigo no haya sido de naturaleza de poder probar la bizarría de las tropas, tengo todos los motivos para estar satisfe cho de su conducta en todas estas acciones, particularmente de la de la tercera…</t>
  </si>
  <si>
    <t>Somerset, Eduardo</t>
  </si>
  <si>
    <t>Eduardo Somerset</t>
  </si>
  <si>
    <t>…s puentes de aquel rio. La derech^ del exército y la derecha de su centro se reunieron enfrente de Or tés: el teniente general sir Stapleton Coton con la brigada de ca ballería de lord Eduardo Somerset, y la tercera división, al man do del general Picton, se colocaron cerca del puente destruido de Berens; y el mariscal Beresford con las divisiones quarta y sépti ma, mandadas por el general Colé y el mayor general Walker, y la brigada del coronel Viviane hác…</t>
  </si>
  <si>
    <t>Somerset, Fitt Roí</t>
  </si>
  <si>
    <t>Fitt Roí Somerset</t>
  </si>
  <si>
    <t>…clase de asistencia del quartelmaestre general el mariscal de campo sir Jor ge Murray, y del ayudante general el mariscal de campo sir Eduardo Packenan, de los tenientes coroneles lord Fitt Roí Somerset, Campbell, y de los oficiales adictos á mi persona. Remito este pliego por mi secretario de campaña el brigadier D. Josef O-Lawlor, y ruego se me permita recomendarlo á la protección de V. E.,</t>
  </si>
  <si>
    <t>Somerset, Fitz Roy</t>
  </si>
  <si>
    <t>Fitz Roy Somerset</t>
  </si>
  <si>
    <t>…ción. Estoy igualmente re-conocido al quartelmaestTe general sir Jorge Murray,. al ayudante general sir G. Pakenhan por la asistencia que me prestaron en este dia, como también al lord Fitz Roy Somerset, á los oficiales de mi estado mayor personaly y al mariscal de campó D. Miguel de Alava. Las últimas noticias que he recibido de Cataluña son del 20 de Febrero. Los comandantes franceses de Lérida, Mequinenza y Monzón habían evacuado aquellas plazas en virtud…</t>
  </si>
  <si>
    <t>Somerset, Fitzroy</t>
  </si>
  <si>
    <t>Fitzroy Somerset</t>
  </si>
  <si>
    <t>…á los quales habían fixado un valor nominal y arbitrario. / La gaceta ministerial publicó ayer el nombramiento del lord Wellington para la embaxada de Francia, y el del honorable lord Fitzroy Somerset para secretario de esta misma embaxada. La comida que esta ciudad piensa dar al lord Wellington será igual á la que esta misma corporación dió en estos últimos dias á los soberanos extrangeros, y en la qual los gastos ascendieron á 17© libras esterlinas. FRAN…</t>
  </si>
  <si>
    <t>Somerset, G.</t>
  </si>
  <si>
    <t>G. Somerset</t>
  </si>
  <si>
    <t>…pas en la mayor confusión y desorden. El reniente general sir Stapleton Coton aprovechó entonces la única oportunidad que se le presentó para cargar al enemigo con la bri gada del lord G. Somerset en las inmediaciones de Sault de Navailles, de donde el enemigo había sido arrojado desde el camino real por el general Hill. El regimiento de húsares núm. 7.0 se dis tinguió én esta ocasión , y tomó muchos prisioneros. Continuamos el alcance hasta la noche,…</t>
  </si>
  <si>
    <t>Somerset, Gi</t>
  </si>
  <si>
    <t>Gi Somerset</t>
  </si>
  <si>
    <t>…ras de la posición enemiga; y estas y la séptima, al man do del. general Walker, durante la'retirada del enemigo. La carga executada por el regimiento 7.0 de húsares, al mando del lord Gi Somerset, es sumamente meritoria; y la conducta de la artillería durante este dia merece toda mi aprobación. Estoy igualmente re-conocido al quartelmaestTe general sir Jorge Murray,. al ayudante general sir G. Pakenhan por la asistencia que me prestaron en este dia, c…</t>
  </si>
  <si>
    <t>Sommariba</t>
  </si>
  <si>
    <t>…a llegada de Quosdanovich, que obligó al enemigo á abandonar las venta jas conseguidas, retirándose hasta Mantua y á la cabeza de puente de Goi to, y dexándose 500 prisioneros. El general Sommariba rechazó con buen éxito una salida con 2© hombres que hizo la guarnición de Peschiera. Según las ultimas noticias del general Tomassich, los fuertes y la ciudadde Ragusa se rindieron el 29 de Enero después de varios dias de ataques, y quando ya estaba todo dis…</t>
  </si>
  <si>
    <t>Soria, Paulino Sorzano y</t>
  </si>
  <si>
    <t>Paulino Sorzano y Soria</t>
  </si>
  <si>
    <t>…to en cuyo poder se hallen, ó tenga,noticia de eltos, se sirva avisar en Portugalete á ios Sres. D. Josef Mariano, D. Francisco Severo y Doña Joaquina de Larrea, y en esta corte á D. Paulino Sorzano y Soria, del comercio, portales de Santa Cruz. ^ , Se han extraviado á D. Antonio Fernandez^ presbítero, en la ciudad de Astorga, entre otros papeles y vales reales tres de 300 pesos, lino creación de Mayó, número 395476, y los dos de Enero, números 374114 y 375476;…</t>
  </si>
  <si>
    <t>Soriano, Nicolás</t>
  </si>
  <si>
    <t>Nicolás Soriano</t>
  </si>
  <si>
    <t>…is deberes recomendar á V. S. á todos los señores oficiales y soldados que se hallaron en la acción, sin que dexe de hacer especial mé rito del teniente de la segunda de fusileros D. Nicolás Soriano, y dei subte niente de la de granaderos D. Mariano Gómez, que se batieron con un de nuedo sin igual, animando con su exemplo á los demás, y contribuyendo per su parte al mejor logro de la empresa. = Dios guarde á V. S&gt; mucho* años. = Banaguás 11 de Octubre de…</t>
  </si>
  <si>
    <t>Sotelo, Bartolomé</t>
  </si>
  <si>
    <t>Bartolomé Sotelo</t>
  </si>
  <si>
    <t>…ría de Castro, id. de id. D. Manuel Ramón Castell, id. de id. D. An drés Gayoso,, subteniente de id. D. Pedro Cid, id. de id. D. Lorenzo As ease) ¿ teniente coronel del de Ribero. D. Bartolomé Sotelo, capitán de id. D. Joaquín Zarráélná ¿-subteniente de id. D. Ramón de Muniz, sargento mayor ac Oviedo. D. Alberto Rodríguez, capitán de id. D. Fermín Rol dan^ teniente de id. D. José Morrillo, subteniente de id. D. Vicente Castañon, capitán del i.° Cántabro D…</t>
  </si>
  <si>
    <t>Soto, Antonio Perez de</t>
  </si>
  <si>
    <t>Antonio Perez de Soto</t>
  </si>
  <si>
    <t>928 El día 31. del corriente se celebrará en la villa de IUescas feria, en los mismos términos que se celebró en el año de 1808 y anteriores. A instancia de los herederos de D. Antonio Perez de Soto se ha señalado '1 día io de Setiembre, á las quatro de su tarde, en la posada del’Sr. D. Francisco Assin, teniente corregidor de esta villa, para celebrar junta general de acreedores á las casas que fueron de dicho Soto, á efecto de que se enteren de las prop…</t>
  </si>
  <si>
    <t>Soto, Benito Fernandez de</t>
  </si>
  <si>
    <t>Benito Fernandez de Soto</t>
  </si>
  <si>
    <t>…admitidos á cumplimentar á S. M. en nombre de la villa de Pinto y su cabildo eclesiás tico el licenciado D. Antonio García Bermejo, cura párroco; D. Francisco Cabello, regidor, y D. Benito Fernandez de Soto, procurador síndico ge nerábale la misma villa; el primero de los quales arengó á S. M. en los tér•ininos siguientes:; ; :............. „ Señor: quando lá villa de Pinto tuvo el honor de presentarse á V. M. al paso por su término, se entregó toda al gozo de v…</t>
  </si>
  <si>
    <t>Soto, José</t>
  </si>
  <si>
    <t>José Soto</t>
  </si>
  <si>
    <t>…se á la. ciudad salieron á recibirle el Excmo. Sr. capitán general, el comandante de la plaza, el muy ilustre cabildo eclesiástico, representado por los canónigos D. Tomas Naudin, D. José Soto y D. Juan Bautista Perez Caballero, y la comisión de los caballeros maestrantes. Este ayuntamiento constitucional tuvo la complacencia de felicitar á S. A. al llegar á la puerta de S. Vicente, pronunciando el alcalde primero Dr. D. Tomas Ausina un breve y enérgico discurso. Por medio…</t>
  </si>
  <si>
    <t>Sotomayor</t>
  </si>
  <si>
    <t>…quienes no pudieron retirar los franceses con la sor-? presa: estos fueron cogidos en Zaragoza , Lérida y Santander. Entre ellos se halla el teniente coronel D. Antonio Prado. El general Sotomayor ha quedado en Londres, y no tardará en pasar á España con i©-hombres, también deseitados en diferentes puntos de Francia: los prusianos quisieron darle el mando de una división, y no lo admitid por volver á servir en su patria. Han llegado cinco transportes c…</t>
  </si>
  <si>
    <t>Sotomayor, Gaspar Alvarez de</t>
  </si>
  <si>
    <t>Gaspar Alvarez de Sotomayor</t>
  </si>
  <si>
    <t>…M. y be sar su Real mano en nombre del ilustre ayuntamiento de la ciudad de La cena el Excmo. Sr. conde de Colomera, capitán general de los Reales exércitos, el mariscal de campo D. Gaspar Alvarez de Sotomayor, y el con sejero de Hacienda D. Pedro Nicolás del Valle; el primero de los quales se explicó del modo siguiente : „ Señor : la ciudad de Lucena tiene el honor de presentarse á los pies de V. M. y besar su Real mano por medio de nosotros sus representantes, co…</t>
  </si>
  <si>
    <t>Soult</t>
  </si>
  <si>
    <t>…chos años. Quatrel general de S. Juan de Luz 19 de diciembre dé 1813. = Exorno. Sf.—Wellington, duque de Ciu dad-Rodrigo. = Exemo. Sr. D. Juan O-Donoju.» Al paso dé las tropas del general Soult por las inmediaciones del rio1 Júcar en el mes de octubre/de i8r.a, saquearon la casa de campo de Doña María Roxo. En uno de los muchos baúles escondidos que descubrieron habia varios vales reales, de los qpales se han encontrado algunos hechos pedazos, y otr…</t>
  </si>
  <si>
    <t>…este asunto , ni tampoco sé quál.haya sido el resultado. Se espera ba en Cataluña que el mariscal Suchet evacúase aquella provincia, y aquí tengo oido que viene á juntarse con el mariscal Soult. Aun no he recibido ef- parte detallado dé la capitulación de Jaca. Adjun to remito ei estado de las pérdidas que ha experimentado el exércitó estos días j y este oficio lo presentará á V. E. mi ayudante de campo el teniente coronel D. Henrique Crokembourg, á…</t>
  </si>
  <si>
    <t>…al servicio francés, encargados el primero por el ministro de S. M. Británica cerca del rey de Prusia, y el segundo por el go bierno provisional de París, de informarnos á mí y al mariscal Soult del estado de los negocios en aquella capital, que ellos dexaron á la media noche del dia 7. Por lo que estos oficiales refieren, y por varios documentos que han presen tado, parece que los aliados entraron en País el dia 31 de Marzo, y poco des pués de su en…</t>
  </si>
  <si>
    <t>…pañaba en su viage ei coroi eí Sr. Simón, encargado por el gobierno provisional de París de informar á los mariscales Soult y Suchet de los mismos acontecimientos. Al principio el mariscal Soult no creyó la noticia bastante auténtica para decidirse á enviar su adhesión al gobierno provisional, y me proponía el acceder á una sus pensión de hostilidades, que le diera el tiempo necesario para asegurarse de la verdad de aquellas ocurrencias; pero yo no c…</t>
  </si>
  <si>
    <t>…o á mas la ciudad hecho considerables gastos para ocur rir al alivio del gran número de tropas que ha transitado por ella; particu larmente del quarto exército quando perseguía al general Soult: habiendo es tablecido á mas con las aniquiladas fortunas de sus vecinos un hospital de Óoo camas, en el que se asistieran y curaron «nichos de los individuo* de aquellas valientes tropas. ■ / r ^ , „ Dígnese pues V. M. admitir homenages tan debidos; dispensa…</t>
  </si>
  <si>
    <t>Sousa, Francisco Caraza y</t>
  </si>
  <si>
    <t>Francisco Caraza y Sousa</t>
  </si>
  <si>
    <t>…de D. Ma nuel de Roa á otra canongía de la ig!esia metropolitana de Valen.ia, á D José Antonio Sainper : para otra canongía de la iglesia catedral de C diz, vacante por muerte de D. Francisco Caraza y Sousa, deán que fue de la mi ma iglesia, á l&gt;. Manuel IBen'rto Bestoso; y por eí aprecio y considera ción que han debido á S. M. los extraordinarios méritos y servíaos de Don Fr. Te&lt; baldo Rodríguez Gallego, monge bernardo, del gremio y claustro de la universidad d…</t>
  </si>
  <si>
    <t>Sousa, José</t>
  </si>
  <si>
    <t>José Sousa</t>
  </si>
  <si>
    <t>…. Ventura Noguérra, id. de id. D. José María Falcon, sargento mayor del de Ri bero. D. Ramón de Castro, capitán de id. D. Pedro Neyra, teniente de id. XX Ruperto Otero, id. de id. D. José Sousa, subteniente de id. D. Mi guel Santos, id. de id. D. Tomas Nogueyra, id. de id. D. Francisco Villariño, id. de id. D&gt; Francisco Rúa, teniente del de Oviedo. D. Ramón Gastellá; id. de id. D. Ramón Collast, subteniente de id. D. José Ordoñez, id. de id. D. Pedr…</t>
  </si>
  <si>
    <t>Souza, José Luis de</t>
  </si>
  <si>
    <t>José Luis de Souza</t>
  </si>
  <si>
    <t>…plimiento en la parte que le toca. Dios guarde á V. muchos años. Madrid 16 de Agosto de 1814. El dia 25 del pasado se sirvió admitir S. M. á su primera audiencia y presentación al caballero D. José Luis de Souza, enviado extraordinario y ministro plenipotenciario de Portugal, quien tuvo la honra con este motivo de presentar sus credenciales! El Rey nuestro Señar tuvo á bien señalar la hora de las 12 del dia 19 del corriente para recibir á su primera audiencia y prese…</t>
  </si>
  <si>
    <t>Sparling</t>
  </si>
  <si>
    <t>…nte coronel Wood, comandante de artillería, ha biendo agregado á las columnas á varios oficiales de.su cuerpo, á saber ; al capitán sir George y al teniente Abbey á la izquierdaal teniente Sparling á la de la derecha , y al capitán Eduardo Mitcheli, de artillería, que ofre ció voluntariamente sus servicios, á la del centro, llevando cada uno ua destacamento de zapadores á sus órdenes. El teniente Abbey fué herido peligrosamente, y el capitán Mitcheli ha…</t>
  </si>
  <si>
    <t>Spleny</t>
  </si>
  <si>
    <t>…9, inclusos el general de caballería príncipe heredero de Hesse Homburgo, los tenientes feld- mariscales Ignacio de Hardegg, Noslirz, Radetzs«ky, el barón Mohr, y el mayor general barón Spleny : el de los prisioneros es de 2y el de los extraviados de 23. La muerte de algunas personas á fines de Octubre en uno de los arraba les de Cronstadt y en la aldea de Turkes, que está inmediata, infundio en los habitantes el recelo de que se hubiese propagado…</t>
  </si>
  <si>
    <t>Srnith</t>
  </si>
  <si>
    <t>…itland, por la qual, eri virtud de hacer jfeuchos dias que no se padece ninguna epi demia en aquella isla ni en Ja de Gozo, se declaraban libres todas ias comu nicaciones &amp;c.__ El general Srnith, comandante de Gibraltar, á quien ha ido á reemplazar el general Don, ha adoptado la misma providencia. Escriben de Augsburgo que el gobierno ruso ha mandado publicar el nkase de 31 de Diciembre de 1810. Este ukase prohíbe la importación de todas las mercancí…</t>
  </si>
  <si>
    <t>St</t>
  </si>
  <si>
    <t>…os ciudadanos concurren á executarlas con el mayor zelo. GRAN BRETAÑA. Londres 6 de diciembre. Quando Bonaparte se retiró con su exército de las inmediaciones de Leipsick, dexó al mariscal St. Cyr en Dresde para defender esta plaza y las ori llas del Elba hasta que se diese la batalla que se esperaba, cuyo buen éxito, según tenia calculado, le permitiría volver al Elba. Por el contrario, la pér dida de esta batalla debía causar la de Dresde; y par…</t>
  </si>
  <si>
    <t>…Dresde. Con esto se hizo desesperada la situación del enemigo; el qual no tenien do municiones ni víveres, se vio obligado, sin requerirle los aliados, á ofre cer capitulación. El mariscal St. Cyr propuso que sus tropas quedarían pri sioneras de guerra, con la condición de volver á Francia, y no tomar las armas contra los aliados hasta que fuesen cangeadas con igual número de es tos. El general conde Klenau respondió que no tenia facultad para con…</t>
  </si>
  <si>
    <t>…le sucede en. el mando , y otros tres generales están grave mente enfermos de la fiebre contagiosa que reyna en el pueblo, y que dia riamente se lleva gran número de víctimas. El mariscal St. Cyr ha capitulado, y Dresde está ya en poder de los aliados. De este modo todo el país que media entre el Elba y el Rliin, á excepción de algunas plazas fuertes que van. á ser embestidas, está libre de enemigos. Todos ios habitantes se están armando, y en br…</t>
  </si>
  <si>
    <t>…scal Blucherj pero hay motivos de esperar que el mariscal Bhicher puede efectuar su reunión con Winzingerode, Bulow y Woronzow. ¡ El cuerpo de St. Priest había llegado á Vitry: el general St. Jago debía leudársele, en Joinviile. ... El general Frimoné atacó el día i.° á la vanguardia enemiga, y la der rotó ¡cerca, de Vandoeuvre, donde puso su quartel general. - r Se han enviado refuerzos? al general Bubna, y el cuerpo del general Bíanchi ha recib…</t>
  </si>
  <si>
    <t>…minarán también á Troyes por la izquierda de este rio. En mi anterior oficio se me pasó participar á V. E. que el fuerte de Salinas.se había entregado á los aliados. El cuerpo del general St. Priest llegó á VItry del Mame; y el general Jago estaba en Joinville con orden de reunirse al general St. Priest. Acaba de llegar parte del general Frimont, participando el buen éxito de un ataque que ha dado hoy con la caballería de su mandó á la retaguar d…</t>
  </si>
  <si>
    <t>…hablo en los términos que V. E. verá por los adjuntos papeles, asi como los de m» respuesta. — Por la tarde llegaron de Paris el coronel Cook. al servicio de S. M. Británica,}' el coronel St. Simón, al servicio francés, encargados el primero por el ministro de S. M. Británica cerca del rey de Prusia, y el segundo por el go bierno provisional de París, de informarnos á mí y al mariscal Soult del estado de los negocios en aquella capital, que ellos…</t>
  </si>
  <si>
    <t>…ciones para establecer las tropas entre el canal y el Garona. El enemigo sin embargo se retiró la noche última, dexando en nuestro poder al general Arispe, al general Beaumt, y al general St. Hy taire con 1600 prisioneros. Una pieza de artillería se tomó en el campo de batalla ; y otras mas, con gran cantidad de almacenes de toda especie se han cogido en la ciudad. Des de mi último oficio he recibido del almirante Píinuose una relación de las ven…</t>
  </si>
  <si>
    <t>…uerra.. ¿ ‘ ? i ; &lt; J^oct^rmnios que te citan en el\ primer parte^ , ' Tolosa 12 de Abril de 1IH4. Sút. mariscal: Envío, como parlamentarios aí coronel Cook , oficial ingles, y al coronel St. Simón, oficial francés, que me batí sido enviados desde Paris , dos quale* instruirán á V. E. de algunas noticias que dan esperanzas- dé ver prontamente restablecida la paz entré la Francia y las naciones aliadas. Eí.os manifestarán 1 V. £. al mismo tiempo q…</t>
  </si>
  <si>
    <t>…general de Tolosa 14 dé Abril de 1814. ' Al Sr. mariscal duque" dé Dalmacia. Sr. mariscal i-el coronel Cook me ha entregado esta noche la carta de V. E. de ayer. Me parece que el coronel St. Simón había sido enviado á E. por ef Gobierno provisional de Francia para instruirla de los suce sos ocurridos en París, asi como lo fué el coronel Cook por el ministro de S. M. Británica cerca del rey de Prusia para enterarme.de los mismos acon tecimientos…</t>
  </si>
  <si>
    <t>Sta, Saturnino</t>
  </si>
  <si>
    <t>Saturnino Sta</t>
  </si>
  <si>
    <t>…Estal, cura párroco de la villa de Venturada, en 1&gt; misma diócesis de Tole do ; y para el arciprestazgo de Herrera de rio Pisuerga, diócesis de P. lencia, vacante por promoción de D. Saturnino Sta. María á una canongía de la iglesia metropolitana de Burgos, á D. Bernardo María de Homaí. En el año de 1809 se extraxeron del Banco nacional de S. Carlos por el go bierno intruso los planos del canal de Guadarrama á Sevilla con la descripción del mismo canal…</t>
  </si>
  <si>
    <t>Stadion</t>
  </si>
  <si>
    <t>202 . tos, quienes le recibieron á cañonazos, haciéndole retroceder legua y medía. El duque de Tarento lle¿o á Chalons, y marchó al punto contra aquella división. El conde Stadion, el conde Rascmouski, lord Castlereagh y el barón de Humboldt llegaron-el 4? á Chatillon del Sena, donde, se hallaba ya el duque de Vicenza. Se vEsitarbtí íiíutuaiúente, y el mismo día comenzaron las con ferencias de los plenipotenciarios.; i GRAN BRETAÑA. ¿,…</t>
  </si>
  <si>
    <t>Stahrembérg</t>
  </si>
  <si>
    <t>…a no omitirá medió alguno que pueda con-^ tribuir á estrechar los vínculos que le unen á ellos. ■—Munich 17 dé octu bre de 1813.“’ ' . '' " ITALIA. • ■ , Trehto j de noviembre. El general Stahrembérg entró ayer en Padua con Su vanguardia, y el general Eckhard ha entrado en Verona. La mayor parte de la izquierda fue á la ciudadela. Las avanzadas del general Blasitz marcharon á Peri. Las alturas de Abaso y Sta. Ana, igualmente que Montebaldo, junto á Jerera…</t>
  </si>
  <si>
    <t>Starico, Manuel</t>
  </si>
  <si>
    <t>Manuel Starico</t>
  </si>
  <si>
    <t>instrucción de S. Fernando; D. Bartolomé Aguilera, teniente de infantería de A! mansa; D. Manuel Starico, teniente del -i.°de Guadix; Jüan &gt;-Batitista Martínez y D. Asensio Rosique, alféreces de Navio; y á D. Fernando de Salas, D. Fermin Aguado y D. Carlos Benvenuti, cadetes del mismo real cuerpo. Por el correo de 8 del corriente desde Cádiz á Madrid se extravió…</t>
  </si>
  <si>
    <t>Steding</t>
  </si>
  <si>
    <t>…n litgado tedavíat esto, junto con el conocimhnto que tenia de la fortaleza de Lubsck, y de los medios de defensa que sum nistraba á un comandante experto y determinado, induro ai mariscal Steding á no despr ciar las pr pu stas. El general Lalleman fir mó ton el coronel Biornstierna, gefe detestado mayor del exército sueco,'una capitula ion,, p r la quat las tropas enemigas d;biapjevacuar -el;.puebla'í las diez de la noche, después de entregar á las ci…</t>
  </si>
  <si>
    <t>Stedman</t>
  </si>
  <si>
    <t>…ber visitado á Mastrlcht, Hasselt y una parte de la orilla izquierda del Mosa, llegó el 26 á las 12 del dia á Namur, en donde pasó revista á la guarnición holandesa del man do del general Stedman, y visitó después las obras de fortificación del cas tillo que está destinado á ser de nuevo uno de los baluartes de la Bélgica. Eí 27 á la madrugada salió S. A. R. de Namur, y llegó por la tarde á Mons, en donde al dia siguiente, á las seis de la mañana, fue…</t>
  </si>
  <si>
    <t>Stewart</t>
  </si>
  <si>
    <t>Soy En la misma sesión se votaron gracias á lord Stewart, al teniente gene ral Clinton, á sir Tomas Picton y al mayor Pringle, los quales han servido con la mayor distinción en la guerra de España. FRANCIA. París 27 de Junio. El rey de Prusia ha vuelto ya á esta capital, en donde se ha presentado baxo el nombre de…</t>
  </si>
  <si>
    <t>…BRETAÑA. *- f. . : r. . . Lóndres 13 de Agesto. Mañana debe salir de aqui lord Castlereagh para Viena, en donde asistirá al congreso. También saldrá de aqui para el mismo destino lord Stewart, que se halla en el dia en Irlanda,y que en breve debe llegar aqui. Por las gacetas de la Jamayca, que se recibieron aqui el dia 9, y que al canzan hasta el 3 de Julio último, hemos sabido que las quadrilias de insur gentes dei Sur habian sido derrotadas cerc…</t>
  </si>
  <si>
    <t>…l general Doctorof; el consejero de Estado Verneguer; los condes de Linange, de Sickingen y de Salm-Dyk; el príncipe Guillermo de Hesse; el príncipe here dero de Hesse' Rumpeheim; lord Stewart, embaxador de Inglaterra en nuestra corte; el consejero de Estado de Prusia Beguelin; el consejero de Guerra de la misma Lombard, y el barón de Hompleda, ministro de Han nóver, que debe asistir al congreso. No se sabe con qué fundamento se asegura que el cong…</t>
  </si>
  <si>
    <t>Sto, Príncipe de</t>
  </si>
  <si>
    <t>Príncipe de Sto</t>
  </si>
  <si>
    <t>del real monasterio de las Huelgas, apadrinado del Excmo. Sr. Príncipe de Sto. Mauro, marques de Vdladarias, se presentó á felicitar á S. M. en los términos siguientes; „ Señor; la abadesa del monasterio de las Huelgas cerca de Burgos, administradora perpetua del hospital del Rey, patronato de la real casa de V. M., por sí y á nombre d…</t>
  </si>
  <si>
    <t>Strogonof</t>
  </si>
  <si>
    <t>…25® hombres, asciende á 100®; de éstos 18® están ya en Holanda: el cuerpo del;general Winzingerode de 35® se halla distribuido del modo siguiente: 18® en Holanda, 9®, al mando del conde Strogonof, delante de Harburgo,vy 8® del conde Woronzoff en el Hplstein. Los saxones ya armados llegan á 10©: los mandad general Thielman, y van á Bremen. Se están disciplinando otros 10® saxones. .. Los dinamarqueses no pasan-de 12© hombres. Los franceses en Ham burgo…</t>
  </si>
  <si>
    <t>Strogonoff</t>
  </si>
  <si>
    <t>…osa guarnición. Su comandante dis puso cortar todos los diques, excepto uno; y áconsecuencia de la inundación Stade parecía una población situada en medio del mar: sin embargo, el conde Strogonoff tomó á su cargo el embestirle. Las tropas avanzaron con intrepi dez por el único dique que habia quedado, y sufriendo los fuegos cruzados de la plaza, llegaron á un puente que habia destruido el enemigo. Estimu lados de su denuedo, y deseosos de dar el asalto…</t>
  </si>
  <si>
    <t>…Tettenharn debe pasar el Elba en Gluckstadt: el exército sueco se unirá en Mmden&gt; y de allí marchará á Dusseldorf: el conde de Mecklenburgo seguirájal exército sueco. Luego que el conde Strogonoff sea reemplazado en Harburgo por la legión germanofusáj deberá marchar al Rhin para reunirse al general Winzingerode. El conde</t>
  </si>
  <si>
    <t>Strogonoflf</t>
  </si>
  <si>
    <t>i¥&gt; tadt, donde fue recibida por los dinamarqueses. Aquella misma noche entró el general Strogonoflf en el pueblo , donde halló tres cañones y un gran nú mero de muertos y heridos. Su pérdida ascendería á unos 200 hombres; la del enemigo fue muy considerable. El teniente general conde Woronzow, que tenia su quartel general en Winsen desde el 22, ha bloqueado…</t>
  </si>
  <si>
    <t>StrogonoíF</t>
  </si>
  <si>
    <t>…viado al Príncipe de la Corona las llave* de la ciudad de Utrech,' que ha sido tomada por las tropas del-coronel Narischkin. El Príncipe Real las envip-al Emperador Alexandro. El ¡conde StrogonoíF está encargado desbloqueo de Harburgo. - Habiéndose acercado á Stecknitz el exérGÍto sueco con el cuerpo deLutzow, ocupó los-puntos de las bocas del rio hasta las inmediaciones de Bucheft. En seguida se tomaron disposiciones para atacar al enemigo el 2 de di…</t>
  </si>
  <si>
    <t>StrogonolT</t>
  </si>
  <si>
    <t>…este las remitió al emperador Alexandro. El cuerpo del conde Woronzow, que pasó pbc aquí, el Rhin, se dirige igualmente á'Narour para comunicarse con el general Winzlngerode. El. general StrogonolT está pronto á seguirle. La. vanguardia del exército sueco estará el dia 21 en el Rhin, de manera que todo el exército deberá haber pasada este rio antes de concluirse el mes. Las tropas dinamarquesa* siguen eL camino de Dusseldorf, pasando por</t>
  </si>
  <si>
    <t>Stuart, J.</t>
  </si>
  <si>
    <t>J. Stuart</t>
  </si>
  <si>
    <t>…a de la evacuación de la isla de Schowen por las tro pas francesas» y de haber vuelto esta isla á la dominación holandesa. Sus se ñorías verán por la carta la prontitud con que el lord J. Stuart determinó atacar las baterías, y los preparativos vigorosos que hizo para este objeto, si el enemigo no se hubiese rendido tan pronto. Tengo el honor &amp;c,~Young.'* A bordo del navio de S. M, el Horacio delante de Znider-zee, isla de Scbú'wen, d 8 de diciembre.…</t>
  </si>
  <si>
    <t>Stuart, Jorge</t>
  </si>
  <si>
    <t>Jorge Stuart</t>
  </si>
  <si>
    <t>…d J. VVilson Croker, d bordo del Inconquistable de lante del Escalda, á u de este mes. „Para que se instruyan los lores comisarios del almirantazgo remito co pia de una carta del lord Jorge Stuart &gt; capitán del navio de S. M. el Ho racio , en que da cuenta de la evacuación de la isla de Schowen por las tro pas francesas» y de haber vuelto esta isla á la dominación holandesa. Sus se ñorías verán por la carta la prontitud con que el lord J. Stuart determ…</t>
  </si>
  <si>
    <t>…g á J. Wiison Crokerf d bordo del Invencible, delante del Escalda, d 11 de este mes. Remito para instrucción de los lores comisarios del Almirantazgo copia de un parte del capitán lord Jorge Stuart, del navio de S. M. el Horacio, en que da cuenta de la destrucción de una batería de seis cañones de á 24 en la isla de Thoulen, la qual hubiera impedido que los buques subiesen hasta Keelan. El enemigo no se empeñó en su defensa, sino que huyó; pero esto no…</t>
  </si>
  <si>
    <t>Sturmer, Garlos de</t>
  </si>
  <si>
    <t>Garlos de Sturmer</t>
  </si>
  <si>
    <t>…senal de esta capital en armar. Una fragata destinada á ias costas de Africa. También se.••está construyendo: un navio de guetra de 74, y muy pronto se principiarán otros dos;. Él barón Garlos de Sturmer, capitán del regí minuto de húsares, pal .ti nos, é hijo del internuncio de Austria cerca de ia sublime Puerta,que como» Se sabe traxo aqtíi la primera .noticia del tratado de paz he diferí París el 30 de mayo último, ha tenido una audiencia solemne del gra0í…</t>
  </si>
  <si>
    <t>Suarez, Juan</t>
  </si>
  <si>
    <t>Juan Suarez</t>
  </si>
  <si>
    <t>…Rúa, teniente del de Oviedo. D. Ramón Gastellá; id. de id. D. Ramón Collast, subteniente de id. D. José Ordoñez, id. de id. D. Pedro Mateo Olorn, sargento mayor del i.° Cántabro. Don Juan Suarez, capitán de id. D. Vicente Carvajal, id. de id. D. Juan Piñal, teniente de id. D. Francisco Mediavilla, id de id. D. Ramón de Arribas, subteniente de id. D. Silvestre Hidalgo, teniente coronel del de Laredo. D. Bernardino García, capitán de id. D. Antonio Gon…</t>
  </si>
  <si>
    <t>Suarez, Paula</t>
  </si>
  <si>
    <t>Paula Suarez</t>
  </si>
  <si>
    <t>…de la fiscalía de esta causa. Igualmente remito á V. S. dos baúles y un maletón ó baqueta cen la cama del mismo padre y el inventario de todo, con las notas de lo que se entregó á Doña Paula Suarez ¡ muger del capitán D, Miguel Carballo, y le traía guardado por súplica de ella. Remito á V. S. igualmente un pliego cerrado para que se digne remitir lo al Excmo. Sr. conde de Castro-Terreno como general dei Sur, en que le comunico las buenas resultas de mi…</t>
  </si>
  <si>
    <t>Such'et</t>
  </si>
  <si>
    <t>…al Clinton del 6 de este, he sabido que es-* taba próximo á executar mi orden del 4 de Marzo de retirarse de:Catalu*&gt; ñ.ien consecuencia de haberse disminuido allí las fuerzas del mariscal Such'et. 'Remito* á •WiE.'este t&gt;ficio ,con el capitán D. José Cacho, edecán del general Freyre, qúe pido á V. Eó lo recomiende á lá protección del g. bienio. Dios guarde á V. E. muchosv años. Quartel general de Tolosa á 19 de Abril de 1814. = Excmo. Sr. =s VVeílingt…</t>
  </si>
  <si>
    <t>Suchet</t>
  </si>
  <si>
    <t>…e la proclama esparcida por el heredero del desgraciado Luis xvi, que aseguran ha producido una revolución importante en la opinión pública. Las tropas enemigas, á las órdenes del general Suchet, que entraron en Francia, lo han hecho con mecha encendida , lo que indicaría, siendo cierto, que las tropas francesas miran ya á su pais como enemigo. Los aliados en traron pacíficamente en Macón, habiéndoles abierto las puertas sus habitan tes. Bonaparte se…</t>
  </si>
  <si>
    <t>Gazeta de la Regencia de las Españas n.º 24 (extraordinaria)</t>
  </si>
  <si>
    <t>…e 2500 hombres, asi como de las personas que mas han contribuido á tan grande como interesante empresa, entre las quales anuncia desde luego á D. Juan Vankalen, edecán que fue del mariscal Suchet. Este edecán es un joven español que en los primeros dias de nuestra sagrada insurrección tomó en ella la parte de un verdadero patriota español, y ahora ha acreditado los innatos sentimientos de tal, que abrigaba en su corazón, ex poniendo su vida á los mayo…</t>
  </si>
  <si>
    <t>…brero. Los comandantes franceses de Lérida, Mequinenza y Monzón habían evacuado aquellas plazas en virtud de una Óvden que les envió el barón de Jtrolesy* escrita con la cifra del mariscal Suchet, que habia podido robteneri Xas tropas que componían e^tas guarniciones se reunieron , y fueron despucs cercadas al pasar por Martorell en su marcha á Francia por un destacamento del primer exército y otro del cuerpo anglo-siciüano. El general les concedió ca…</t>
  </si>
  <si>
    <t>…se retiró después de la acción con el ge neral Hill el dia 2 por ambas orillas del Adour hacia Tarbes, probablemente con intento de unirse con la fuerza destacada del exército del mariscal Suchet, que salió de Cataluña en la última semana de Febrero.__ Durante esta detención envié el dia 7 un destacamento i las órdenes del general Fane á tomar posesión de Pau, y otro baxo el mando del mariscal Beresford para que se posesionase dé Burdeos___.Tengo el g…</t>
  </si>
  <si>
    <t>…arzo. A las siete de la mañana del dia de ayer se oyó una fuerte explosión, que anunció haber volado un pedazo de la muralla frente las Beatas, y otro mas cerca á Sto. Domingo. El mariscal Suchet dio orden por medio de un edecán de suspender la voladura, de modo que es poco considerable el da ño ocasionado. A las ocho salió la muger del mariscal, y comenzaron á des filar las tropas. A las diez el cabildo y autoridades fueron á despedirse de Suchet, qu…</t>
  </si>
  <si>
    <t>…to. Habiendo salido S. M. de Figueras esta mañana, se presentó al medio dia en la orilla izquier da del rio Fluviá, frente de Bascara, hasta cuyo punto vino custodiando á S. M. el mariscal Suchet con tropas de su exército. Después da haber hecho alto las tropas francesas, y haber pasado S. M. el rio con solo su comitiva compuesta de españoles, me adelanté con toda la plana mayor del exército de mi mando á felicitar á S. M. y á S. A. por su feliz y des…</t>
  </si>
  <si>
    <t>…misma mañana. Como á las 10 y quarto de ella se presentaron en la orilla izquierda del Fluviá como 3® infantes, 300 caballos y 15 piezas de artillería del exército francés, con el mariscal Suchet y demas generales y estado mayor del mis mo exército acompañando á S. A. R. el Sr. Infante D. Cários, y desplega ron en batalla. .w . En la orilla derecha del mismo rio se hallaba formada en línea la segun da brigada de hrsegunda división con un esquadron de…</t>
  </si>
  <si>
    <t>…les Soult y Suchet, de que incluyo copia. Eite convenio ha sido confirmado por el mariscal Soult, aunque no he recibido todavía la ratifica ción formal, por estar esperando la del mariscal Suchet. Entretanto este mariscal, rezelando que podria ocurrir alguna dilación en el arreglo del convenio con el mariscal Soult, habia enviado aquí ál coronel Ricard, del estado mayor de su exército, con el fia de tratar de un convenio para una suspensión de hostili…</t>
  </si>
  <si>
    <t>…o. Sr. =s VVeílington ,duque de Ciudad-Ro drigo. — Excmo. Sr. ministro de la Guerra. ínc'tu o también’á V. E. una copia del convenio concluido con el co ronel Ricard por parte del mariscal Suchet. He dado orden para que los buques franceses en Barcelona puedan salir libremeute de aquel puerto, y pasar á Francia.. ' Excmo. Sr.: V. E. habrá observado en mi parte de hoy como he consentido én la'evacuación de las guarniciones de Valencia 'y Cataluña. Ei e…</t>
  </si>
  <si>
    <t>…,quartelmaestre. = Luis Wimyffen , gefe dei esta do mayor general de campana. =: Ratifico^ Welíingtün. = Copia confor me. — VViwjffcn* El feld-mariscat marques de Wellington y el mariscal Suchet , duque de la Albufera * deseando concluir una suspensión de armas entre los exércitos de sus mandos respectivos , frxar una linea de. demarcación entre ellos, y ade mas establecer la forma con que deben evacuarse las fortalezas que el exercito francés ocupa…</t>
  </si>
  <si>
    <t>…cibirán ningún daño ni perjuicio desde el momento en que se notifique el presente tratado, y se en tregarán á las tropas españolas en el estado que se hallen entonces. art. 7.0 El mariscal Suchet, habiendo restituido varios prisioneros es pañoles sin cange alguno, y teniendo intención de restituir todos los que se hallen dentro de los límites del distrito de su mando, los ofyaales y solda dos franceses prisioneros en España, que componían las guarnici…</t>
  </si>
  <si>
    <t>…gos, y la orden general del exé.ciio francés de Cataluña y Aragón del 17 del actual, dada en elquartel general de Narbona, en la que se comunica el aviso recibido de oficio por el mariscal Suchet, fecho en Fontainebleau á 9 de este mes, relativo á haberse convenido un armisticio general en toda la Europa entre ios comisionados per k Francia y el general en gefe de los exércitos aliados, y juntamente un nuevo siste— tna- de gobierno, en virtud del qual…</t>
  </si>
  <si>
    <t>Suchet, G. L.</t>
  </si>
  <si>
    <t>G. L. Suchet</t>
  </si>
  <si>
    <t>…rillas y demas de la tro pa ligera de caballería é infantería, redactada sobre una instrucción de Federico ic á sus oficiales de caballería é infantería, y reimpresa por orden del general G. L. Suchet, traducida al castellano por D. Estanislao Solano, y dada á luz por un ami go suyo. Se hallará en la librería de Orea, calle de la Montera, frente á S. Luis, á 10 rs. en pasta: un tomo en 8.° También se hallará esta obra en Cádiz en la .libre ría de Castillo,…</t>
  </si>
  <si>
    <t>Sucre, José del Pozo y</t>
  </si>
  <si>
    <t>José del Pozo y Sucre</t>
  </si>
  <si>
    <t>…n Simón. &gt; A tenientes generales á los mariscales de campo marques de Casa-Cagi— gal, D.. Rámon de Alós, D Pedro Ignacio Correa, D. José de Zarauz* D. Francisco Salinas de Moñino, D. José del Pozo y Sucre, conde de Bel— bedel , D. Cárlos O’Doneli, D. Bernardo de Acuña , D. José Marta de Carvajal, el marques de Zayas, D. José María de Alós , D. Felipe de Paz, Príncipe de Anglona, D. Juan Senen de Coimeras, D. Felipe KeatingRoche, y D. Francisco Cabrera. A maris…</t>
  </si>
  <si>
    <t>Suikowsky</t>
  </si>
  <si>
    <t>…en sus órdenes. i , POLONIA. Varsovia y de Junto. Nuestros militares empiezan á regresar aquí. Se ha nombrado en París una junta compuesta de los generales Dabrowsky, Zaiaczek, el príncipe Suikowsky , Wielborsky, Sierakowsky y el príncipe Gedroicz, ios quaíes están encargados de organizar nuevamente el exército polaco. Se compondrá este, según dicen, de 50© hombres, 30© de infantería y 20© caballos. El general Krukowicky ha sido enviado á Londres, el gen…</t>
  </si>
  <si>
    <t>Superintendente</t>
  </si>
  <si>
    <t>…Edicto, dándome cuenta de haberlo asi cumplido, y remi tiéndome á este fin el correspondiente testimonio; en inteligencia de que del resultado de todo daré parte en caso al Excmo. Sr. Superintendente general para que do tenga entendido, esperando por lo propio que V. procederá en estos encargos con el zelo y actividad que acostumbra. ; Dios guárde á V. muchos años. Madrid 14 de Noviembre de 1814.= Nicolás ÍLa Miel y Benages. • El Rey riuestró Señor se ha…</t>
  </si>
  <si>
    <t>Sury</t>
  </si>
  <si>
    <t>…dos, y ninguno de ellos ni del vecindario muerto. A la una ya estaban dispersos los sediciosos, presos muchos, y entre los mismos el co mandante Schmid: su hijo se ha escapado. El coronel Sury, mayor de la plaza, ha sido destituido de su empleo , juntamente con el coronel Glutz. A las quatro ya estaba enteramente restablecida la tranquilidad; y ayer á las ocho de la mañana entraron en Soleure 150 soldados de Berna con un cañón de artillería. . En l…</t>
  </si>
  <si>
    <t>Szymanowski</t>
  </si>
  <si>
    <t>…dral un solemne Te Dettm, al que siguieron por todo el dia y noche las mismas diversiones y muestras de cordial rego cijo. Parts 14 de AbriL El general de división Sokolnicki y el coronel Szymanowski, encarga dos por los generales y oficiales superiores, que mandan los quadros de mas de 40 regimientos del ducado de Varsovia, han tenido el honor de presen tarse, por medio de S. A. I. el príncipe Constantino, al emperador de Ru sia para prestar al pie del t…</t>
  </si>
  <si>
    <t>Tabernero, Manuel Benito y</t>
  </si>
  <si>
    <t>Manuel Benito y Tabernero</t>
  </si>
  <si>
    <t>…a á esta corte paca el bien de esta; monarquía y prosperidad de la religión.” : • ' :■ ' .. . .. ; 1 C :: r . ; rEl sábado 21 del mismo fue asimismo admitido y cumplimentó á 5. M. D. Manuel Benito y Tabernero, abad de la;insigne iglesia colegial de'la vig ila de Lerma, dirigiéndola á nombre de su iglesia el discurso siguiente: „Señor: el abad de la iglesia colegial de Lerma, que en el dia 12 de Abril de 1808 tuvo el honor y satisfacción de disfrutar de la presenci…</t>
  </si>
  <si>
    <t>…a de S. Salvador 8e esta corte, para el obispado de Barbastro, vacante por fallecimiento del limo. Sr. D. Fr. Agustín Iñigo Abad y Lasierra. Asimismo se ha servido nombrar S. M. á D. Manuel Benito y Tabernero, abad de la colegiata de Lerma, para el obispado de Solson2, va cante por fallecimiento del limo. Sr. D. Fr. Pedro Nolasco Mora; y para el de Tortosa, vacante por fallecimiento de D. Fr. Antonio Salinas, á Don Manuel Ros y Medrano, canónigo doctoral de la met…</t>
  </si>
  <si>
    <t>Taboada</t>
  </si>
  <si>
    <t>pío. Entró en seguida e! quadro, conducido por el general Taboada, y á su vista resonaron gritos de vivas por las tropas y concurso. A un lado dej altar se colocó el retrato del rey, y en seguida se cantó el Te Deum con la mayor solemnidad. Concluido , salieron las tropas al campo de la Estrella, donde se formaron en batall…</t>
  </si>
  <si>
    <t>Taboada, Francisco Castriilon y</t>
  </si>
  <si>
    <t>Francisco Castriilon y Taboada</t>
  </si>
  <si>
    <t>…enientes D. Pedro Manuel Escobar y D. José Ramírez Xarámillo: tenencia de granaderos al teniente D. Francisco de Torres: empleos de tenientes á los alféreces Don Pedro Cervileon , D. Francisco Castriilon y Taboada, D. José Antonio de la Vega, D. Manuel Vigil, y al teniente agregado D. Ignacio Cabero: empleos de alféreces á los cadetes D. Andrés Truxillo y D, José Pió San tiago; y de portaguiones á los de la propia clase D. José Torres , D. José Alexo de los Ríos, D. Ju…</t>
  </si>
  <si>
    <t>Tabuenca, Juan Antonio</t>
  </si>
  <si>
    <t>Juan Antonio Tabuenca</t>
  </si>
  <si>
    <t>toS teniente D. Lorenzo Ortiz de Zarate. Todo dispuesto así, siguió el brigadier S.anz su marcha hasta la torre de Corde con el regimiento de Rioja, manda do por su coronel D. Juan Antonio Tabuenca , y dos obuses que dirigía el capitán de artillería D; Luis García Peñ \: en el momento hizo adelantar toda la caballería al cargo del teniente coronel Mondedeu , comandante de- caza dores de Madrid, con la orden de que dividiéndola en tres 6 quatro trozos, l…</t>
  </si>
  <si>
    <t>Tacón, Miguel</t>
  </si>
  <si>
    <t>Miguel Tacón</t>
  </si>
  <si>
    <t>…Picoaga, generales dé división del mismo, y D. José Dávila, subinspector general de las tropas de Nueva-España; y á brigadieres á los coroneles empleados en el expresado exército D. Miguel Tacón y D. Gerónimo Lombera. Asimismo se ha ser vido S. M. nombrar capitán general del reyno de Chile y presidente dé aquella audiencia al mariscal de campo D. Francisco Marcó del Pont; sub^ inspector general de las tropas del vireynato del Perú, en los mismos tér minos que lo han sido…</t>
  </si>
  <si>
    <t>Tafalla, Juan Miguel Perez</t>
  </si>
  <si>
    <t>Juan Miguel Perez Tafalla</t>
  </si>
  <si>
    <t>…ediano trtuW db la iglesia metropolitana de Sevilla, vacante por promoción del M. R. arzo bispo de Laodicea D. Juan Acisclo de Vera y Delgado á la iglesia y obis pado' de Cádiz, á D. Juan Miguel Perez Tafalla, con dimisión de la dignidad de maestrescuela que obtiene en-la misma iglesia: para la canongía, vacante en la catedral de Teruel por muerte de D. José Iñigo , á Dc Joaquín Pedro Fama y Gómez: para la ración que ha vacado en la referida iglesia de Cá diz por…</t>
  </si>
  <si>
    <t>Tal, Augusto de</t>
  </si>
  <si>
    <t>Augusto de Tal</t>
  </si>
  <si>
    <t>…ervicios que los suizos prestaron á su corona. Pura renovar estas antiguas relaciones,. S. M; participaba á los'cantones su advenimiento al trono. Acompañaba á esta carta otra del conde Augusto de Tal ley rand:, nombrado ministro dé Francia cer ca; del cuerpo helvético. La dieta decreto qué se respondiese á las dos cartas,, y que. se comunicasen á. todos los cantones.. Laiitana jo de Junio.. » , Ayer tardé llegaron' con' tres coches de séquito la duquesa d…</t>
  </si>
  <si>
    <t>Talieyrand</t>
  </si>
  <si>
    <t>…n muy animada; y como cada uno tieríe orden de defender sus dere chos, no ha habido sesión, y se espera el resultado de este nuevo incidente. La manera noble y generosa con que el príncipe Talieyrand se interesa en que se establezca un justo equilibrio entre las potencias de la Europa y de la Alemania le grangean muchos apasionados. Las contribuciones extraordinarias que se habian establecido para el año de 1814 seguirán el de 1815, pues á pesar de haber…</t>
  </si>
  <si>
    <t>Talleyrand</t>
  </si>
  <si>
    <t>…ériiich'-por Consentimiento' de los demas ministros, siii que por esto tenga superioridad alguna, asi tomo tampoco entre estos hay preferencia ninguna. ^ . La nota remitida por él príncipe Talleyrand después de la llegada de! conde Alexis de Noailles ha hecho mucha impresión en l s miembros del congreso. Se dice que es^relátiva á Saxoriia, y que ha causado muchas muaánzas en las determinaciones que se habián toníado; ■ Las esperanzad qúe habiáh concebido…</t>
  </si>
  <si>
    <t>…dida vuelven de nuevo á principiarse las discusiones» sin que se haya conseguido hasta ahora un resultado definitivo. Los enviados suizos manifiestan una alta consideración por el príncipe Talleyrand, que por su parte los trata con mucha ^tención. Es cierto que la Suiza tiene relaciones muy directas con Francia» no solo para fomentar la amis tad que debe haber entre potencias vecinas, sino tan,bien porque de todas las que han concurrido al congreso, la Su…</t>
  </si>
  <si>
    <t>Talleyrand, Cirios Mauricio de</t>
  </si>
  <si>
    <t>Cirios Mauricio de Talleyrand</t>
  </si>
  <si>
    <t>…a obra tan útil é importante por medio de un Tratado de paz solemne y de finitivo; confiándonos enteramente en la capacidad, experiencia, zelo y fidelidad por nuestro servicio del Sr. Cirios Mauricio de Talleyrand, Prín cipe de Benevento &amp;c., le damos pleno y absoluto poder, comisión y orden especial para que por Nos, en nuestro nombre, y en calidad de nuestro Mi nistro Plenipotenciario, pueda conferir, negociar, convenir, tratar y firmar, sea en concurrencia con los M…</t>
  </si>
  <si>
    <t>Talleyrani</t>
  </si>
  <si>
    <t>…e la Rusia; y aun se añade que el embaxador ha declarado que en esta supoúcion su gobierno se veria obligado á cerrar el-Sund, y á interceptar toda comunicación con el Báltico. El príncipe Talleyrani, en el sistema de moderación y de equilibrio que ha adoptado la Francia , apoya al minis tro ingles,y recuerda que fue la preponderancia de Napoleón contra quien se armo toda la Europa. Se ha dado orden para reforzar con 10 regimientos las tropas austríacas q…</t>
  </si>
  <si>
    <t>Talleyraud</t>
  </si>
  <si>
    <t>…ten siones, no puede extenderse tan desmedidamente la dominación prusiana sin violar el sistema de; equilibrio duradero,que se busca para, la tranquilidad íútura de la Europa. —El príncipe Talleyraud&gt;qucpor sus grandes talen-</t>
  </si>
  <si>
    <t>Tamayo, Antonio</t>
  </si>
  <si>
    <t>Antonio Tamayo</t>
  </si>
  <si>
    <t>…pellán de coro de idem, 6: el Lie. D. José Manuel del Pino, idem de idem, 2: D. Agustín de la Gala, idem dé idem, 4: el Dr. D. Juan d e Ta Cruz Eurrazquin , cura de Characato, 50: D. Antonio Tamayo, ídem de Sachaca, 10: el Dr. D. Manuei Mora</t>
  </si>
  <si>
    <t>Tapia, Juan de</t>
  </si>
  <si>
    <t>Juan de Tapia</t>
  </si>
  <si>
    <t>…rjuicio. En la librería de Quicoga, calle de las Carretas, casa de la fonda , se hallarán Iojs retratos á caballo, que formarán colección: c) teniente general D. Pedro Villacampa, D. Juan de Tapia,, el barón de Eróles, D. Juan Martin el Empecinado, D. Julián Sánchez, D. Juan Palarea (el Médico), D. Francisco Abad (Chaleco), á 8 rs. iluminados y á 4 en negro. Se irán publicando los restantes heroes que mas se han distinguido en. defensa de la patria. MA…</t>
  </si>
  <si>
    <t>…e Perez, calle de las Carretas. , Retrato de D. Francisco Xavier Mina á caballo en medio pliego, que hace co lección con los de D. Juan Martin (el Empecinado), el barón de Eróles, D. Juan de Tapia, D. Pedro Yiilscampa, D. Julián Sánchez, D. Juan Palarea (el Médi co) y D. Francisco Abad y Moreno. Se continúa grabando los demas patriotas que mas se han distinguido en defensa de la patria. Se venden en ¡a librería de Quiroga, calle de las Carretas, fonda…</t>
  </si>
  <si>
    <t>Tapia, Juan de Mesa y</t>
  </si>
  <si>
    <t>Juan de Mesa y Tapia</t>
  </si>
  <si>
    <t>…lesia colegial del Sacro-Monte de esta ciudad de demostrar su particular adhesión á la silla apostólica ,como la ma nifestó á nuestro Real trono por su canónigo comisionado el Dr. D. Juan de Mesa y Tapia en felicitación á S. M. de 24 de Julio próximo pasado, encar gó al mismo cumplimentase de igual modo al Excmo'. Sr. Nuncio de 5. S. por la feliz restitución al solio pontificio de Ntro. Smo. P. Pío vn, lo que verificó dicho canónigo el 24 de este mes, entrega…</t>
  </si>
  <si>
    <t>…*’ El 24 del mi&lt;mo tuvo también el honor de cumplimentar y besar la ma no á S. M y A A. en diputación del cabildo de la insigne iglesia colegial, del S ero Monte de Granada el Dr. D. Juan de Mesa y Tapia, canónigo de la mi ma ; quien ademas de entregar carta gratulatoria de su cabildo, habló á S. M. en 1*&gt;s términos siguientes: ,,Señor: el cabildo de la Insigne iglesia colegial del Sacro Monte, extra muros de la ciudad de Granada, se acerca con el mas profund…</t>
  </si>
  <si>
    <t>Taraa, Francisco Ortiz</t>
  </si>
  <si>
    <t>Francisco Ortiz Taraa</t>
  </si>
  <si>
    <t>…nuesa López de Alfaro; á D. Blas Ostoiaza, y á D. Alfonso Ximenez de Cisneros. Los honores del consejo de Hacienda á D. Manuel López de Araujo, á D. Francisco González Estéfani, á D. Francisco Ortiz Taraa* co, á D. Nicolás Lamiel, y á D. José Teodoro Santos. Conformándose el Rey nuestro Señor con el parecer de su consejo supre mo de la Guerra, se há servido declarar por distinguida y digna de premió la acción del puente de S. Andrés sobre el rio Algodor, á una…</t>
  </si>
  <si>
    <t>Tarieg, Manuel</t>
  </si>
  <si>
    <t>Manuel Tarieg</t>
  </si>
  <si>
    <t>…e Aranjuez: para el arcedianato titular de la iglesia catedral de Segovia, que resultará vacante por promoción de D. José Azpey tia y Saenz de Santa María al obis pado de Lugo , á D. Manuel Tarieg^, canónigo doctoral de la de Salamanca; y para una ración de la de Tarazona, vacante por muerte de D. Custodio Lejaide , á D. Tiburcio Marco. ■ * » ¡ ' \, • , El Rey se ha dignado promover en el regimiento, infantería de Pue bla de la isla de Cuba á los suget…</t>
  </si>
  <si>
    <t>Tariego, Manuel</t>
  </si>
  <si>
    <t>Manuel Tariego</t>
  </si>
  <si>
    <t>944 tratar de afuste en Salamanca á la contaduría mayor del cabildo, y en esta corte al canónigo doctoral de ia misma iglesia D. Manuel Tariego, caballe ro de la orden de Carlos iir, minisjtfo del tribunal de las Militares. / El t superintendente general' de Correos, caminos &amp;;¿v ha dispuesto .qne todo papel impreso que se diríja por el correo se cubra solo con faxas, previniendo que se retenga todo…</t>
  </si>
  <si>
    <t>Tariégo, Manuel</t>
  </si>
  <si>
    <t>Manuel Tariégo</t>
  </si>
  <si>
    <t>…equio de la religión y del estado , no contento con haber felicitado por escrito á S. M. en 22 de Mayo, lo repitió en la mañana del 20 de Agosto ultimó por medio de sus diputa dos D. Manuel Tariégo, caballero de la-Real orden de Carlos iii, doctoral que fue de dicha santa iglesia, y actualmente de la de Salamanca, y D. Mi guel Fernandez Herreruelo, canónigo lectoral de aquella; el primero de los quales dixo: ,,Señor: el cabildo de la santa iglesia de Sa…</t>
  </si>
  <si>
    <t>Tarsis, Pablo Antonia de</t>
  </si>
  <si>
    <t>Pablo Antonia de Tarsis</t>
  </si>
  <si>
    <t>…o para su noticia. En virtud de providencia del Sr. D. Francisco de Assin , teniente corregidor de esta villa, su fecha 17 del corriente mes y año, dada en ei concurso formado por D. Pablo Antonia de Tarsis, á instancia de este, por la escribanía de provincia va cante que sirvió últimamente D. Juan Antonio Zamácola, se cita, llama y empla za á los herederos de D. Francisco Xavier Vizoso y su difunta muger Doña María Antonia Bardaxí, que parece fuá heredera de aq…</t>
  </si>
  <si>
    <t>Tate</t>
  </si>
  <si>
    <t>…rusa, anclada en Bíackstates, dará la vela para Rusia en dos divisiones: la primera,al mando del vice-almirante Crown, saldrá dentro de pocos dias; y la segunda, á las órdenes del almirante Tate,partirá dentro de un mes. FRANCIA." Parts 2 de Jimio. Continuachn del tratado de paz. viii. S. M. Británica , estipulando por sí y sus aliados, se obliga á res tituir á S. M. Cristianísima, dentro del término que aqui se señalará, las co lonias , pesquerías,…</t>
  </si>
  <si>
    <t>Tavira, Pedro</t>
  </si>
  <si>
    <t>Pedro Tavira</t>
  </si>
  <si>
    <t>…e sarcido de sus anteriores pérdidas. ESPAÑA. Lima 2j de Mayo. En la noche inmediata dio fondo en la bahía del Callao el bergantin San Fernando:, conduciendo al alférez de fragata D. Pedro Tavira con pliegos* para S. E. del brigadier D. Gavino Gainza, general en gefe del exército Real de Chile, en que comunica la agradable noticia de haber batido á Iosinsurgentes en todos los puntos que ocupaban, quedando hecho dueño de la* provincia de ía Concepción…</t>
  </si>
  <si>
    <t>Tavira, Pedro Fernando</t>
  </si>
  <si>
    <t>Pedro Fernando Tavira</t>
  </si>
  <si>
    <t>…Pillado 3 á D. Marón Acu ña y Malvar: para el beneficio simple servidero de la parroquia de A (man sa, diócesis de Cartagena, vacante por muerte de D, Ignacio Benedicto Ibañez, á D. Pedro Fernando Tavira: para una ración dé la igieóa catedral de Ceuta, vacante por fallecimiento de D. Francisco Mas de la Torre, á D. Diego José Llinas de Valencia: para el beneficio simple servidero de la parroquia de las Peñas de S. Pedro, diócesis de Cartagena, vacante por mue…</t>
  </si>
  <si>
    <t>Tavlor</t>
  </si>
  <si>
    <t>…o mayor des de Utrech, donde tiene su quartel general: también vino el general Phfuí; y se espera por momentos al general Benkendorf.__ Aquellos dos genera les, lord Clancarty, el general Tavlor, ei teniente coronel Barclay, ios ofi ciales que acompañaron ai general Buiow, y varios caballeros dinamarque</t>
  </si>
  <si>
    <t>Taylor</t>
  </si>
  <si>
    <t>…é tomado del modo mas bizarro en mucho menos tiem po, y con menor pérdida que la que creí posible. El mayor general Gibbs, que mandaba la segunda división , auxiliado por el mayor general Taylor y por e! teniente coronel Herries, dirigió este ataque, en el qual todas las tropas se conduxeron ccht el acostumbrado de nuedo é intrepidez de los soldados británicos. Ademas de los oficiales mencionados, se conduxeron valientemente el teniente coronel Camer…</t>
  </si>
  <si>
    <t>Tcherbatoflf</t>
  </si>
  <si>
    <t>…l Platow con sus cosacos llegó i Neuf-Chateau, y sus patrullas se extienden hasta mas allá de aquel pueblo. _E1 quartel general de Blucher debía estar hoy enNancy. Los cosacos del príncipe Tcherbatoflf avanzaban hacia Toul, según ei último parte de este general. Tengo la honra &amp;c. = Bitrghersh. 2.0 Bar del Atibe 2, de Febrero. Mílord: tengo la satisfacción de par ticipar á V. E. la retirada del en migo de todas las posiciones que ocupaba cerca de Brienne, h…</t>
  </si>
  <si>
    <t>Teiío, José de Espinosa</t>
  </si>
  <si>
    <t>José de Espinosa Teiío</t>
  </si>
  <si>
    <t>…tenientes generales ios gefes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Juan Darrac, D. Bernardo Muñoz, D. José de Gardoqui, D. Ignacio María de Olaera, D. José de Quevedo Cheza, D. Tomas de A…</t>
  </si>
  <si>
    <t>TeíleaGirón-, Pedro Alcántara</t>
  </si>
  <si>
    <t>Pedro Alcántara TeíleaGirón-</t>
  </si>
  <si>
    <t>…as que se actúe todo el perjuicio que en derecho haya lugar. ' ....... ' ' A instancia de los síndicos representantes de'lá masa común de'acreedores í lit testamentaría del Excmó. Sr. D. Pedro Alcántara TeíleaGirón-,-duque que fu ¿ de Osuna, se ha señalado por él Sr. auditor d« Guerra de-esta provincia, como juéz de dicha testamentaría y concurso, para celebrar j^unta, general .de acreedores , y en terarles del estado en que se hallan dichos auto*, él dif ,1,®.de.Febrero…</t>
  </si>
  <si>
    <t>Tejada, Diego Crespo de</t>
  </si>
  <si>
    <t>Diego Crespo de Tejada</t>
  </si>
  <si>
    <t>…o nero*, yno habiendo tenido anas noticia desde aquella época, se suplica á la perso na que sepa si existe ó ha fallecido ,To manifieste á D. Pedro Zulaybar, vecino de Gijon , ó á D. Diego Crespo de Tejada", del comercio de Madrid, portales de Sra. Cruz. Man fie/to del arzobispo de Nicea D. Pedro Gravina, nuncio y legado de S. S., sobre las ocurrencias de su extrañamiento,^ se le agrega el apéndice de los documen tos que intervinieron, y se le^anade en esta imp…</t>
  </si>
  <si>
    <t>Tellez, Angel</t>
  </si>
  <si>
    <t>Angel Tellez</t>
  </si>
  <si>
    <t>…La iglesia colegial de Antequera, diócesis de^Málaga, á D. Joaquín Ustarroz; para los»dos prés tamos de Castillejo y Cerralbo , diócesis de Ciudad-Rodrigo, vacantes por muerte de D. Angel Tellez, y el de Sepulcro Hilario ,1 vacante en la misma diócesis por fallecimiento de D. Joaquín Uria, á D. Vicente Saenz de Zenzano; y para el préstamo de Gallegos dé Sobrinos, él de Horcajo dé las Tor res, :y él medio préstame» de Diego Alvaro;, todos tre$ en el o…</t>
  </si>
  <si>
    <t>Tellez, José</t>
  </si>
  <si>
    <t>José Tellez</t>
  </si>
  <si>
    <t>…ero D. Al fonso Diaz. Con la de i.° de Noviembres del mismo año, á sargento mayor á D. José Ignacio Urquidi; á teniente de granaderos á D. Miguel de la Ve ga ; ídem de fusileros á D. José Tellez y D. Matías de la Torre ; á subte nientes dé granaderos á D. Evaristo del Castillo y D. Martin Salazar, y á subtenientes de bandera á los cadetes D. Santiago de Castro , D. Manuel García y D. Francisco Geltz de la Luz, y á los sargentos primeros D- José • Trejo y D. Juan…</t>
  </si>
  <si>
    <t>Tellez, José Vázquez y</t>
  </si>
  <si>
    <t>José Vázquez y Tellez</t>
  </si>
  <si>
    <t>…Idem r$. Oficio de D. Fernando Miyares y capitán general de la provincia .de Ma rx cay b o , al Exento, Sr. capitán general} gefe político D. Juan Ruiz de Apedaca. Excmo. Sr.: el brigadier D. José Vázquez y Tellez, gobernador mili tar interino de la ciudad y distrito de Coro, con fecha de 12 del corriente me dice lo que sigue: ,, Para la satisfacción de V. S., y de todo buen español que habite en esa provincia, expreso hallarse el señor gobernador propietario, comandan…</t>
  </si>
  <si>
    <t>Temé, Miguel</t>
  </si>
  <si>
    <t>Miguel Temé</t>
  </si>
  <si>
    <t>…tuvieron también la honra de becar la mano á S. M. y cumj limei.tarie, e"&gt; representación del cabildo del arciprestazgo de Uce da„e] Dr. D. Mariano Lozano , cura de,Uceda ; el Dr. D. Miguel Temé de la Fuente, cura de Torirela'gúna, y el Lie. D. Ramón Alonso de Ortega, cu ra de y^ldepeñas de la Sierra; el primero de los quales arengó á S. M. en la forma siguiente: „ Señor: los párrocos de Uceda , Torrelaguna, y Valdepeñas deja Sier ra , en representac…</t>
  </si>
  <si>
    <t>Tenaxas, Juan</t>
  </si>
  <si>
    <t>Juan Tenaxas</t>
  </si>
  <si>
    <t>…acante por haber contraido matrimonio D. Miguel Truxillo , y una prestamera de la iglesia parroquial de Montaívo, ambos en la diócesis de Cuenca, y la segunda por fallecimiento de D. Juan Tenaxas, á D. Luis Cabrejano. El Rey nuestro Señor se ha dignado admitir con agrado la oferta qué el prior cura párroco de Menjibar D. Cristóbal Carrillo de Albornoz y ,Goro' ha hecho de establecer en aquella villa un hospital provisional , en el que’ sean asistidos…</t>
  </si>
  <si>
    <t>Tenorio, Rafael</t>
  </si>
  <si>
    <t>Rafael Tenorio</t>
  </si>
  <si>
    <t>…nzalo O-Farril, marquesa de Montchermoso, marques de Valle de la Paloma, D. Josef Ignacio Joven de Salas, D. Josef R omero, D. Magín Ferrer, D. Domingo Agüero, D. Manuel Sil vela, D. Rafael Tenorio, D. Francisco González, D. Josef Barreda , D- Pascual Martínez, D, An tonio Benito, D. Josef Bordes , D. Manuel Diaz, D. Nicolás Bremont, D. Basilio y D. Josef Salcedo, D. Manuel Alonso, D: Francisco Alonso, D. Antonio Bera2a y D. Josef Baseoni, fugados con e…</t>
  </si>
  <si>
    <t>Tenreyró, Joaquín</t>
  </si>
  <si>
    <t>Joaquín Tenreyró</t>
  </si>
  <si>
    <t>…y grandeza.’* ...» • ' ‘ s Después de esta diputación fué admitida en el mismo dia^á eumplúijentar á S. M. y AA. otra de la universidad de la misma ciudad, «compuesta de los Dres. D. Joaquín Tenreyró, conde de Vigo, y D. Bernardo Forte; dirigiendo este ultimo á S. M. la arenga siguiente: ,, Señor: el rector y claustro de la real universidad de Santiago, que tan to se ha distinguido por sus sacrificios en la sangrienta lucha que acaba de terminarse tan fel…</t>
  </si>
  <si>
    <t>Teodoro, José</t>
  </si>
  <si>
    <t>José Teodoro</t>
  </si>
  <si>
    <t>…evamente, quedando dicho señor fiscal con especial encargo de velar eo que se lleve á efecto.dicho decreto y providencia judi cial, reclamando su puntual observancia. Ei expresado Sr. D. José Teodoro1 Santos tiene su posada en la calle de la Gaya baxa, núm. .27, quarto segundo. . r ARTICULO DE OFICIO* En consideración al particular mérito y distinguidos servicios del maris cal de campo D. Francisco de Copons y Navia, y singularmente á los que ha contraído…</t>
  </si>
  <si>
    <t>Teran, José Vicente de Mier y</t>
  </si>
  <si>
    <t>José Vicente de Mier y Teran</t>
  </si>
  <si>
    <t>…seado del pueblo español ocupar el trono de sus gloriosos progenitores. ■ . . u' ' , i i.-* El día 6 del mismo tuvo-igualmente el honor de ser admitido á felici tar á S. M. ei Dr. D. José Vicente de Mier y Teran, canónigo de la igle*-1</t>
  </si>
  <si>
    <t>Teran, Juan</t>
  </si>
  <si>
    <t>Juan Teran</t>
  </si>
  <si>
    <t>…irido repetidas veces por la tercera división. = Juan de Potoits y Moxica, l^ota. El valiente batallón i.° de Voluntarios de Aragón ha tenido en esta acción gloriosa á su teniente coronel D. Juan Teran, gravemente herido, un capitán muerto y un teniente herido, contándose como unos 30 hombres los que ha perdido el cuerpo entre muertos y heridos: por ahora no se sabe el nombre del capitán muerto ni del teniente herido; pero se dará noticia de ello en otro pa…</t>
  </si>
  <si>
    <t>Teresa</t>
  </si>
  <si>
    <t>…e, cura párroco del Quintanar del Rey , y conducto del señor mayordomo mayor, 20© rs. vn. para ocurrir á las presentes urgencias del estado. Doña Joaquina, Doña María del Carmen", Doña Teresa y Doña Ber narda López Val verde han hecho cesión á S. M. de 137 25 rs. vn. que im portan sus haberes de la pensión que disfrutan. Don Francisco Antonio Sobron ha ofrecido á S. M. 3© rs. que entregó en calidad de empréstito al ayuntamiento de Miranda de Ebro. Do ! Narci…</t>
  </si>
  <si>
    <t>Ternando</t>
  </si>
  <si>
    <t>…tas, y otras demostraciones de júbilo, qne cau saba una grande y general complacencia', resonando en los bayles y demás regocijos las voces y aclamaciones de viva nuestro Soberano D. Ternando vii^ viva la religión. A las nueve del dia siguiente señalado se trasladó el ayun tamiento con el clero á la parroquia, en dónde se cantó una solemne misa, estando manifiesto el Santísimo Sacramento; predicó én ella el Dr. D. Ra món Montero, canónigo lectoral…</t>
  </si>
  <si>
    <t>Terres, Nicolás</t>
  </si>
  <si>
    <t>Nicolás Terres</t>
  </si>
  <si>
    <t>…eros al subteniente D. José de Meza ; y subtenencias á D. José Viiaurrizaga y D. Santiago Villar. En el de Huanta el empleo de teniente coronel al sargento mayor del propio cuerpo D. Nicolás Terres: compañías de granaderos á los capitanes de fusileros D. Andrés Cabrera y D. Manuel Valdivia: compañías de fusi leros á los tenientes D. José Ignacio de Larrasquitu , D. Blas del Pozo, D. Cárlos Morales, D. José Nicolás de Lequona , D. Antonio de Ja Barrea da…</t>
  </si>
  <si>
    <t>Terry, Domingo</t>
  </si>
  <si>
    <t>Domingo Terry</t>
  </si>
  <si>
    <t>…io que haya lugar. Por providencia del tribunal nacional del consu’ado de comercio de Cádiz, de 10 de Enero próximo pasado, recaída en los incidentes del concurso de acreedo res á D. Domingo Terry y compañía, promovidos y seguidos por parte de Doña Elena Magnamára para el cobro de varios créditos, y entre ellos el dotal consis tente en 287,592 reales de plata y 14 quartos, consiguiente á las pretensiones de los herederos de la Doña Elena, se manda, ent…</t>
  </si>
  <si>
    <t>Tettenborn</t>
  </si>
  <si>
    <t>…embúrgo , y el exército sueco¿á Mollen y Ratzeburgo. El dia3 el general Woronzow-marchó á Schwartzenbeck, y tomó á Bergedorf por asalto. La caballería hizo algunos prisioneros. El general Tettenborn avanzó contra Ámfelde, y reuniéndose con la caba llería del conde Woronzow, cortó Ja comunicación entre Hamburgo y Lubeck. El 4 el general Walmoden pasó el Stecknitz, y reunió la m^yor parte de so cuerpo en Kinklader. Su vanguardia encontró al enemigo eo la a…</t>
  </si>
  <si>
    <t>…general del príncipe real estaba ayer en Champignole, y ha avanzado hoy hacia Bar del Sena. Aun se ignora el resultado de su tentati va contra este último pueblo. De un oficio del general Tettenborn, su fecha en Vertus el 27, resulta que fue atacado aquel dia por 4® hombres de la guardia de Bonaparte en Fere Champenoise, y que de resultas se retiró á Vertus. Bonaparte estaba en Arcis, y un cuerpo considerable de su exército marchaba hacia Sezanne. En vis…</t>
  </si>
  <si>
    <t>Tettenborn, Vvoronzowy</t>
  </si>
  <si>
    <t>Vvoronzowy Tettenborn</t>
  </si>
  <si>
    <t>…po deLutzow, ocupó los-puntos de las bocas del rio hasta las inmediaciones de Bucheft. En seguida se tomaron disposiciones para atacar al enemigo el 2 de di ciembre. Los generales conde Vvoronzowy Tettenborn recibieron orden de pasar el Elba por Boitzemburgo. El mariscal Príncipe de Echmult abando nó su posición poir la noche, y se retiró mas allá de Bille. El mayor Cebestrom con' un cuerpo ligero pasó al mismo tiempo el Elba por Geschstadr. Xas tropas pasaron el…</t>
  </si>
  <si>
    <t>Tettenharn</t>
  </si>
  <si>
    <t>…a Inglaterra será media nera entre Dinamarca y los demas aliados. Idem 2 C. El general Walmoden marchó á Hannóver y Brunswick para completar el alistamiento en aquellos países. El general Tettenharn debe pasar el Elba en Gluckstadt: el exército sueco se unirá en Mmden&gt; y de allí marchará á Dusseldorf: el conde de Mecklenburgo seguirájal exército sueco. Luego que el conde Strogonoff sea reemplazado en Harburgo por la legión germanofusáj deberá marchar al…</t>
  </si>
  <si>
    <t>Texadá, Vicente Romero de</t>
  </si>
  <si>
    <t>Vicente Romero de Texadá</t>
  </si>
  <si>
    <t>…s» de la ca sa: de la tesorétía general, de 8 y 12© rs, vn. entregados en préstamo en 20 de Diciembre de 1809 Y 11 de Enero de 1810, y en 4© rs. vn. en una letra á la-vista contra D. Vicente Romero de Texadá, vecino de esta corte; y S. -M. ,sensible á este efecto del noble patriotismo que.anima á los expresa dos D. Dionisio y D. Pedro Lomo, no solo se ha servido admitir el expre sado donativo'", sino quer ademas ha máiidado se lé&amp; den las gracias en su real nombr…</t>
  </si>
  <si>
    <t>Thielman</t>
  </si>
  <si>
    <t>…vicio de Rusia. De su narración resulta que antes de hallarse el Rey de Saxonia en los estados hereditarios de Austria, había hecho aquel Monarca un convenio, según el qual dio al general Thielman, entonces en cargado del mando de la fortaleza de Torgau, una orden firmada de su pro pio puño, reducida á que mantuviese con el mayor zelo la independencia de aquella fortaleza, y que no la abriese sino de orden del Rey, y de acuer do con S. M. el Emperador…</t>
  </si>
  <si>
    <t>…del modo siguiente: 18® en Holanda, 9®, al mando del conde Strogonof, delante de Harburgo,vy 8® del conde Woronzoff en el Hplstein. Los saxones ya armados llegan á 10©: los mandad general Thielman, y van á Bremen. Se están disciplinando otros 10® saxones. .. Los dinamarqueses no pasan-de 12© hombres. Los franceses en Ham burgo llegarán á 15®, ademas de los enfermos, heridos y convalecientes. La plaza está sin duda alguna muy fuerte, y puede defenderse…</t>
  </si>
  <si>
    <t>Thofaton, Eduardo</t>
  </si>
  <si>
    <t>Eduardo Thofaton</t>
  </si>
  <si>
    <t>…icos. GRAN BRETAÑA. Londres 2$ de Enero. SECRETARIA :DE NEGOCIOS EXTRANGEROS. ; . Hoy ha llegado Mr. Addington con pliegos del general vizconde Cath« cart, de sir C. Stewart y del caballero Eduardo Thofaton, cuyo conteni do es el siguiente.</t>
  </si>
  <si>
    <t>Thornton, Eduardo</t>
  </si>
  <si>
    <t>Eduardo Thornton</t>
  </si>
  <si>
    <t>…esta arma, y V. S. sabe que la artillería no puede ser in.ejor, = Tengo el honor 2kc. =: Carlos Stewart, teniente general. = Al vizconde de Castlereagh. Extracto de un oficio del caballero Eduardo Thornton al vizconde de Castlereagh, fecho en Kiel el 14 de Enero. Con la mayor satisfacción tengo el honor de participar á V. S. qne el barón de Weterstedt, ministro de Suecia, y yo hemos íirmado hoy trata dos de paz eon el plenipotenciario de S. M. el rey de Dinamar…</t>
  </si>
  <si>
    <t>Thouvenot</t>
  </si>
  <si>
    <t>…a se dirigió á la linea una considerable partida de húsares ingleses,* El 3 pasaron seis cañones de batir, y mas de 1® de caballería inglesa___ En la acción del 27 salió herido el general Thouvenot, gobernador perpetuo que fue durante la dominación enemiga en. esta provincia. Aseguran que en la batalla dada en las inmediaciones de Ortés se han hecho mas de i® prisioneros. Las autoridades de los pueblos, que se van conquistando parece que sa len muy sumi…</t>
  </si>
  <si>
    <t>Ti, Elias</t>
  </si>
  <si>
    <t>Elias Ti</t>
  </si>
  <si>
    <t>‘2104 Martin'y Muro, que pende en el consulado de Cádiz, y escribanía de D. Elias Ti», quierdo y Payan, de los quales están nombrados síndicos D. Pablo Benito a y So•to y D. José del Rivero Landoy, se ha decretado se cite y emplace á qua ia personas que se consideren con derecho á los bienes del concurso, para que en el término de 18 meses oc…</t>
  </si>
  <si>
    <t>Tirado, José María</t>
  </si>
  <si>
    <t>José María Tirado</t>
  </si>
  <si>
    <t>…ón nombrada para la substanciación dé las causas de Estado &amp;c., impresa de orden superior en la im prenta Rea!. Véndese á 4 quartos en el despacho de la misma. Por providencia del Sr. D. José María Tirado, teniente tercero de Asistente de la ciudad de Sevilla, alcalde mayor por S. M. de la misma, dictada en los autos concurso de acreedores á ios bienes de D. Fernando Manuel de Bobadilla, vecino jque fue de ella4 6e manda citar á sus acreedores., señalando el t…</t>
  </si>
  <si>
    <t>Tirry, Ramón</t>
  </si>
  <si>
    <t>Ramón Tirry</t>
  </si>
  <si>
    <t>…olocado el retrato de S. M., estando patente el divino Sacramento. Entonóse un solem nísimo Te Deum , el qual concluido se ordenó una magnífica procesión, que dirigieron los Sres. D. Ramón Tirry, prebendado de esta santa iglesia cate dral, y D. Francisco Pareja, empleado en la real hacienda. Abrían la mar cha varios piquetes de tropa, siguiendo en dos filas un lucido y numeroso acompañamiento de militares de todas graduaciones, vestidos de gala, y ot…</t>
  </si>
  <si>
    <t>Tíscar, Antonio</t>
  </si>
  <si>
    <t>Antonio Tíscar</t>
  </si>
  <si>
    <t>…nación en las tropas del Rey, que no se descuidan en tomar venganza. Reyna el mayor desorden en el gobierno de estas provincias, y es inexplicable la conducta de muchos empleados. Don Antonio Tíscar, en viado á Barinas con mas de 2® hombres para contener á ios de Sta. Fe, abandonó el exército, y huyó á Guayana. Ei comandante del bergantín de guerra Zeloso sufrió, á pesar de Jas providencias del gobernador, que tres goletas enemigas entrasen en Borburata,…</t>
  </si>
  <si>
    <t>Titroy, Carlos</t>
  </si>
  <si>
    <t>Carlos Titroy</t>
  </si>
  <si>
    <t>…enarbolado de nuevo-su pabellón á bordo del Inconquistable en tes Dunas. El príncipe real de Wurtemberg debe anticiparse á SS. MM. 48 horas, y á este príncipe le debe preceder el lord Carlos Titroy, que espera en Ca lais para llevar al duque de Clarence la primer noticia de la -llegada de los' soberanos aliados. Se asegura que el gobierno ha resuelto enviar al lord Gambier á la Haya para tratar de la paz con los plenipotenciarios americanos: acompañarán…</t>
  </si>
  <si>
    <t>To</t>
  </si>
  <si>
    <t>…gozo que en la anterior. Madrid 13 de Julio. El dia 27 del mes anterior tuvieron el honor de cumplimentar y besar-la mano á S. M. y AA. el colector general de Espolios y vacantes D. To mas Aparicio Santin, deán y canónigo de la iglesia catedral de CiudadRodrigo, D. Juan Losada y Calderón, canónigo fabriquero, D. Vicente Ruiz Albilios, doctoral, y D. José Sánchez del Caso, canónigo , comisiona dos todos por el cabildo de la expresada iglesia…</t>
  </si>
  <si>
    <t>…D. Francisco Monsaíve: para una media ra ción de la iglesia catedral de Sto. Domingo de la Calzada, diócesis de Cala horra, vacante por muerte de D. Tomas González de Iturralde, á D. To mas de Simón Saez; y para una ración de la iglesia colegial de Briviesca, diócesis de Burgos, vacante por fallecimiento de D. Manuel de Miguel, á D. Apolinar Angulo. En atención á los distinguidos méritos y circunstancias de D. Tomas Arias Leiza de Eraso, can…</t>
  </si>
  <si>
    <t>Tobal, María del Carmen</t>
  </si>
  <si>
    <t>María del Carmen Tobal</t>
  </si>
  <si>
    <t>…plazar á Doña Ignacia y Doña Ramona Bahamonde y&gt; demas hi jos y herederos' de D. Carlos Bahamonde, comisario de guerra, y vecino que fué. de la ciudad del Puerto de Santa María, y Doña María del Carmen Tobal, para que comparezcan ante dicho Sr. D. Lorenzo Ruiz de Robles á justificar el derecho que pueda corrcsponderles .en I^testam^ntaría de D? Manuel Carlos Bahamonde, que penden eii su juzgado, y escribanía de D. José Al vare z Perez. Lo$ subscriptores á las, id…</t>
  </si>
  <si>
    <t>Tobar, Juan José de</t>
  </si>
  <si>
    <t>Juan José de Tobar</t>
  </si>
  <si>
    <t>…Félix Rodríguez, escribano Real con su oficio abierto en la Red de S. Luis, fren te á la calle de los Jirdines, y en la dicha villa de Barcarrota al caballero maestrante de Ronda D. Juan José de Tobar. Tratado y nuevo método curativo de las enfermedades gotosas y reumáticas por el célebre P. J. Barthel , compendiado en castellano por su discípulo D. Cristóbal Tomás, bachiller en filosofía y doctor en medicina: un tomo en 8.° Se hallará en la librería de Hu…</t>
  </si>
  <si>
    <t>ToIIy, Barclay de</t>
  </si>
  <si>
    <t>Barclay de ToIIy</t>
  </si>
  <si>
    <t>…una comisión especial, que deberá exa minar dichas solicitudes, y presentarlas inmediatamente á S. M. POLONIA. Varsavia t2 de Setiembre. El dia 8 de este mes el feld mariscal ruso conde Barclay de ToIIy con su estado mayor pasó revista á todos los regimientos, y saludó al general Krasinsky, Comandante de la guardia polaca, con las siguientes voces: ,t viva por siempre el bizarro exército polaco;” á lo qual gritaron los polacos en respuesta: ,, viva el empera…</t>
  </si>
  <si>
    <t>Toledo, José Guillen de</t>
  </si>
  <si>
    <t>José Guillen de Toledo</t>
  </si>
  <si>
    <t>…para lá de'Priego á D., Vi** cente Pereda: para la de Alcalá de Henares á D. Joaquín Zeñgotita y Benoa: para el corregimiento de Lerma á D. Pedro Tagle Velarde: para el de -orea á D. José Guillen de Toledo: para el de Alcaudete á D. Zacaríasf Romero: para la vara segunda de Córdoba á D. Manuel Berríardino Perez y López: para la de León á D. Juan.de la Peña Medrano: para la de Sala manca á D. Vicente Calvo: para el corregimiento de G.uadix á í&gt;. Agamia Tosamos y…</t>
  </si>
  <si>
    <t>Toledo, Lorenzo Cisneros y</t>
  </si>
  <si>
    <t>Lorenzo Cisneros y Toledo</t>
  </si>
  <si>
    <t>…os, sobrinos ó qualesquiera persona que tenga algún pa rentesco con D. Mariano Saavedra y Molina, guardia de Corps que fué de la com pañía española, tendrán la bondad de verse con D. Lorenzo Cisneros y Toledo, que vive calle de Toledo, esquina á la Imperial, núm. 9,, quarto segundo, casa donde está la diputación provincial, para instruirles de asuntos interesantes. Se desea saber el paradero ó fallecimiento de Juan Demetrio Monge, natural de la villa de la Mierla,…</t>
  </si>
  <si>
    <t>Toledo, Manuel</t>
  </si>
  <si>
    <t>Manuel Toledo</t>
  </si>
  <si>
    <t>…l comandante accidental del bata llón de la Legión D. Rodrigo Bermudez, los capitanes de cazadores D. An tonio Ximenez, D. Angel Bermudez, y D. José María Freyre, y los te nientes D. Manuel Toledo y D. José Buzarron.__ El brigadier D. Juan Downie, que casualmente se hallaba con licencia en esta división , se me pre sentó para que le emplease, y acompañó á la Legión en el fuego sobre el cerro Arrocaray, conduciéndose con el entusiasmo que ie es característico___. Incluyo…</t>
  </si>
  <si>
    <t>Toledo, Miguel Mariano de</t>
  </si>
  <si>
    <t>Miguel Mariano de Toledo</t>
  </si>
  <si>
    <t>…. José Oyenarte, teniente de cura de la parroquia de S. Vicente de ú ciudad de S. Sebastian. Para el deanato primera silla de la iglesia catedral de Canaria, vacante por muerte de D. Miguel Mariano de Toledo, á D. Santiago José Benco mo ; y para la dignidad de chantre de la misma iglesia, vacante por fallecimiento de D. Luis Manrique, á D. Pedro José Bencomo: para el benefi cio simple servidero de la iglesia parroquial de Montoro, diócesis de Cór doba j vacante p…</t>
  </si>
  <si>
    <t>Toliy, Barclay de</t>
  </si>
  <si>
    <t>Barclay de Toliy</t>
  </si>
  <si>
    <t>…y de la guardia nacional de París. La cámara de los diputados de los departamentos se ha subscrito en can tidad de 10© francos para la estatua ecuestre de Henrique iv. £1 mariscal conde Barclay de Toliy, general en gefe de los exércitos rusos, llegó el 3 á Francfort del Mein, é inmediatamente salió para Magun cia á esperar alii al emperador Alexandro. ESPAÑA. Arehidona 20 de Junio. Deseando el ayuntamiento de esta villa manifestar los sentimientos de amor y…</t>
  </si>
  <si>
    <t>Tolly</t>
  </si>
  <si>
    <t>…rdido el enemigo unos 500 muertos y 300 prisioneros. La pérdida de los ingleses se calcula en unos 300 muertos y heridos. FRANCIA. Pdris 8 de Mayo. Orden del dia del feld-mariscal conde Tolly, comandante en gefe de los exércitos rusos. ,,Hemos dado fin á una guerra que establece la paz y prosperidad de la Europa, y volvemos á nuestra amada patria coronados con los laureles de la victoria , y acompañados de la bendición de todas las naciones, á qui…</t>
  </si>
  <si>
    <t>Tolly, Barclay de</t>
  </si>
  <si>
    <t>Barclay de Tolly</t>
  </si>
  <si>
    <t>…ó el Papa en Roma, y tomó inmediatamente pose sión de sus estados. Los bagages y la ¡artillería gruesa dé los exércítos aliados están actual mente en camino para Alemania. El feld-mariscal Barclay de Tolly ha de sa lir de Paris el 12. Anoche liego correo de Holanda. Los fuertes del Helder y la esquadra fueron entregados el 5„á lps oficiales holandeses___ Los periódicos holande ses anuncian que la madre de ■■ Bonaparte ha* de residir en Roma con una pensión de 5…</t>
  </si>
  <si>
    <t>…l mismo puer to habian desembarcado antes que SS. MM. los siguientes personages : el príncipe Henrique de Prusia, los príncipes de Metternich y ae Wolchousíy, el conde Platpsv, el general Barclay de Tolly, y el lord Cathcart. El feld-mariscal Blucher acompañó desde Boloña á su soberano. Lord Yarmouth, lord C. Bentink y el conde de Rosslyns recibieron á los soberanos y los conduxeron á casa de Mr. Factor. La guardia de honor de SS. MM. se componía de dos regimi…</t>
  </si>
  <si>
    <t>906</t>
  </si>
  <si>
    <t>…se ha trasladado á la iglesia griega; después de lo qual, y de haber pasado revista á todas las tropas de la guarnición , ha salido para Petersburgo, acompañado del feld mariscal conde Barclay de Tolly ,que ha bía llegado aqui un dia antes que S. M. I. La suerte de la Saxonia no está todavía decidida. Varios prusianos em pleados en las fortalezas de este país dan por cierto que el círculo de Wittemberg y la Lusacia baxa se desmembrarán del rey no de Saxonia…</t>
  </si>
  <si>
    <t>…ecobre su independencia y su integridad.*' r ' exército ruso ha recibido orden terminante oe entrar en la Rusia an tigua, esto es, mas allá del Niemen. El quartel general del fe!d mariscal Barclay de Tolly se halla actualmente en Varsovia ; el del general LangerotrHa-estado algunos dias'en Cracovia, de donde acaba de salir para la Ru sia. Todas las tropas rusas continúan su marcha retrógrada ; de cuyo movi miento sacan los políticos vaticinios favorables. Jf US…</t>
  </si>
  <si>
    <t>…sos y polacos viven guardando entre sí la mejor inteUgepcta y buena armo nía. Quando el general conde de Krasinsky entró en Varsoviá á la cabeza de sn divi$tQ£,f el feid-mariscal conde Barclay de Tolly fue inmediatamen te.á felicitarle, acompañado de todo su estado mayor, y desde entonces ios generales y oficiales de las dps naciones se tratan amigablemente, convidán dose mutuamente á comer. El dia 7 las tropas de estas dos naciones se re unieron para celeb…</t>
  </si>
  <si>
    <t>Tolstoyj</t>
  </si>
  <si>
    <t>…ermedio el mariscal St. Cyr había dexaao á Dresde, y pasa do á la orilla izquierda del Elba con gran parte de sus tropas; pero el conde Klenau , juntamente con el teniente general conde Tolstoyj, le obligaron á retirarse á ha ciudad ; donde quedó enteramente bloqueado^ El mariscal St. L&gt;yr conoció entonces que su situación era en extremo crítica, y el 6 de no viembre acometió al cuerpo del féld mariscal Príncipe de Wied Runkel, que bloqueaba la ciuda…</t>
  </si>
  <si>
    <t>Toma</t>
  </si>
  <si>
    <t>…la misma plaza comandante de esquadron agrega do al capitán de dragones de Almarisa graduado.de teniente coronel D. Ra món Sentmanat. En" el de dragones de Buenos-Ayres alférez á D. Toma» Aspiazu. En la compañía de dragones de Yucatán capitán á D. Juan Buendia, teniente á D. Francisco Flota, y subteniente á D. José Julián Quixano. En el piquete de dragones del Cuzco, vireynato dél Perú, teniente co mandante á D. José Ruiz, En la partida de As…</t>
  </si>
  <si>
    <t>…En Guipúzcoa y Vitoria. D F rancheo Arrieta ' • En J. 3en............................ D. José Arroyo y Serrano y D. Francisco Ló pez Zavala. En León............................... D. Toma* Díaz Serrano. En Mn aga...... . D. Juan Pomar. En Murcia...................i.... D. José Dbach.</t>
  </si>
  <si>
    <t>Toma-</t>
  </si>
  <si>
    <t>…erado D. Clemente de Cavia y Diez. A virtud de r¿al facultad por la audiencia del Sr. D. Manuel Fernandez Gam boa, teniente de corregidor en esta villa, y escribanía del número de D. Toma-: de Sancha y Prado, se venden á subasta 12 fanegas de tierra labrantía,'sitasen'Térmi no del Pugar de Vallecas de esta jurisdicción: Jas siete al parage donde dicen la Regalada , cerca del Retiro, tasadas en yooo rs., y las cinco restantes poco mas</t>
  </si>
  <si>
    <t>Tomas</t>
  </si>
  <si>
    <t>…atriotas que hubieren muerto en' defensa de la justa causa de la nación, ha cabido en suerte del primer extracto de la de este dia á Doña Gatalina Roxas y Ortiz, hija dei patriota D. Tomas. ARTICULO DE OFICIO. , . • El Rey nuestro Señar se ha servido expedir el real decreto siguiente: la batalla de:Baylen , ganada el 19 de Julio de 1 $08 contra el general frailees Dupontydebe formar época en ia historia, por ser la que afó exertíplo á!toda Espa…</t>
  </si>
  <si>
    <t>Tomas, Antonio</t>
  </si>
  <si>
    <t>Antonio Tomas</t>
  </si>
  <si>
    <t>…Salido, D. José Castellar, D. José Iglesias Barrantes , P. Ramón Losada Bernaldo de Quicós, J&gt;. José Fuentepita, P. Joan Loarte, D. Joaquín Gómez de Laserna , D. Felipe de Sesma, Don Antonio Tomas, el barón de Biure, D. Gaspar de Roeabjruna, D. José Ma ría de Torrijos, D. Gaspar Dirweil, D. Gregorio Piquero, D. Joaquín de Ribicoa, y D. Leoncio Carrasco. La gracia que concedió el Rey nuestro Señor, á D. Francisco González de Estefani de ios honores dél…</t>
  </si>
  <si>
    <t>Tomás, Cristóbal</t>
  </si>
  <si>
    <t>Cristóbal Tomás</t>
  </si>
  <si>
    <t>…de Ronda D. Juan José de Tobar. Tratado y nuevo método curativo de las enfermedades gotosas y reumáticas por el célebre P. J. Barthel , compendiado en castellano por su discípulo D. Cristóbal Tomás, bachiller en filosofía y doctor en medicina: un tomo en 8.° Se hallará en la librería de Hurtado, calle de las Carretas, y en el puesto de Sánchez , calle de Atocha, frente á la plazuela del Angel, á 10 rs, en rústica y 1 2 en pasta. N®ta. En la gaceta nám.…</t>
  </si>
  <si>
    <t>Tomasello, Eleuterio</t>
  </si>
  <si>
    <t>Eleuterio Tomasello</t>
  </si>
  <si>
    <t>…ia caUe de Ja- Palma, ñutir. 56 , a'ta, en 68576. Otra id. en la referida calle , baxa, en 27010. Ei que quisiere tratar de ajuste sobre todas 6 slgum de ellas, podrá hacerlp con D. Eleuterio Tomasello en dicha villa, como administrador y encargado, por los propietarios para el efecto, que vive en ia plaza de la iglesia , i.um. 2 5. El diputado comisarlo general portugués previene á todos los acreedores de la comisaría de su cargo, tanto en España como en F…</t>
  </si>
  <si>
    <t>TomasMoyano.reD</t>
  </si>
  <si>
    <t>…de 1814.= YO EL RliY.ss Yo D. Juan Ignacio de Ayestarán, Secretario del Rey nuestro Señor, lo hice escribir por su mandado. = El Duque del Inf ntado. =D. Gerónimo An tonio Diez.= D. TomasMoyano.reD. Antonio Alvarez de Contreras. = Don Josef Antonio de Larruníbide.= Registrada , Fernando de Iturmendi. = Ter niente de Canciller mayor, Fernando de Iturmendi. El Rey se ha servido nombrar para la dignidad de prepósito de la igle sia colegial de Antequera, en…</t>
  </si>
  <si>
    <t>Tomassich</t>
  </si>
  <si>
    <t>…ión consta de 6© hombres. El general Nugent en persona ocupaba á Ferrara el 18. La trinchera delante de PalmaNova se abrirá luego que llegue la artillería de sitio. La brigada del general Tomassich ha conquistado la Dalinacia: Zara sola se defiende todavía; tiene una guarnición de 800 hombres mandada por el general Roiza. El resto del exército enemigo se halla entre Mantua, Veróna y Rovigo. FRANCIA. Varis i.° de diciembre. El ministro de Justicia ha cir…</t>
  </si>
  <si>
    <t>…e de Goi to, y dexándose 500 prisioneros. El general Sommariba rechazó con buen éxito una salida con 2© hombres que hizo la guarnición de Peschiera. Según las ultimas noticias del general Tomassich, los fuertes y la ciudadde Ragusa se rindieron el 29 de Enero después de varios dias de ataques, y quando ya estaba todo dispuesto para el asalto. La guarnición y su coman dante el general de.divisionMontrichard quedaron prisioneros de guerra; pe ro baxo la c…</t>
  </si>
  <si>
    <t>Topete, Juan de Dios</t>
  </si>
  <si>
    <t>Juan de Dios Topete</t>
  </si>
  <si>
    <t>…Saint Marcq: para la ide Castilla la Nueva á D. José Arteaga: para el gobierno .militar y político -de la plaza de Vich á D. Cesario Escobar;, para el de la plaza de'Cartage-na á D. Juan de Dios Topete: para el de Tortosa 4 D. Francisco Marcó del Pont: para el de Barcelona á D. Andrés Perez Herrasti: para el de Tarraigona á D. Carlos de España: para el de las quatro villas de Santander 4 vD. Vicente Quesada; y para el de Lérida á D. Francisco Fulgosio. Igua…</t>
  </si>
  <si>
    <t>Torbado, José</t>
  </si>
  <si>
    <t>José Torbado</t>
  </si>
  <si>
    <t>…279, y otro de 300 pesos, creación de i.° de Mayo, nú mero 449819, este perjudicado en 9o|- rs. por haberlo presentado á su renovación en 29 de Octubre de 1807. Todos pertenecen á D. José Torbado, quien los tenia en poder del citado confitero. Se suplica á quien los tuviese ó supiere de ellos los detenga, y avise en la calle de Atocha, núm, 8, frente de Sto. Tomas, almacén de curtidos. Se desea saber el paradero de D. Francisco Cumilleri, teniente cor…</t>
  </si>
  <si>
    <t>Torices, José Bravo y</t>
  </si>
  <si>
    <t>José Bravo y Torices</t>
  </si>
  <si>
    <t>…a Trontera, los Excmos. Sres. príncipe de Anglona, teniente general de los Reales exércitos; nterques de Camarasa, gentilhombre de cámara de S. M. cota exereicib í y el licenciado D. José Bravo y Torices, corregidor electo</t>
  </si>
  <si>
    <t>Torio, Torquáto</t>
  </si>
  <si>
    <t>Torquáto Torio</t>
  </si>
  <si>
    <t>…de Caro; en Granada y Málaga en las de Martínez Aguilar, y en Soria.en la de Perez de Ríoja. Ortología y diálogos de caligrafía, aritmética, gramática y ortografía castellana por D. Torquáto Torio de la Riva para uso de los seminarios y escuelas públi ca^, del- rjeyno, donde de orden de S. M. se ha establecido su método. Obra que ha merecido layaceptacipñJe los maestros, zelosos de la buena enseñanza, é indispen sable para'conseguí^ (y aun en Ja enseña…</t>
  </si>
  <si>
    <t>Tormasow</t>
  </si>
  <si>
    <t>…y dehia partir una diputación de tres miembros del mismo senado el día 17 del mismo mes para presentar el decreto al empera dor. La diputación se compone del príncipe Kurakin, del general Tormasow y del general Solekow. . . El número de los individuos de la cámara de los pares en Francia as ciende á 154; entran en este número todos ios mariscales, excepto Davoust. Estos nombramientos son vitalicios. ESPAÑA. Oviedo 2 de Junio. La restitución de nuestro…</t>
  </si>
  <si>
    <t>Toro, Manuel de</t>
  </si>
  <si>
    <t>Manuel de Toro</t>
  </si>
  <si>
    <t>…pa ra e! de Sto. Domingo de la Calzada á D. Pablo de Arispe: para el de las merindades de Castilla la vieja á D. Luis Amonio del Campo: para que sirva interinamente el de Avila á D. Manuel de Toro: para el de Logroño á Don José Perez de Rozas: para tenientes de corregidor de Madrid á D. Manuel de Gamboa, D. Francisco Assin, D. Luis Gabaldon y López, D. León de la Cámara y D. Joaquín Almazan: para la vara de Burgos á D. Prudencio Fernandez de la Pelilla…</t>
  </si>
  <si>
    <t>Toro, Pedro</t>
  </si>
  <si>
    <t>Pedro Toro</t>
  </si>
  <si>
    <t>…bierno para cohocimíeato del publico y satisfacción del interesado. La Regencia del Reyno se ha servido nombrar para !a dignidad de tesoréí*o de lá iglesia metropolitaná de Lima á D. Pedro Toro, canónigo mas antiguo de la propia iglesia. ' . En áteiicíón á los méritos y servicios de D. Francisco dé Paula Pineda, escribiente de la veeduría dé ios presidios menores, ha venido la Regencia del Reyno én conferidle él empleo de primer guarda-almacén de ví…</t>
  </si>
  <si>
    <t>Torre, Simón Aparicio y</t>
  </si>
  <si>
    <t>Simón Aparicio y Torre</t>
  </si>
  <si>
    <t>…rv’cura que'hal sido de HoTtaleza, y actualmente de-Tá parroquia de S.ÍPedro dé esta corte; y. para el arcedianato titular de la ígltesia catedral de Ositiay vacante por muerte de D. Simón Aparicio y Torre, á D. Sinforiano Blanco y Martínez, canónigo más antiguo de }a misma catedral/</t>
  </si>
  <si>
    <t>Torrellas, Andrés</t>
  </si>
  <si>
    <t>Andrés Torrellas</t>
  </si>
  <si>
    <t>…yudante de la segunda divisiort D. Francisco de Paula de Alburquerque, que fué el primero que llegó á la Altura batiendo con denuedo á los enemigos, y al señor teniente de vicario general D. Andrés Torrellas, que jamas ha desamparado mi lado, con mis ayudantes de campo D. Isidoro Quintero y D. Mariano Arcaya. Igualmen te has acreditado su conocido valor el comandante de cazadores D. Reyes</t>
  </si>
  <si>
    <t>Torres, Agustín</t>
  </si>
  <si>
    <t>Agustín Torres</t>
  </si>
  <si>
    <t>…o bien y opor tunamente que dirigió las fuerzas de su mando, sino también por las demas prendas que le distinguen, y V. S. no ignora. También el subteniente de la segunda compañía D. Agustín Torres cumplió con su deber, y se distinguió sobre manera, conteniendo el ala derecha del enemigo, que era la que nos incomodaba demasiado con 40 hombres que tenia. Ai paso que comunico á V. S. todo esto, no dexaré de decirle lo que se me ha asegurado por per sona f…</t>
  </si>
  <si>
    <t>Torres, Bartolomé Mifíoz de</t>
  </si>
  <si>
    <t>Bartolomé Mifíoz de Torres</t>
  </si>
  <si>
    <t>…s corresponda , sin contravenirlas, permitir ni dar lugar á que se contravengan en manera algu na: que asi es mi voluntad ; y que al traslado impreso de esta mi Cédula, firmado de D. Bartolomé Mifíoz de Torres, mi Secretario , Escribano de Camara mas antiguo, y de Gobierno del mi Consejo, se le dé la misma fe y crédito que á su original. Dada en Palacio á 22 de Agosto de 1814.= YO EL REY = Yo D. Ju an Ignacio de Ayestarán, Secretario del Rey nuestro Señor, lo hice…</t>
  </si>
  <si>
    <t>Torres, Bartolomé Muñoz de</t>
  </si>
  <si>
    <t>Bartolomé Muñoz de Torres</t>
  </si>
  <si>
    <t>7i® . siu contravenirla» permitir ni dar lugar á que se contravenga en manera al guna ; que asi es mi voluntad; y que al traslado impreso de esta'mi cédula, firmado de D. Bartolomé Muñoz de Torres, mi secretario, escribano de^cá mara mas antiguo, y de gobierno del mi' Consejo, se te dé ía misma fe y crédito que á su ,original. Dada en Madrid á 25 de Junio de 1814. = YO JE L REY. = Yo D. Juan Ignacio de Ay estarán, secretario del Rey nuestro Señor, lo h…</t>
  </si>
  <si>
    <t>…os corres ponda , sin contravenirla, permitir ni dar lugar á que se contravenga en ma nera alguna: que asi es mi voluntad; y que al traslado impreso de esta mi Cédula, firmado de D. Bartolomé Muñoz de Torres, mi Secretario, Escri bano de Cámara mas antiguo, y de Gobierno del mi Consejo, se le dé la misma fe y crédito que á su original. Dada en Palacio á 22 de Julio de 181*. = YO EL REY. = Yo D. Juan Ignacio de Ayestarán, Secretario del Rey nuestro Señor, lo hice…</t>
  </si>
  <si>
    <t>…que os corresponda, sin contravenirla, permitir ni dar lugar á que se contravenga en manera alguna: que asi es mi voluntad; y que al traslado impreso de esta mi Cédula, firmado de D. Bartolomé Muñoz de Torres, mi Secretario, Escribano de Cámara mas antiguo, y de Gobierno del mi Consejo, se le dé la misma fe y crédito que á su original. Dada en Palacio á 7 de Agosto de 1814. = YO EL REY. = Yo D. Juan Ignacio de Ayestarán, Secretario del Rey nuestro Señor, lo hice e…</t>
  </si>
  <si>
    <t>1009 logir á qne se contravenga en manera alguna: que asi es mí voluntad; y que al traslado impreso de esta mi Cédula, firmado de D. Bartolomé Muñoz de Torres, mi Secretario, Escribano de Cámara mas antiguo, y de Gobierno del mi Consejo, seje dé la misma fe y crédito que á su original. D¿da en Palacio á 22 de Agosto de 1814. =YO EL REY.=Yo D. Juan Ignacio de Ayestarán, Secretario del Rey nuestro Señor, lo hice escr…</t>
  </si>
  <si>
    <t>…e es corresponda} sin contravenirle, permitir ni dar lugar á que se contravenga en manera algu na : que as» es mi voluntad; y que al traslado impreso de esta mi Cédula, firmado de D. Bartolomé Muñoz de Torres, mi Secretario, Escribano de Cámara mas antiguo, y de Gobierno del mi Consejo, se le dé la misme fe y crédito que á su original. Dada en Palacio á 31 de Agosto de 1814. = YO EL REY. = Yo D. Juan Ignacio de Ayestarán , Secretario del Rey nues tro Señor , lo hi…</t>
  </si>
  <si>
    <t>…ue os corresponda , sin contravenirla, permitir ni dar lugar á que se contravenga en manera alguna: que asi es mi voluntad; y que al traslado impreso de esta mi Cédula, firmado de D. Bartolomé Muñoz de Torres, mi Secretario, Escribano de Cámara mas antiguo, y de Gobierno del mi Consejo, se le dé la misma fe y crédito que á su original. Dada en Palacio á 15 de Setiembre de 1814. = YO EL REY.=Yo D. Juan Ignacio de Ayestarán, Secretario del Rey nuestro Señor, lo hice…</t>
  </si>
  <si>
    <t>…os corresponda, sin contravenirle, permitir ni dar lugar á que se contravenga en manera alguna: que asi es mi voluntad.; y que al traslado impreso de esta ni: Cédula , firmado de D. Bartolomé Muñoz de Torres , mi Secretario, Escribano de Cámara mas antiguo, y de Gobierno del mi Con sejo, se le dé la misma fe y crédito que á su original. Dada en Palacio, á 2t de S ¿tiembre de í8i4=YO KL R¡'.Y. = Yo D. Juan Ignacio de A\ esta-* rin , Secretario del Rey nuestro Seño…</t>
  </si>
  <si>
    <t>…s en aquellos casos que por lo prevenido en la referida Real Cé•dula se hallan decididos: que asi es nuestra voluntad; y que ai traslado im preso de esta nuestra Carta, firmado de D. Bartolomé Muñoz de Torres, nuestro Secretario, Escribano de Cámara mas antiguo, y de Gobierno de nuestro Consejo, se le dé la misma’ fe y crédito qúe á su original. Dada en Madrid á 6 de Setiembre de 1814. = El Duque dtl Infantado. = D. Igna cio Martínez de Villela. = D, Luis Melendez…</t>
  </si>
  <si>
    <t>…ella se contiene, sin contrave nirla, permitir ni dar lugar á que se contravenga en manera alguna: que asi es mi voluntad; y que al traslado impreso de esta mi Cédula, firmado de D. Bartolomé Muñoz de Torres, mi Secretario, Escrib 110 de Cámara mas antiguo, y de Gobierno del mi Consejo, se le dé la misma fe y crédito qué á su original. Dada en Palacio á 2 de Octubre de 1814.= YO EL RliY.ss Yo D. Juan Ignacio de Ayestarán, Secretario del Rey nuestro Señor, lo hice…</t>
  </si>
  <si>
    <t>…os corresponda, sin contravenirla , permitir, ni dar lu gar á que se contravenga en manera alguna: que asi es mi voluntad; y que al traslado impreso de esta mi Cédula, firmado de D. Bartolomé Muñoz de Torres, mi Secretario, Escribano de Cámara mas antiguo, y de Gobierno del mi Consejo, se le dé la misma fe y crédito que á su original. Dada en Palacio á 19 de Octubre dé 1814. = YO EL REY. =sYo D. Juan Ignacio de Ayestarán, Secretario del Rey nuestro Señor , la hic…</t>
  </si>
  <si>
    <t>Torres, Bartolomé'Muñoz de</t>
  </si>
  <si>
    <t>Bartolomé'Muñoz de Torres</t>
  </si>
  <si>
    <t>871</t>
  </si>
  <si>
    <t>…os corresponda, sin contravenirla, permitir ni dar lugar á que se contravenga en manera alguna: que asi es mi voluntad; y que ,.al traslado impreso de esta mi Cédula , firmado de D. Bartolomé'Muñoz de Torres, mi Secretario, Escribano de Cámara, mas antiguo, y de Gobierno del mi Consejo, se le dé*la misma fe y crédito que á su original. Dada en</t>
  </si>
  <si>
    <t>Torres, Francisco de</t>
  </si>
  <si>
    <t>Francisco de Torres</t>
  </si>
  <si>
    <t>…ía de granaderos que este dexa al ca pitán D Lorenzo de Zarate: empleos de capitanes á los tenientes D. Pedro Manuel Escobar y D. José Ramírez Xarámillo: tenencia de granaderos al teniente D. Francisco de Torres: empleos de tenientes á los alféreces Don Pedro Cervileon , D. Francisco Castriilon y Taboada, D. José Antonio de la Vega, D. Manuel Vigil, y al teniente agregado D. Ignacio Cabero: empleos de alféreces á los cadetes D. Andrés Truxillo y D, José Pió San tiago…</t>
  </si>
  <si>
    <t>Torres, José</t>
  </si>
  <si>
    <t>José Torres</t>
  </si>
  <si>
    <t>…. Manuel Vigil, y al teniente agregado D. Ignacio Cabero: empleos de alféreces á los cadetes D. Andrés Truxillo y D, José Pió San tiago; y de portaguiones á los de la propia clase D. José Torres , D. José Alexo de los Ríos, D. Juan Manuel Piñeyro y D. Juan Felipe Negron. En el de milicias urbanas de dragones de Carabayllo tenencia al alférei D. Manuel Palacios; y esta resulta ai cadete D**Melchor Velasco. En el de Chota el empleo de teniente coronel…</t>
  </si>
  <si>
    <t>Torres, José Loreto de</t>
  </si>
  <si>
    <t>José Loreto de Torres</t>
  </si>
  <si>
    <t>…o militar y político de la. ciudad de Alcañiz, en el reyno de Aragón* jurisdicción de la orden militar de Galatrava y su partido; Asimismo en atención á los méritos y servicios de D. José Loreto de Torres, espitan del regimiento de infantería de Cuba , ha venido S. M. en conferirle el grado de coronel. ¡S. M. se ha servido también conferir á D. Mariano Romea la adfúinistraTcionf de rentas Reales de la ciudad de Alcalá de'Henares, en atención á $u decidido patr…</t>
  </si>
  <si>
    <t>Torres, José Miguel</t>
  </si>
  <si>
    <t>José Miguel Torres</t>
  </si>
  <si>
    <t>…n continuaban el fuego , resistido por aquellos patriotas desde las seis de la mañana, se pusieron en precipitada fuga, y para perse guirlos puso su infantería á cargo del alférez D. José Miguel Torres, por lo práctico que es en aquel terreno¿ y la caballería al de igual clase D. Nica-</t>
  </si>
  <si>
    <t>Torres, Matías de</t>
  </si>
  <si>
    <t>Matías de Torres</t>
  </si>
  <si>
    <t>…ido mucho, estable ciendo con su artillería una batería, y sirviéndola con valor y acierto. &gt;’La artillería y la tropa de infantería del regimiento de América, al mando de su gefe D. Matías de Torres, ha llenado su deber á mi satisfac ción; y todos en el acto de llamar el gobernador francés de la plaza á ca</t>
  </si>
  <si>
    <t>Torres, Ramón de</t>
  </si>
  <si>
    <t>Ramón de Torres</t>
  </si>
  <si>
    <t>…lantes de todos. Madrid j de Junio. El dia 22 del pasado fué admitida á cumplimentar á S.* M. la diputación de la ciudad de Jaén, representada por el Excmo. Sr. duque de Montemar, D. Ramón de Torres y D. Francisco de Paula de Quesada; y el primero arengó á S. M. en los términos siguientes: „ Señor: ¡a ciudad de Jaén y su provincia, que siempre se ha esmerado en servir á V. M., y tuvo la dicha de que en su recinto se ganase la bata lla de Baylen, felicita hoy á V. M. por su feliz regreso á…</t>
  </si>
  <si>
    <t>Torres, Sebastian de</t>
  </si>
  <si>
    <t>Sebastian de Torres</t>
  </si>
  <si>
    <t>…l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 D. Miguel Alfonso Vilagómez, D. Juan Antonio Carrillo, D. Tomás Moyano, D. Juan Anto…</t>
  </si>
  <si>
    <t>…lmería. Sr D. Bernardo Riega.. ............. Tarragona,-Barcelona y TeruelSiv conde*;del Pinar.......... . V.alladolid, Paiencia y Tudela. Sr. D. José María Puig Lérida y Tortosa. Sr. D. Sebastian de Torres^,............. Salamanca, Avila y ZamoraSr. EL Domingo--Fernandez* Campomanes............................................ . León y Oviedo. Sr. D. Andrés Lasauca....... Mondoñedo y Tuyv Sr. D. Antonio Alvarez de Contreras. MallorcaMenorca é Ibiza*.</t>
  </si>
  <si>
    <t>…narquía por £1) Esta circular se ha comunicado á todos los Intendentes, excepto ai de esta provincia de Maddd, por estar conociendo de los particulares de que trata los Mi nistros D. Sebastian de Torres, D. Tadco Segundo Gómez y 0. Manuel de Torres Cónsul.</t>
  </si>
  <si>
    <t>…nacio de Ayestarán, Secretario del Rey nuestro Señor, lo hice es cribir por su mandado. = El Duque dei Infantado. = D. Nicolás María de Sierra. = D Antonio Alvarez de Cóntreras. = D. Sebastian de Torres. = Don Luis Meiendez y Bruna. =Registrada, Fernando de Iturmendi. =rleniente de Canciller mayor, Fernando de Iturmendi. = Es copia de su original, de que certifico. D, Bartolomé Muñoz,</t>
  </si>
  <si>
    <t>…o de Ayestarán, Secretario del Riey nuestro Señor, lo hice escribir por su mandado. = El Duque del Infantado. = D. Juan Antonio González Carrillo. s= D. Nicolás María de Sierra. = D. Sebastian de Torres. = D. Luis Melendez y Bruna. = Registrada, Fernando de Iturmendi. = Teniente de Canci ller mayor, Fernando de Iturmendi. El Rey nuestro Señor en consideración á los distinguidos servicios y di* latado mérito del mariscal de campo D. Andrés Perez de Herrasti,…</t>
  </si>
  <si>
    <t>…en Palacio á 15 de Setiembre de 1814. = YO EL REY.=Yo D. Juan Ignacio de Ayestarán, Secretario del Rey nuestro Señor, lo hice escribir por su man dado. =El Duque del Infantado. = D. Sebastian de Torres. = D. Luis Melendez y Bruna. = D. Antonio Alvarez de Contreras. = D. Josef Antonio de Larrumbide.= Registrada, Fernando de Iturmendi. = Teniente de Canciller mayor, Fernando de Iturmendi. El Rey se ha servido nombrar para el priorato, dignidad de la iglesia c…</t>
  </si>
  <si>
    <t>Tortosa, Antonio Amat de</t>
  </si>
  <si>
    <t>Antonio Amat de Tortosa</t>
  </si>
  <si>
    <t>…ios y 200 anuales por via dé alquiler de casa. Los pretendientes 'dirigirán sus memoriales al ayuntamiento de di cha villa por mano de su secretario. Se desea saber donde se halla D. Antonio Amat de Tortosa para comunicarle un asunto que le interesa, y asi se suplica al que lo sepa que lo avise en Madrid en la confitería de la calle del Pez, y en Arenas á Doña María Teresa Zorrilla de la Rocha. EN LA IMPRENTA REAL.</t>
  </si>
  <si>
    <t>Tortosa, José María Puig Lérida y</t>
  </si>
  <si>
    <t>José María Puig Lérida y Tortosa</t>
  </si>
  <si>
    <t>…Viii.anucya. .......Grapada,* Gcadix y Almería. Sr D. Bernardo Riega.. ............. Tarragona,-Barcelona y TeruelSiv conde*;del Pinar.......... . V.alladolid, Paiencia y Tudela. Sr. D. José María Puig Lérida y Tortosa. Sr. D. Sebastian de Torres^,............. Salamanca, Avila y ZamoraSr. EL Domingo--Fernandez* Campomanes............................................ . León y Oviedo. Sr. D. Andrés Lasauca....... Mondoñedo y Tuyv Sr. D. Antonio Alvarez de Contreras. MallorcaM…</t>
  </si>
  <si>
    <t>Tortosa, Robert de</t>
  </si>
  <si>
    <t>Robert de Tortosa</t>
  </si>
  <si>
    <t>…otro papel. Extracto delparte que el brigadier Sattz da al Excmo. Sr, general en g Je, BLOQUEO DE TORTOSA. El 18 de este mes á las dos y media de la tarde salid el general francos barón Robert de Tortosa con 280® hombres de su guarnición por la orilla izquierda del Ebro eri dirección á Tibens, llevando algunas columnas por la sierra, al tiempo mismo que el brigadier D. Josef Antonio Sauz, comandan te general interino de la segunda división de infantería del s…</t>
  </si>
  <si>
    <t>Tos, Bonifacio</t>
  </si>
  <si>
    <t>Bonifacio Tos</t>
  </si>
  <si>
    <t>…vieron tattübien la honra de cumplimentar á S. M. y besar su real mano y las de los Sres. Infantes, á nombre de la villa de Labastida y del cabildo eclesiástico de ella, los Sres. D. Bonifacio Tos^ntos, lectoral de ia catedral de Sto. Domingo de la Calzada, D. Pablo Rniz de Labastida, ministro del tribunal de la Contaduría mayor de Cuentas, y Don Santiago de Suso y Alda, ex-corregidor de la ciudad de Logroño; el pri mero de los quales habló en los térm…</t>
  </si>
  <si>
    <t>Tosantos, Bonifacio</t>
  </si>
  <si>
    <t>Bonifacio Tosantos</t>
  </si>
  <si>
    <t>…e fusiles en Pontevedra. S. M. ha concedido honores del tribunal de la Rota de la Nunciatura Apostólica á D. Gregorio Cerue’o de la Fuente, chantre de la catedral de Paleneia; y á D. Bonifacio Tosantos, lectoral de Ja de Sto. Domingo de la Calzada, en atención á sus relevantes méritos y circunstancias. Deseando S. M. extender sus paternales desvelos á todos los ramos de utilidad pública, y fomentar la agricultura y el comercio, ha resuelto que las important…</t>
  </si>
  <si>
    <t>Toyos, José</t>
  </si>
  <si>
    <t>José Toyos</t>
  </si>
  <si>
    <t>…paro alguno. Estoy muy reconocido á los servicios del gefe de estado mayor del bloqueo D. Juan, Doa, del oficial del mismo cuerpo D.‘ José Bermudez, del capitán agregado ai propio D. José Toyos, del capitán de ingenieros británico D. Juan Wells, del de artillería D. Antonio Aldecoa, que voluntariamente me acompañó en las operaciones de aquella noche sin tener aqui su destino...__Ig almente me acompañó ea ¡dicha noche el comandante de ingenieros del…</t>
  </si>
  <si>
    <t>…omportamiento de las tropas del bloqueo y sus dignos oficiales, contandó' entre estos al coronel S. Llórente, á los ayudantes de estado mayor Don Juan Doz y D. José Bermudez, y al capitán D. José Toyos, que han contribuido eficazmente al buen éxito de la empresa, en quanto lo han per mitido sus fuerzas y buenos deseos.__ Pasaré á V. E.tan luego como io reciba el aviso del resultado de las operaciones en la izquierda del bloqueo; rogándole en la actualidad s…</t>
  </si>
  <si>
    <t>…espero sea de la aprobación de V. E.__ El teniente coro nel D. Juan Doz, gefe del estado mayor, el segundo ayudanre dei mismo D. José Bermudez, y el capitán de Voluntarios de León D. José Toyos, agregado á dicho estado mayor, hicieron por. su valor, actividad y conoci mientos servicios muy importantes : por último todas las diferentes armas han llenado completamente sus deberes; pues la de artillería, aun quando np tuvo una parte esencial, afirmó co…</t>
  </si>
  <si>
    <t>Toyos, Manuel</t>
  </si>
  <si>
    <t>Manuel Toyos</t>
  </si>
  <si>
    <t>…do baxo una car ta unos documentos interesantes solo al mismo sugeto; y habiéndose extraviado se suplica á la persona que la hubiese hallado la remita por el correo á esta corta á D. Manuel Toyos, médico, que vive corredera de S. Pablo, núm. 12 , quarto ba xo, frente á la guardia, según diría el sobre. Quien tuviere noticia de D. Rafael Heredia y Mtirillo, soldado distinguido que fue del regimiento infantería de Africa, de quien nada se ha sabido desd…</t>
  </si>
  <si>
    <t>Tozo, Angel de</t>
  </si>
  <si>
    <t>Angel de Tozo</t>
  </si>
  <si>
    <t>…comandante del mis mo D. Félix Lagraba. En el de Castilla fixo de Campeche sargento mayor al capitán graduado de teniente coronel D. Jt sé Rafael Carabeo; capitán de granaderos á D. Angel de Tozo; teniente de granaderos á D. Eduardo Ló pez ; idem de fusileros D. Laureano Muñoz, D. Luis de Castro y D. José Orruyrinez; subteniente de granaderos i D. Juan Nepomuceno Lavalle, y subtenientes de bandera á D. Pedro Benitez y D. Francisco Calderón. En el de i…</t>
  </si>
  <si>
    <t>Trajano</t>
  </si>
  <si>
    <t>…onio Osteret, D. Victoriano Rodríguez y D. Francisco de Paula Martí, maestro de dicha escuela, quien empezó las demostracio nes del arte, leyendo en Plinio un pasage histórico del emperador Trajano, á que siguieron la palabra del maestro seis discípulos del último curso, los quales después leyeron en los mismos caracteres taquigráficos, teniendo la bondad S. M. de tomar en su Real mano el libro para cotejar la puntuali dad y exactitud con que lo hubiese…</t>
  </si>
  <si>
    <t>Trane</t>
  </si>
  <si>
    <t>…,,Entre tanto el general Hill habla forzado el paso del Gave por baxo de Ortés, y viendo ei estado de la acción, se puso en movi miento con la segunda división y la caballería del general Trane en derechura por el camino real de Ortés á St. Severe, manteniéndose de este modo sobre el flanco del enemigo. Este se retiró al princi pio con un orden admirable, aprovechando las numerosas y biienaá posiciones que el terreno le ofrecia *, pero las pérdidas…</t>
  </si>
  <si>
    <t>Trasviña, Manuel de</t>
  </si>
  <si>
    <t>Manuel de Trasviña</t>
  </si>
  <si>
    <t>…mnos del colegio de farmacia la puedan comprar lo mas barata posible, se vuelve á publicar su venta á 48 rs. en papel, 50 en rústica y 60 en pasta, como antes, en ia dro guería de D. Manuel de Trasviña , calle de Postas, y en el despacho de la impren ta real. . ^ . . . • Saecularis ac regularis cleri vindicatio, ac pro felici Catholíci Regis nostri Ferdinandi vri reditu generaiis Hispaniaé con gratula tío. Poema elegiacum. Auctore R. P. Isidoro de Celis, co…</t>
  </si>
  <si>
    <t>Travers</t>
  </si>
  <si>
    <t>…nfrente del fuerte Tecla, arrojó al enemi go, y tomó tres cañones de montaña. Una parte de este regimiento marchó por la altura contra el fuerte Richelieu mientras que el teniente coronel Travers, baxando del Monte-Fascia con los calabreses y los griegos, se apodera ba de la parte mas elevada de la altura que domina al fuerte, y algunos de</t>
  </si>
  <si>
    <t>Trias, Sebastian Antonio de</t>
  </si>
  <si>
    <t>Sebastian Antonio de Trias</t>
  </si>
  <si>
    <t>…la capital del reyno.” El 27 del mismo tuvo igualmente la honra de felicitar á S. M. una di putación de la ciudad de Toro y pueblos de su tierra, compuesta de los se ñores el Lie. D. Sebastian Antonio de Trias, alcaide primero D. Fernando Manteca, regidor decano; D: Matías Seco, procurador general de la. tierra; D. Antonio Vázquez de Aldana, oficial de la secretaría de Estado y,del despacho de Guerra, secretario de S. M. con exercicio de decretos, y caba-* llero de…</t>
  </si>
  <si>
    <t>Trnjano</t>
  </si>
  <si>
    <t>3300</t>
  </si>
  <si>
    <t>…la posteridad mas re mota. Asi lo siente el consejo; y si no temiese abusar de las honras que de be á V. M. desde su instalación , no seria difícil comparar á V. M. con el célebre emperador Trnjano, imitando á Pimío en el panegírico que en pre sencia de este príncipe pronunció en el senado. El consejo no obstante re cordará á V. M. dos de las virtudes, que entre otras recomienda y ensalza el panegirista, y tales son las de dar audiencia á todos, y visit…</t>
  </si>
  <si>
    <t>Trovano, Francisco</t>
  </si>
  <si>
    <t>Francisco Trovano</t>
  </si>
  <si>
    <t>…ke,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yetano Ortega, en atención á su constante aplicación al estudio , aprove chamiento y buena conducta. Se avisa al público que…</t>
  </si>
  <si>
    <t>Troyes, Schwartzenberg de</t>
  </si>
  <si>
    <t>Schwartzenberg de Troyes</t>
  </si>
  <si>
    <t>…boletín.— Departamento de negocios extrangeros 7 de Marzo de 1814.-—Han llega do pliegos del lord Castlereagh con fecha en Chajjmont el 3 del corriente. Después de la retirada del príncipe Schwartzenberg de Troyes , el ma riscal Blucher fué atacado por un considerable cuerpo enemigo en Merry: habiéndose prendido fuego casualmente en un barrio dei pueblo que ocupa ba , se vio obligado á abandonarle y á formarse á corta distancia en una lia-</t>
  </si>
  <si>
    <t>Truxillo, Miguel</t>
  </si>
  <si>
    <t>Miguel Truxillo</t>
  </si>
  <si>
    <t>…o Fernandez de Buínez, á D. Alexandro Bernardo Beltran , medio racionero de la misma iglesia; para el beneficio simple de S. Pedro de Huete, vacante por haber contraido matrimonio D. Miguel Truxillo , y una prestamera de la iglesia parroquial de Montaívo, ambos en la diócesis de Cuenca, y la segunda por fallecimiento de D. Juan Tenaxas, á D. Luis Cabrejano. El Rey nuestro Señor se ha dignado admitir con agrado la oferta qué el prior cura párroco de Menji…</t>
  </si>
  <si>
    <t>Truxillo, Ramón</t>
  </si>
  <si>
    <t>Ramón Truxillo</t>
  </si>
  <si>
    <t>…M. Británica, catedrático de clínica médica y quirúrgica en la; universi dad de Gottinga, miembro de varias academias &amp;c. &amp;c.: traducido de ia segunda edición francesa por el Dr. D. Ramón Truxillo, profesor de cirugía, y médico de los Reales hospitales General y Pasión de esta corte. En este tratado, ei único de su clase en España, ha reunido su autor quantos conocimientos había esparcidos’ en muchos volúmenes de los mejores autores que han escrito de…</t>
  </si>
  <si>
    <t>Tuben</t>
  </si>
  <si>
    <t>…Continuamente nos están llegando prisioneros liéehos en varias acciones parciales. Idem 18. En la madrugada del día 12 marchó el general Bulow para Braskaat, y con la columna del general Tuben rechazó los puestos del enemigo, que es taba atrincherado en la aldea de Merxen en el camino de Ao béres. Al mis mo tiempo arrojaron los cosacos al enemigo de Turnhout: el general Borstel marchó á S. Antonio: el general Oppen á S. Job , y las tropas inglesas…</t>
  </si>
  <si>
    <t>Tudela, Liborio</t>
  </si>
  <si>
    <t>Liborio Tudela</t>
  </si>
  <si>
    <t>…res. D. Antonio Moñino, presbítero;- D. Galo Diez Mudróneroí caballero del hábito de Alcántara, coronel de los Reales exércitos, y gobernador de Vitlanuevade la Serena, y del Lie. D. Liborio Tudela, abogado de los Rea-</t>
  </si>
  <si>
    <t>Tuero, Alfonso de</t>
  </si>
  <si>
    <t>Alfonso de Tuero</t>
  </si>
  <si>
    <t>…de Torrejon de ca zadores, y de fusileros á D. José de Osea, D. Andrés de Andrade, D. Ig nacio de Alava, D. Antonio María San Andrés y D. José Masón; á alfére ces, de granaderos á D. Alfonso de Tuero, y de cazadores á D. Miguel de Urguia y D. Lorenzo Fernandez Somera; de fusileros á D. Ignacio Mora les de los Ríos, teniente de infantería de Burgos, á D. Manuel Vela Almazan, teniente dei 2.° de Jaén; D. José Cortés, teniente del depósito de</t>
  </si>
  <si>
    <t>Tuero, Francisco Allomó de</t>
  </si>
  <si>
    <t>Francisco Allomó de Tuero</t>
  </si>
  <si>
    <t>…tros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Zendoquiz. La persona que supiere del paradero de D. José Bueno, cirujano mayor de exército, se servirá avisarlo en esta corte en la calle de Santiago…</t>
  </si>
  <si>
    <t>Tuertes, Juan Antonio</t>
  </si>
  <si>
    <t>Juan Antonio Tuertes</t>
  </si>
  <si>
    <t>…e“23 ,\se ha servido el Rey d.e nombrar para el deanatoprimera silla de la santa *igle.iy primad 1 de Toledo, que se halla vacante por fallecimiento de D. Juan Antonio Cabrejas, á D. Juan Antonio Tuertes,, canónigo de la misma: para el de la catedral de Cuenca, que lo está por muerte de D* Juan Josef Tenajaá, á D Ramón María de Adurriaga» canó nigo de la derBúrgos: para el de h cátedra! de -Córdoba, vacañite por falle cimiento de D. Felipe Ventura Gon¿alez, á…</t>
  </si>
  <si>
    <t>Tulleke</t>
  </si>
  <si>
    <t>9 í &gt; Mediterráneo para proteger ei comercio tanto de este país coitio de todas las potencias del Norte. El contra-almirante Tulleke es el que está destina do á mandar estas fuerzas. AUSTRIA. Viena i.° de Agosto, Los ministros de las qtiatro grandes potencias el príncipe Metternlch del Austria, el conde de Nesselrode de Rusia, lord Castlereagh de Inglaterra, .y el príncipe de Hardenberg: d…</t>
  </si>
  <si>
    <t>Tullok</t>
  </si>
  <si>
    <t>…arnes, Bing yD.F. Le-Cor, y de los,brigadieres generales da Costa, Ashworth y Buchan. La artillería británica, á las órdenes del teniente coronel Ross, y la por tuguesa, á las del coronel Tullok, se distinguieron: y el teniente general sir Rolando Hill hace particular mérito de los servicios que los tenientes coró neles Bouverie y Jackson , asistente ayudante general, y asistente quartelmaestre general de su cuerpo, contraxeron en esta ocasión, como…</t>
  </si>
  <si>
    <t>U'gartevidea, Antonio</t>
  </si>
  <si>
    <t>Antonio U'gartevidea</t>
  </si>
  <si>
    <t>3 2 i En el de Chachapoyas, de igual arma, compañías á D. Pedro Campos, D. Buenaventura Reyna y D. Manuel Ibérico; y tenencias á D. Raymun do Portocarrero, D. Juan Rubio, D. Antonio U'gartevidea, D. Martin Mi randa y D. José Gaspar del Campo. En el de Truxiüo, de caballería urbana, el empleo de coronel á D. Juan José Martínez de Pinillos: el de teniente coronel á D. Pedro José Cacho; el de comandante del tercer esquadton á D. Nicolás Bracamente, marq…</t>
  </si>
  <si>
    <t>U, José María Tineo y</t>
  </si>
  <si>
    <t>José María Tineo y U</t>
  </si>
  <si>
    <t>…D. Manuel de Inca Yupanguy, ha venido en conferirle la intendea— cia de la provincia de Granada. Por otro decreto de 22 del mismo mes, en consideración á la decidi da adhesión que D. José María Tineo y U¡!oa ha manifestado á su causa, á los saciiñcios que ha hecho por la misma, y á las demas circunstancias de su persona, se ha dignado concederle los honores de intendente de pro vincia. 9 Igualmente en atención á los méritos y servicios de D. José Domingo R us…</t>
  </si>
  <si>
    <t>Ubach, José</t>
  </si>
  <si>
    <t>José Ubach</t>
  </si>
  <si>
    <t>…ano y D. Francisco Ló pez Zavala. En León.............................. D. Tomas Díaz Serrano. En Málaga. '...................... D. Juan Pomar. En Murcia......................... D. José Ubach. En Oviedo...................... .. D. Rubiano y Nieto. En Orense........................... D. Fernando Rey. En Lugo.............................. D. José María Gay oso. En Palenda....................... D. Marcelino de la Torre. En Palma....................…</t>
  </si>
  <si>
    <t>Ubago, Rosa de</t>
  </si>
  <si>
    <t>Rosa de Ubago</t>
  </si>
  <si>
    <t>…* duque-del Infantado, fo que se duda si lo verileó; y no' habiendo vuelto á saber mas de su paradero , ss suplica al que supiese si vive ó es muerto dé razón de él en la. corte á Doña Rosa de Ubago, plazuela del Angel, núm. 25, casa de Roca, 26.y 27.; en Bíirgós á Don Valentín López, calle de S. Nicolás, nún. 6, y eh Santander á D, Atanasio José de Aguayo, contador del .crepito público». ; s \ En vi/tud de despacho requisitorio librado por el Sr. marque…</t>
  </si>
  <si>
    <t>Udacta, Antonio Pablo de</t>
  </si>
  <si>
    <t>Antonio Pablo de Udacta</t>
  </si>
  <si>
    <t>…elona, se suplica al que los tenga se sirva entregarlos en Madrid á D. Francisco Antonio Cerragería y compañía, que vive en el portal de Santa Cruz, y en Guadalaxara al expre sado D. Antonio Pablo de Udacta. Una de las dos plazas de médico titular de la villa de la Nava del Rey, parti do de Medina dei Campo, que coásta de 8.00 vecinos, se halla vacante por muerte de D. Nicolás Alvarez: si al gnu*-profesor quisiese, hacer pretensión, acudirá por medio de memorial…</t>
  </si>
  <si>
    <t>Udacta, Francisco</t>
  </si>
  <si>
    <t>Francisco Udacta</t>
  </si>
  <si>
    <t>…i.° D. Francisco Morales» el ayudante mayor dél de caballería de lí nea D. Ildefonso Udave, y 40 soldados. Heridos el cápitan/ de artillería D. Narciso Martínez» el de infantería D. Francisco Udacta » los tenientes D. Manuel Almonte» D. Felipe Velando y D. Silverio Mogrovejo^ y los subtenientes D. Dionisio Delgadillo y D. Miguel Sclís, 3 sargentos, 13 ca bos y 88 soldados; no pudiendo especificar los muertos y hetidos dé los cuerpos de cazadores, partida…</t>
  </si>
  <si>
    <t>Udave, Ildefonso</t>
  </si>
  <si>
    <t>Ildefonso Udave</t>
  </si>
  <si>
    <t>…ión sus respectivos destinos* „ Nuestra pérdida es Ja siguiente: muertos el teniente del regimiento nú mero i.° D. Francisco Morales» el ayudante mayor dél de caballería de lí nea D. Ildefonso Udave, y 40 soldados. Heridos el cápitan/ de artillería D. Narciso Martínez» el de infantería D. Francisco Udacta » los tenientes D. Manuel Almonte» D. Felipe Velando y D. Silverio Mogrovejo^ y los subtenientes D. Dionisio Delgadillo y D. Miguel Sclís, 3 sargentos,…</t>
  </si>
  <si>
    <t>Ugarte, Francisco</t>
  </si>
  <si>
    <t>Francisco Ugarte</t>
  </si>
  <si>
    <t>…cho de la Guerra. Sala de Justicia. rk D. Guillermo de Vargas. 1A D. José Pagóla. , J A D. Ramón Navarro Pingarron. Togados................... &lt;j ^ j)# jUa0 pagZ de la Cadena. | A D. Francisco Ugarte. CA D. Ramón Pisón, Fiscal. =Tendreislo entendido, y lo comunicareis á quien corresponda para su cumplimiento. e= Señalado de la Real mano de S. M. = En Palacio á 18 de Agosto de 1814, = A D. Fran cisco de Eguía. Por Real orden comunicada al Excmo. Sr. Nuncio…</t>
  </si>
  <si>
    <t>Ugarte, Gabriel</t>
  </si>
  <si>
    <t>Gabriel Ugarte</t>
  </si>
  <si>
    <t>…propio consejo; del Sr. D. Manuel María de Junco, ex-catedrático. y alcalde que fué de ca sa y corte; del Sr. D. Vicente Cabero, ex-catedrático y oidor de esta real audiencia; del Sr. D. Gabriel Ugarte, ex-rector, catedrático de cánones y penitenciario de aquella santa iglesia; del Sr. D. Ramón de Roda, ex-cate— drático y penitenciario de la metropolitana de .Santiago; del Sr. D. Bonifa cio Tosamos , ex-catedrático y iectoral.de Sto. Domingo de la Calzada;…</t>
  </si>
  <si>
    <t>622 Valladolid cumplimentó y beso ía mano á $. M.; y en nombre de ella Don Gabriel Ugarte, canónigo penitenciario de la misma» dirigió la palabra en es tos términos: „ Señor: el cabildo de la santa iglesia de Valladolid ofrece i V. M. los mas tiernos y respetuosos sentimientos de amor y lealtad , y le felicita por el glorioso triunfo del tirano ,…</t>
  </si>
  <si>
    <t>Ugarte, Toribio</t>
  </si>
  <si>
    <t>Toribio Ugarte</t>
  </si>
  <si>
    <t>…r el mismo supremo tribunal en sala primera. SEÑORES DE SALA PRIMERA# D. Antonio Ignacio Cortavarría. D. Ciríaco González Carvajal. D. Vicente Fita. D. Miguel Alfonso Vilhgomez. ; D. Toribio Ugarte, adjuntó se confirma con costas la sentencia pronunciada por la sala segunda de este síupremo tribunal, en quanto revocó como injusta la del tribunal espe cial creado por las Cortes generales y extraordinarias contra el Sr. D. Mi guel Lardizabal y Uribe; decl…</t>
  </si>
  <si>
    <t>Uiierte, Manuel de</t>
  </si>
  <si>
    <t>Manuel de Uiierte</t>
  </si>
  <si>
    <t>…o que fué de la dirección general de provisiones del reyno en Cádiz en el año próximo pa sado de 18 ro , para comunicarle asuntos que interesan. Se dará razón en Madrid en casa de D. Manuel de Uiierte, plaza Mayor, esquina á la calle de la Sal. El partido de médico del pueblo de Bretun y sus aldeas, tierra de Yanguas, .provincia de Soria, se haiia vacante; tiene de dotación mas de 300 fanegas de tri go y casa. Los pretendientes aprobados por el proto-msdic…</t>
  </si>
  <si>
    <t>Ulloa, Domingo</t>
  </si>
  <si>
    <t>Domingo Ulloa</t>
  </si>
  <si>
    <t>…n de Albarracin; te nientes á D. Antonio Adriasola, D. Juan de Dios González, D. Francisco Buenrostro, D. Rafael Barril y D. Manuel de Lorca ; subtenientes á Don Santiago Asen jo, D. Domingo Ulloa y D. José Justo Flores y D.-Anselmo Carabantes, y subtenientes de bandera á D. Juan Francisco Echeneguí y D. Miguel, Lara. En el de Voluntarios de Madrid , existente en Montevi deo, teniente á D. Manuel Romero, y subteniente á D. Pedro Antonio García. En el de Voluntarios de la mis…</t>
  </si>
  <si>
    <t>Ulloa, Lorenzo María Taboada y</t>
  </si>
  <si>
    <t>Lorenzo María Taboada y Ulloa</t>
  </si>
  <si>
    <t>…21 de Agosto de 1814. = Cristóbal de Góngora. = Sr. marques de las Hormazas. = Todo lo qual se avisa al público para su inteligencia. El Rey nuestro Señor se ha servido conceder á D. Lorenzo María Taboada y Ulloa, administrador tesorero de bulas de la provincia de Orense, honores de comisario ordenador de los Reales exércitos, en atención á sus méritos y distinguidos servicios. j , : : . '• : C’.. . t &lt; '&gt; Dos sacerdotes seculares de la ciudad de Oviedo ofrécieifon á…</t>
  </si>
  <si>
    <t>Ulloa, Sebastian del Aguila y</t>
  </si>
  <si>
    <t>Sebastian del Aguila y Ulloa</t>
  </si>
  <si>
    <t>…uerte de D. Vicente Blasco; y para el arcedianato de S. Felipe de Xátiva, dignidad de la misma santa iglesia de Valencia, vacante por fallecimiento de D. Vicente María Carrillo, á D. Sebastian del Aguila y Ulloa. El cabildo de la santa iglesia de Tarragona, que quando la horrible en trada de los enemigos en aquella desgraciada ciudad perdió quanto le que daba, á pesar de los donativos y préstamos hechos á favor de la justa causa, y de la considerable disminución que…</t>
  </si>
  <si>
    <t>Umara, Manuel de</t>
  </si>
  <si>
    <t>Manuel de Umara</t>
  </si>
  <si>
    <t>…ijo. En Toledo....... D. Francisco Perez. En Valencia.... D. Manuel López Maestre. En Valtidolid. D. Luis Francisco de Lu¡s¿ En Zaragoza., El Barón de la Torre.' ; En Zamora...... D. Manuel de Umara. En Zmta........ D. Pedro Huguet. En la extracción de la primitiva lotería real, executada en la tarde de boy, han salido por el mismo orden con que aquí se anotadlos cinco nú meros siguientes: 87 , 11,69, 59 y 63. El premio de 2500 rs. vn., concedido en toda…</t>
  </si>
  <si>
    <t>Umendia, María Concepción Antonia de</t>
  </si>
  <si>
    <t>María Concepción Antonia de Umendia</t>
  </si>
  <si>
    <t>…uesa de.Montemar y marques de los Llanos, y por Doña María Francisca Barructa y Galdona, D. Vicente Antonio Echaniz, Doña Francisca Xaviera Galdón», Don Joaquín Diego de Saracoiz, Doña María Concepción Antonia de Umendia, D. Vi cente Joaquín de Barrutia, Doña Josefa Joaquina de Aizolares, D. Joaquiu María ¡BarróeVi , Doña María Teresa Faraudo, Doña María Antonia de Goycneche é Indaburu, con el citado consulado de Cádiz sobre paga de los réditos de los capita les qde le presta…</t>
  </si>
  <si>
    <t>Un, T. H. M.</t>
  </si>
  <si>
    <t>T. H. M. Un</t>
  </si>
  <si>
    <t>…o y gozos de la santísima Trinidad, dolores de María Santísima, dolores y gozos de S. José y responsorio de S. Antonio, y otras varias oraciones recopiladas de varios autores, por Don T. H. M. Un tomo en 8.°, adornado con 28 láminas finas: se vende también sin láminas. Se hallará en la librería de Hurtado, calle de las Carretas. Los subscriptores á la estampa de nuestro Monarca el Sr. D. Fernando vit á caballo, grabada por D. Tomas López Enguídanos, g…</t>
  </si>
  <si>
    <t>Unceta, Ignacio de</t>
  </si>
  <si>
    <t>Ignacio de Unceta</t>
  </si>
  <si>
    <t>828 Con fecha r 2 ríe Abrí! ultimo remitió desde Cádiz D. Ignacio de Unceta, ca pitán de Reales Guardias Españolas, á D. José Alexandro de Urquijo , del co mercio de esta corte, tres vales reales de á 300 pesos de la creacien de 1.° de Se tiembre, señalados con los números 68,894, 70,444 y 74,058, y un recibo de intereses de otros qu…</t>
  </si>
  <si>
    <t>Undaveitia, Juan Nicolás de</t>
  </si>
  <si>
    <t>Juan Nicolás de Undaveitia</t>
  </si>
  <si>
    <t>…aron y firman los señores de! margen de que certifico = D. Toribio Sánchez de Monasterio. =r D. Juan Pedro Morales. = D. Pascual Bolaños y Novoa. = D. Antonio Saenz de Vizmanos. = D. Juan Nicolás de Undaveitia. = Juan Manuel Martínez. 2.a Sentencia pronunciada por el supremo tribunal de Justicia en sala segunda. SEÑORES DE LA SALA SEGUNDA. D. José María Puig.</t>
  </si>
  <si>
    <t>Urbano, Dionisio García</t>
  </si>
  <si>
    <t>Dionisio García Urbano</t>
  </si>
  <si>
    <t>…quellos, resuelvo que el D. Pedro Macanaz quede privado.de su empleo, sueldos y distincio nes, y recluido por el tiempo dé mi voluntad en el castillo de S. Antón de la Coruña: que D. Dionisio García Urbano, quede‘igualmente privado de sus empleos y sueldo, y sea desterrado por ocho años de la cprte y sitios Jlealesy .¿.veinte leguas de distancia, señalando el pueblo en que fixe la re sidencia, y pague ademas la multa de dos mil duros: que Luisa Petit, de nación…</t>
  </si>
  <si>
    <t>Urbina, Cayetano</t>
  </si>
  <si>
    <t>Cayetano Urbina</t>
  </si>
  <si>
    <t>…Barrios, cura de la parroquia de Sta. María; y D. Juan de Lera Cano, cura de S. Salvador: para las siete seculares al duque de Montemar; D. Manuel de la Peña; Don José Manzanilla; D. Cayetano Urbina; D. Pascual Dávila, conde de Ibargrande; D. Antonio Gamiz, y al marques de Perales: y finalmente, para secretario primero á D. Francisco de Villalba, consiliario, secretario se gundo.” De Real orden lo comunico á V. E. para su satisfacción , y que se sir va d…</t>
  </si>
  <si>
    <t>Urbina, Cayetano de</t>
  </si>
  <si>
    <t>Cayetano de Urbina</t>
  </si>
  <si>
    <t>…s, y la libertad á dos óaicos presos que habia. El día 5 del mes próximo pasado tuvieron el honor de presentarse á S. M. y besar su Real mano y las de los Sres. Infantes los Sres. D. Cayetano de Urbina, consejero en el supremo de Indias; D. Francisco Florencio Mondragon, gefe de esquadra y mayor general de ella; D. Juan de Urbina, mariscal de campo y segundo teniente de la compañía de Alabarderos; Don Rafael de Roxas, capitán de Reales Guardias Españolas; D…</t>
  </si>
  <si>
    <t>Urbina, Juan de</t>
  </si>
  <si>
    <t>Juan de Urbina</t>
  </si>
  <si>
    <t>…al mano y las de los Sres. Infantes los Sres. D. Cayetano de Urbina, consejero en el supremo de Indias; D. Francisco Florencio Mondragon, gefe de esquadra y mayor general de ella; D. Juan de Urbina, mariscal de campo y segundo teniente de la compañía de Alabarderos; Don Rafael de Roxas, capitán de Reales Guardias Españolas; D. Alonso de Ro xas, capitán de fragata; D. Manuel Juano, teniente coronel del regimiente* de húsares de Aragón; D. Francisco de lo…</t>
  </si>
  <si>
    <t>Urbina, Manuel de</t>
  </si>
  <si>
    <t>Manuel de Urbina</t>
  </si>
  <si>
    <t>…Especial de Guerra y Marina en el proceso y sentencia pronunciada por el Consejo de Guerra de Generales, celebrado en Cádiz contra el Capitán del Real Cuerpo de Guardias Españolas D. Manuel de Urbina, acusado de haberse separado de su Batallón en la acción del 20 de Enero de 1810 en la Ala meda de la Carolina; se ha servido S. M. revocar la referida sentencia, de clarando á Urbina libre del cargo que se le hace de la dispersión, que debe ser puesto en lib…</t>
  </si>
  <si>
    <t>Urdaueta, Rafael</t>
  </si>
  <si>
    <t>Rafael Urdaueta</t>
  </si>
  <si>
    <t>…las fuerzas reunidas en Sarare eran de alguna considera ción , y que en combinación con la división que yo acababa de batir, debia dirigirse á esta ciudad, todos á las ordenes del brigadier Rafael Urdaueta. ,, Inmediatamente, á pesar de ia lluvia, que duró toda la noche, y de lo malo del camino, que se hizo intransitable por ella, me puse en marcha á cubrir esta ciudad, que forzosamente hubiera sido saqueada, é inmoladas muchas víctimas, según su bárbara costum…</t>
  </si>
  <si>
    <t>Urguia, Miguel de</t>
  </si>
  <si>
    <t>Miguel de Urguia</t>
  </si>
  <si>
    <t>…ros á D. José de Osea, D. Andrés de Andrade, D. Ig nacio de Alava, D. Antonio María San Andrés y D. José Masón; á alfére ces, de granaderos á D. Alfonso de Tuero, y de cazadores á D. Miguel de Urguia y D. Lorenzo Fernandez Somera; de fusileros á D. Ignacio Mora les de los Ríos, teniente de infantería de Burgos, á D. Manuel Vela Almazan, teniente dei 2.° de Jaén; D. José Cortés, teniente del depósito de</t>
  </si>
  <si>
    <t>Uria, Joaquín</t>
  </si>
  <si>
    <t>Joaquín Uria</t>
  </si>
  <si>
    <t>…tamos de Castillejo y Cerralbo , diócesis de Ciudad-Rodrigo, vacantes por muerte de D. Angel Tellez, y el de Sepulcro Hilario ,1 vacante en la misma diócesis por fallecimiento de D. Joaquín Uria, á D. Vicente Saenz de Zenzano; y para el préstamo de Gallegos dé Sobrinos, él de Horcajo dé las Tor res, :y él medio préstame» de Diego Alvaro;, todos tre$ en el obispado de Avila"qué resultan vácaHíes por renilnciaqüe de ellos ha hecho .Di Cárlós Gakiínarti…</t>
  </si>
  <si>
    <t>Uriarte, Juan Antonio</t>
  </si>
  <si>
    <t>Juan Antonio Uriarte</t>
  </si>
  <si>
    <t>…á avisarlo en Madrid á D. Tadeo Gírate, gobernador intendente de la provincia de Puno, en la América, que vive en la carrera de S. Gerónimo, núm. 4, quarto principal, ó en Cádiz á D. Juan Antonio Uriarte, del comercio de ella. El Dr. D. José García de Linares, prebendado de la catedral de Tara zona de Aragón, dará noticia de un equipjrge que D. Manuel Zorrilla, teniente del regi miento de Teja, dexó en dicha ciudad en la precipitada retirada que hizo su cuerp…</t>
  </si>
  <si>
    <t>Uriarte, Martin de</t>
  </si>
  <si>
    <t>Martin de Uriarte</t>
  </si>
  <si>
    <t>…alvador QampUlo*; tí : • -n ; . . n El dia 7 del presente,mes los Sres. D:. Juan Nepomuceno de;Magati y Pacheco, guardia de Corps de menor edad, agraciado por $• M, D. Car los iv, D. Martin de Uriarte, D. Josef de'Trespuentes^j^, Josef E^ymun do de Náxera y D. Juan Antonio Pendaríes, dicípulos de la. academia pu blica de matemáticas,; que con iare atiprobácio ti^hageoch p años se, halla .esta blecida en está corte baxo la dirección de su 'catedrático Di Mi…</t>
  </si>
  <si>
    <t>Uribe, Manuel de Lardizabal y</t>
  </si>
  <si>
    <t>Manuel de Lardizabal y Uribe</t>
  </si>
  <si>
    <t>…imientos en alivio de sus fieles y leales dependientes.” El día 24 del mismo la real scademia Española , representada por sü di rector D. Ramón Cabrera, y los académicos el Excmo. Sr. D. Manuel de Lardizabal y Uribe y el Excmo. Sr. marques de Santa Cruz, tuvo también la honra de besar la mano á S. M., y de presentarle una oración impresa felicitándole por el plausible motivo de su regreso al trono.</t>
  </si>
  <si>
    <t>…eco conti núen sirviendo en él las plazas para que fueron nombrados por su augusto Padre; y se ha servido de nombrar para otras tres del mismo Tribunal á D. Josef Joaquín Colon, á D. Manuel de Lardizabal y Uribe y á D. Ber nardo de Riega ; y teniendo por conveniente S. M. reducir á dos las tres Secretarías que hubo en el referido Tribunal, denominando la una de Gra cia y Justicia y Estado de Cantiña, por la qual han de despacharse, ademas de los negocios privativos d…</t>
  </si>
  <si>
    <t>Uríbe, Miguel de Lardizabal y</t>
  </si>
  <si>
    <t>Miguel de Lardizabal y Uríbe</t>
  </si>
  <si>
    <t>…las Cortes generales y extraor dinarias del reyno, habiendo visto la causa formada contra el autor del im preso titulado Manifiesto que presenta á la nación el consejero de Estado D. Miguel de Lardizabal y Uríbe, uno de los cinco que compusieron el su premo consejo de Regencia de España é Indias, sobre su conducta política en la noche de 24 de Setiembre de 1810, de la qual resulta serlo el mismo señor; y teniendo presente lo expuesto y pedido por el señor fiscal, y l…</t>
  </si>
  <si>
    <t>Uribe, Miguel de Lardizabal y</t>
  </si>
  <si>
    <t>Miguel de Lardizabal y Uribe</t>
  </si>
  <si>
    <t>…a. D. Andrés Oller.,. D. Diego María Badillos. Se revoca como injusta la sentencia pronunciada por el tribunal especial creado por las Cortes generales y extraordinarias contra el señor D. Miguel de Lardizabal y Uribe; y en conformidad á la calificación de la junta suprema de Censura se le absuelve libremente de los cargos que se le han hecho en razón del objeto que motivó el procedimiento. Se declaran intempestivos y fuera de la mente de las Cortes todos los demas cargos…</t>
  </si>
  <si>
    <t>…as de Mitute y Djvila, calle de las Carretas, y en la de Collado, calle de la Montera, se vende á 10 rs. en rústica el célebre Manifiesto que en 1811 publicó en Alicante el Excmo. Sr. D. Miguel de Lardizabal y Uribe, uno de los cinco que compusieron la primera Regencia de España é Indias. En él hace ver sis autor las ideas que desde su principio empezaron á descubrir las Cortes generales y extraordinarias para hacer á esta nación heroyea una república; por cuya razón, de…</t>
  </si>
  <si>
    <t>…práctica observada debáis po nerla entera. = Tendreislo entendido, y lo comunicareis á quien correspon da. =SeñaIado de la real mano de S. M.= En Palacio á 24 de Mayo de 1814. = A D. Miguel de Lardizabal y Uribe. 2.0 Por este mi real decreto queda extinguida la secretaría nombrada de la Gobernación de Ultramar, y restablecido el ministerio universal de In dias , como estuvo desde los tiempos mas remotos hasta el dia 8 de Julio de 1787. = Tendreisb entendido para su c…</t>
  </si>
  <si>
    <t>…el mejor orden, y fomentar su bien y prosperidad. Tendreislo entendido, y lo comunicareis 4 quien corresponda. = Madrid 2 de Julio de 1814. = Señalado de ia Real mano de S. M. = A D. Miguel de Lardizabal y Uribe.; Nómina de los Ministros de que han,de componerse las tres Salas de mi Real y Supremo Consejo de las Indias, salva la antigüedad que á cada uno* corresponden Sala primera de Gobierno. = El Duque de Montemar, Presi dente. = D. Miguel Calixto de Acedo. = D. Fr…</t>
  </si>
  <si>
    <t>…e un Mi nistro de Capa y Espada, y de tres Togados. Tendreislo entendido, y lo comunicareis á quien correspondan Madrid 2 de Julio de 1814. == Señalado de la Real mano de S. M.= A D. Miguel de Lardizabal y Uribe. Nómina de los Ministros de mi Real Cámara de Indias; = El Duque de Montemar, Presidente. = D. Miguel Calixto de Acedo. = D. Pedro Aparici. = D. Ramón de Posada. =D. Francisco Requena. =D. Josef Pablo Va liente. Madrid 2 de Julio de 1814. = Señalado de la Rea…</t>
  </si>
  <si>
    <t>Uribe, Miguel de Lardízabal y</t>
  </si>
  <si>
    <t>Miguel de Lardízabal y Uribe</t>
  </si>
  <si>
    <t>…n dé efectuar los contratos dé compra á la mayor breve dad , y con todas las seguridades de derecho. ’ s {} * , . ' .; " ^ * Manifiesto que presentó á la nación española el Excmo. Sr. D. Miguel de Lardízabal y Uribe, uno de los cinco que compusieron «1 supremo consejo de Regen cia de España é lúdias, sobre sh conducta política en la noche del 24 de Setiem bre de 18 r o. Se hallará á $ rs, eti las librerías de Pere* y Sojo, calle de las Carre tas, y en la de Novillo, call…</t>
  </si>
  <si>
    <t>Uribi, Francisco</t>
  </si>
  <si>
    <t>Francisco Uribi</t>
  </si>
  <si>
    <t>…de capitán á D. Mariano Cucalón , capitán en el exército de Quito: en ei fixc de Carta gena de Indias nombrado .capitán á D Antonio Fominaya, y subtenientes á D. Jo é Villarino y D. Francisco Uribi: en el batallón veterano de M racaybo concedido grado de capitán, con la antigüedad que se ie conñrió sq retiro, al teniente D. Antonio Inarte: en el de Guay^ana grado de teniente coronel al capitán D. Antonio Orozco; y en el regimiento de caballería vo lunta…</t>
  </si>
  <si>
    <t>Urionagoena, José</t>
  </si>
  <si>
    <t>José Urionagoena</t>
  </si>
  <si>
    <t>…Ignacio de Inciarté y O. Prudencio Hernández de Sta. Cruz un pliego con 8r vales reales de i 300 pesos de la crear cion de í.° de Mayo: los 37 primeros cedidos al mismo Banco por D. José Urionagoena en 31 de Mayo de 1808, y los 44 restantes por el Ex ;mo. $r. conde de Áltamir.i, firmados en virtud de poder de S. E. por D. Antonio Rayón en 3 de Junio del mismo año, cuyos números son los siguientes*. 464075,464479,464614, 464673» 464882, 465363, 465534. 46…</t>
  </si>
  <si>
    <t>Urnara, Manuel de</t>
  </si>
  <si>
    <t>Manuel de Urnara</t>
  </si>
  <si>
    <t>…...............» D. Manuel López Maestre. En Va ladolid................ D. Luis Francisco de Luis. En Zaragoza,...,............... El Barón de la Torre. En Zamora................. D. Manuel de Urnara. jEn Zeuta............................. D. Pedro Huguet. Se halla vacante la plaza de médico de la villa y puerto de Laredo. Su dotación anual son 600 ducados, pagados los 500 de propios y arbitrios, y los 100 restan tes por subscripción del vecindario, ínter…</t>
  </si>
  <si>
    <t>Urquidi, José Ignacio</t>
  </si>
  <si>
    <t>José Ignacio Urquidi</t>
  </si>
  <si>
    <t>D. Manuel Balza, y á subteniente de bandera a! sargento primero D. Al fonso Diaz. Con la de i.° de Noviembres del mismo año, á sargento mayor á D. José Ignacio Urquidi; á teniente de granaderos á D. Miguel de la Ve ga ; ídem de fusileros á D. José Tellez y D. Matías de la Torre ; á subte nientes dé granaderos á D. Evaristo del Castillo y D. Martin Salazar, y á subtenientes de bandera á los cadetes D. Santiago de Castro , D.…</t>
  </si>
  <si>
    <t>Urquijo, José Alexandro de</t>
  </si>
  <si>
    <t>José Alexandro de Urquijo</t>
  </si>
  <si>
    <t>828 Con fecha r 2 ríe Abrí! ultimo remitió desde Cádiz D. Ignacio de Unceta, ca pitán de Reales Guardias Españolas, á D. José Alexandro de Urquijo , del co mercio de esta corte, tres vales reales de á 300 pesos de la creacien de 1.° de Se tiembre, señalados con los números 68,894, 70,444 y 74,058, y un recibo de intereses de otros quatro de goo pesos, señalado con el registro 24, número 1 i8a; y no' hab…</t>
  </si>
  <si>
    <t>Urquinaona, Manuel María de</t>
  </si>
  <si>
    <t>Manuel María de Urquinaona</t>
  </si>
  <si>
    <t>…os balcones alternaban las orquestas con las aclamaciones del inmenso gentío que se hallaba en la pla za. Puestas á los reales pies las varas de justicia, el señor síndico segundo D. Manuel María de Urquinaona arengó en nombre de la ciudad de Cádiz: después de lo qual dió principio al besamanos el Excmo. Sr. capitán ge neral, gobernador militar y político, siguiendo los señores alcaldes, oficia les, capitulares, damas y demas circunstantes. Concluida tan tierna esc…</t>
  </si>
  <si>
    <t>Urraza, Juan Antonio de</t>
  </si>
  <si>
    <t>Juan Antonio de Urraza</t>
  </si>
  <si>
    <t>…de D. Juan de Ace dos Bravo, vecino y agente de negocios que fué en esta corte, y pende ante el Sr. D. Francisco Assin, teniente de corregidor de ella, y escribanía del número de D. Juan Antonio de Urraza, se ha señalado para celebrar junta de todos los interesados el domingo 7 del próximo mes de Agosto á las nueve de su mañana en la posada de dicho señor juez. Lo que se anuncia al público para inteligencia de 'os mismos. Se halla vacante !a plaza de maestro d…</t>
  </si>
  <si>
    <t>…en el preciso término de 30 dias, contados dasde esta fecha, que por primero y último se les concede, acudan á deducirle an te dicho señor teniente por la escribanía numeraria de D. Juan Antonio de Urraza; apercibidos que pasado dicho término, sin mas citarles ni emplazarles, se pro videnciará lo que corresponda, y les’parará el perjuicio que haya lugar. En virtud de providencia del Sr. D. Francisco Assin y Domínguez, teniente corregidor de esta villa, se ha m…</t>
  </si>
  <si>
    <t>…89 rs., y se vende para pago de cierto acreedor, acu da ante el Sr. D. Joaquín Almazan, del consejo de S. M., teniente de corregidor de esta villa, por la escribanía del número de D. Juan Antonio de Urraza, en el término de 15 dias contados desde esta-fecha, que se admitirán las que se hicieren siendo arregladas, y'para su remate-está señalado eLdia 2 de Enero del año próxi mo venidero de 1815 á las 12 de su mañana en la audiencia de dicho señor te* niente. En…</t>
  </si>
  <si>
    <t>Urribarri, Juan</t>
  </si>
  <si>
    <t>Juan Urribarri</t>
  </si>
  <si>
    <t>…ente á D. Diego Mar tín Martínez. En el de infantería ligera Voluntarios de Chiloe subteniente á D. Fermín.Perez. En el regimiento Real de Lima en el Perú subteniente de bandera á D. Juan Urribarri. En las compañías de infantería ligera de Cataluña fixas de la Havana subteniente, á D¿ Rafael José Moreil. En el re gimiento de dragones de la misma plaza comandante de esquadron agrega do al capitán de dragones de Almarisa graduado.de teniente coronel D. Ra…</t>
  </si>
  <si>
    <t>Urrutia, José</t>
  </si>
  <si>
    <t>José Urrutia</t>
  </si>
  <si>
    <t>…Matías de Rebles, al Lmo. Sr. obispo de Orihuela, paniarca de las Indias: para una canongía de la iglesia catedral de Córdo ba, vacante por fallecimiento de D. José de Aldama , á D. José Urrutia, teniente vicario general del quano exército: para otra de la iglesia catedral de Sigiienza, vacante por muerte de D. Fernando Iscar, á D. Lope More no, cura párroco del lugar de B. lbacil, en la misma diócesis: para otra de la catedral de Mondoñedo, vacante…</t>
  </si>
  <si>
    <t>Urrutia, Josef de</t>
  </si>
  <si>
    <t>Josef de Urrutia</t>
  </si>
  <si>
    <t>…da canongía, de Córdoba á D. Juan de Exargue y Cer rera, capellán párroco del exército; y para el referido beneficio préstamo de Lcgrosan , que resulta vacante por pr.p.mocion del D. Josef de Urrutia, á D. Juan Manuel López de Ontiyeros, vicario y juez eclesiástico del partido de Bejar, en dicho obispado de Plasencia: para una capellanía, vacante en Ja Real capilla de Sresí Reyes’ nüevcs dé Toledo &lt;por muerte de D. Barto lomé-de Cañas, á D. Domingo Canter…</t>
  </si>
  <si>
    <t>Urrutia, Luis</t>
  </si>
  <si>
    <t>Luis Urrutia</t>
  </si>
  <si>
    <t>…, D. Manuel García y D. Francisco Geltz de la Luz, y á los sargentos primeros D- José • Trejo y D. Juan Planearte. Con la de 5 de Mayo de 811 , á subteniente de bar dera al cadete D. Luis Urrutia. Con la de 20 de Julio del mismo, á teniente de la sexta del primero á D. Martin Salazar; á subteniente de fu sileros al sargento primero D. José Castro, y á subtenientes de bandera á los cadetes D. Juan de Dios Fuertes y D. Pab¡o Molina. Con la de 24 de Octu…</t>
  </si>
  <si>
    <t>Urrutig, Josef de</t>
  </si>
  <si>
    <t>Josef de Urrutig</t>
  </si>
  <si>
    <t>…retención? de las capellanías de Honor que sirven en la Real capilla: para una canongía , va cante en la iglesia metropolitana de Valencia por fallecimiento de D. Josef de Roa , á D. Josef de Urrutig., canónigo electo de la catedral de .Córdoba, y teniente vicario, general dél ¿puartó exército'de operaciones, con dimision del‘.beneficio pré tamo de Lpjgf8saa, cjue obtiene en ej obispado de-Piasencía : para la¡ expresada canongía, de Córdoba á D. Juan de E…</t>
  </si>
  <si>
    <t>Urtonagoena, José</t>
  </si>
  <si>
    <t>José Urtonagoena</t>
  </si>
  <si>
    <t>…sé Ignacio de Inciarte y D. Prudencio Hernández de Sta. Cruz un pliego con 8c vales reales de á 300 Pcsos de H crea ción de i.° de Mayo: los 37 primeros cedidos al mismo banco por D. José Urtonagoena en 31 de Mayo de 1808, y los 44 restantes por el Excmo. Sr. conde de Aitamira, firmados en virtud de poder de S. E. por D. Antonio Ra^on en 3 de &lt; Junio del mismo ano, cuyos números son los siguientes: 464075, 464479,464614, 464673» 464882, 465363, 465504, 46…</t>
  </si>
  <si>
    <t>Ustarroz, Joaquín</t>
  </si>
  <si>
    <t>Joaquín Ustarroz</t>
  </si>
  <si>
    <t>…prestamera de Pradeña enrel obispado de Córdoba, vacante por promoción de D. José María Miera á la dignidad de prepósito de La iglesia colegial de Antequera, diócesis de^Málaga, á D. Joaquín Ustarroz; para los»dos prés tamos de Castillejo y Cerralbo , diócesis de Ciudad-Rodrigo, vacantes por muerte de D. Angel Tellez, y el de Sepulcro Hilario ,1 vacante en la misma diócesis por fallecimiento de D. Joaquín Uria, á D. Vicente Saenz de Zenzano; y para el pré…</t>
  </si>
  <si>
    <t>Utre, Francisco Xavier de</t>
  </si>
  <si>
    <t>Francisco Xavier de Utre</t>
  </si>
  <si>
    <t>…edio ni sacrificio alguno para conseguirlo.” ARTÍCULO DE OFICIO. El Rey se ha servido nombrar para la iglesia y obispado de Cádiz, qoe se halla vacante por fallecimiento del limo. Sr. D. Francisco Xavier de Utre ra que la obtenia., al limo: Sr. D. Juan Acisclo de Vera y Delgado, arzo bispo de Laodicea, y coadministrador del arzobispado de Sevilla: para una canongía de la santa iglesia’primádl de Toledo,‘vacanté por muerte de Don Juan Antonio Cabrejas, á D. Juán Ferna…</t>
  </si>
  <si>
    <t>Utrera, Francisco</t>
  </si>
  <si>
    <t>Francisco Utrera</t>
  </si>
  <si>
    <t>…currirá en los dias 6 y 7 del mes de Setiembre próximo, señalados para la opo sición á dicha plaza. Se previene que se desea tenor abultado. Se desea tener noticia del paradero de D. Francisco Utrera, teniente capitán de la primera compañía del batallón de Molina de Aragón, de la división dei ge neral Viilacampa, herido y hecho prisionero en la acción de Cariñena el 16 de Julio de 1810. La persona que supiere de él se servirá avisarlo en Madrid en la li b…</t>
  </si>
  <si>
    <t>Uznia, Manuel</t>
  </si>
  <si>
    <t>Manuel Uznia</t>
  </si>
  <si>
    <t>…ios de Asturias. D. Pablo Herce, capi tán de id. D. Andrés Pardo, a&gt; udante de id. D. Bernardo Pita , teniente de ¡d. IX Ramón Nuñez, id de id D. José Villamil, subteniente de id. D. Manuel Uznia, id. de id. D. Pedro Ovalle&gt; id. de id., D. Juan Canal, capitán del de Santiago. D. Juan de Castro, teniente de Id. D. Benito Martínez, id. de Id. D. Juan Guillen, subteniente de id. D. Francisco Quiroga, id. de id. D. Juan Cancela, id- de id. D. Bernabé de l…</t>
  </si>
  <si>
    <t>Uztariz, Francisco Pantaleon</t>
  </si>
  <si>
    <t>Francisco Pantaleon Uztariz</t>
  </si>
  <si>
    <t>…el Dr. D. Francisco Xavier Echeverría, arcediano de la misma, too: el Dr. D. Cipriano Villota, chantre de ídem-, 200: el Dr. D. Juan Felipe Portu, prebendado de ídem, 25 : el Dr. D. Francisco Pantaleon Uztariz, cura ré'tor del sagrario de ídem, 24: D. Juan José de Cáceres, teniente de ídem, 4: D. Mariano Rodríguez, capellán de coro de idem, 6: el Lie. D. José Manuel del Pino, idem de idem, 2: D. Agustín de la Gala, idem dé idem, 4: el Dr. D. Juan d e Ta Cruz Eurraz…</t>
  </si>
  <si>
    <t>V, Felipe Martínez de</t>
  </si>
  <si>
    <t>Felipe Martínez de V</t>
  </si>
  <si>
    <t>…ía de.línea de Córdoba; át D . F rancisco Galvez, dignidad: de tesorero de ia* santa iglesia de Córdoba; dt Me Japinaud, teniente general de ios.exércitqs del Rey de Francia&lt;,.y x D. Felipe Martínez de V|ergol, itdsotera d&lt;l Rey jPadréá}-*' . :: cuy ~ Atendiendo el Rey á/Osmpritos y servicios.del comisario de guerra ho«orario- D.. Antonio Masía Chiva, ha tenido:á bienconfertflecn -propiedad el miaistetio.de Real .Hacienda &lt;}e Alicante* ; i r¿. .</t>
  </si>
  <si>
    <t>V, Joaquia</t>
  </si>
  <si>
    <t>Joaquia V</t>
  </si>
  <si>
    <t>…efe de la primera brigada de ]a división,proyisig^ nal, coronel de.Oviedo. D. José María Carrillo, gefe de ¡a primpra¡ j}rig^||£ de la quarta división, coronel del a.^de Asturias. D. Joaquia V,eja^cqfl. £f.-j eretario de S. É., teniente de la Princesa. D.,feernando.^e;J.a^enríat.gapitagi de ingenieros. D. José. Ortega, teniente coronel , ayudare ¡ .secundo,fju/,es-j tado mayor. D. José Cieofuegos, id. de id. D. Ramón Gqqzajez^J^pe i3. D. Santos San…</t>
  </si>
  <si>
    <t>V, Manuel de</t>
  </si>
  <si>
    <t>Manuel de V</t>
  </si>
  <si>
    <t>…cia á los humildes vecinos de Cadahalso, que dirigen al cielo sus ruegos por la importante salud de V. M.” El mismo día D. José Cauz Menendez, juez primero de la ciudad de Oviedo, D. Manuel de V.illaverde, regidor, y D. Joaquín Antonio Sán chez, procurador general, comisionados por su ayuntamiento, tuvieron igualmente el honor de besar la mano á S. M. y AA., y de felicitarle á nom bre de él y de los habitantes del concejo; pronunciando el primero de e…</t>
  </si>
  <si>
    <t>V, Pedro</t>
  </si>
  <si>
    <t>Pedro V</t>
  </si>
  <si>
    <t>…sía de la santa iglesia metropolitana de Samiag,-.a b. r-annbeo \ en tura de Palacios; para una canongía de la reíenda santa iglesia me^&gt;poluana de. Burdos,¡ vacáñte por muerte de-D. Pedro V ícente l^ ir-iua D. Sa turnino de cStaZ María , con dimisión del. arciprestaugo ce Herrera rao Písuerga-j v del -beneficio de Cabañeros en. la diócesi de Zamora-^para otra teanonena de la santa i^esia metropolitana-de Santiago, vacante por Failech1 miento-'de…</t>
  </si>
  <si>
    <t>Va, Josef Pablo</t>
  </si>
  <si>
    <t>Josef Pablo Va</t>
  </si>
  <si>
    <t>…a de los Ministros de mi Real Cámara de Indias; = El Duque de Montemar, Presidente. = D. Miguel Calixto de Acedo. = D. Pedro Aparici. = D. Ramón de Posada. =D. Francisco Requena. =D. Josef Pablo Va liente. Madrid 2 de Julio de 1814. = Señalado de la Real mano de S. M. Circular del Ministerio de Hacienda. ,,He dado cuenta al Rey nuestro Señor del oficio de V. S. de 14 de Junio último, en que consulta si los granos procedentes de fincas de Regu lares, que…</t>
  </si>
  <si>
    <t>Va, Manuel Cabeza de</t>
  </si>
  <si>
    <t>Manuel Cabeza de Va</t>
  </si>
  <si>
    <t>…ti.-facción de felicitar á V. M. ofreciéndole su homenage.” Asimismo en este dia se presentó á S. M. una diputación del ayuntamiento de Ciudad-R •drigo, compuesta de los regidores D. Manuel Cabeza de Va ca y D. Juan Castillo, á quienes acompañó por comisión de dicho ayunta miento el marques de Espeja, que habló á S, M. en los términos siguientes: ,,Señor: la feliz llegada de V. M. á España después de tan largo cauti verio, volviendo á ocupar el trono de sus…</t>
  </si>
  <si>
    <t>Vadíllo, Anastasia</t>
  </si>
  <si>
    <t>Anastasia Vadíllo</t>
  </si>
  <si>
    <t>…no contribuyentes. Se ha fixado el término de 30 días para la admisión de memoriales á las seis plazas de colegiales no contribuyentes. A instancia de los herederos abintestato de Doña Anastasia Vadíllo, viuda de D. Felipe Fernandez, se cita y llama á los acreedores á sus bienes, para que en el término de nueve dias, siguientes á la publicación de este aviso, comparezcan an te el Sr. D. Francisco de As«ín, y escribanía del número de D. Casimiro Antonio Gómez…</t>
  </si>
  <si>
    <t>Vadillo, Diego</t>
  </si>
  <si>
    <t>Diego Vadillo</t>
  </si>
  <si>
    <t>…Satue, ministro que fué de la extinguida audiencia de Madrid, ha venido en-nombrarle para la plaza de la sala de alcdldes de casa y corte, que ha resaltado vacante por ascenso de D. Diego Vadillo á otra dei consejo de las Ordenes. El Rey se ha servido nombrar para el arcedianato de Talavera, dignidad de la iglesia primada de Toledo, vacante por fallecimiento del señor cardenal de la iglesia romana D. Antonio Despuig y Dameto , á D. Juan Escoiquiz, con…</t>
  </si>
  <si>
    <t>Vadillos, Diego María</t>
  </si>
  <si>
    <t>Diego María Vadillos</t>
  </si>
  <si>
    <t>…na. El Rey nuestro Señor se ha servido nombrar gobernador de la sala de alcaldes de Casa y Corte á 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 D. Alexandro Dolarea y D. Tadeo Soler y Cases, y fiscal á D. Mateo Zendoqu…</t>
  </si>
  <si>
    <t>…ayor é imperial de Santa Cruz de la Fe y San ta Catalina» universidad!de Granada, D. Antonio Alcalá Galianó, ministro dei Consejo, y juez, conservador de la real lotería moderna ; D. Diego María Vadillos, alcalde de la real casa y corte, y D. Vicente José Mier , canóni go de AÍbarracin r como individuos de dicho cuerpo; y. en cuyo acto pro nunció el primero un discurso análogo á las circunstancias, concluyendo con poner en las; reales manos la carta que servi…</t>
  </si>
  <si>
    <t>Vados, Francisco Martínez de</t>
  </si>
  <si>
    <t>Francisco Martínez de Vados</t>
  </si>
  <si>
    <t>…curas y beneficiados de las iglesias parroquiales de la ciudad de Cuenca, representado por su arcipreste titular D. Raymundo Ettenhard y Salinas, dignidad de estasanta iglesia, y D. Francisco Martínez de Vados, be neficiado de la iglesia parroquial de S. Nicolás; el primero de los quales ha bló asi á S. M.: * •; ,,Señor: el cabildo de curas y beneficiados de las iglesias parroquiales de la ciudad de Cuenca se postra á L. R. P. de V. M. para rendirle los mas respetu…</t>
  </si>
  <si>
    <t>Vaicárcel, Ignacio</t>
  </si>
  <si>
    <t>Ignacio Vaicárcel</t>
  </si>
  <si>
    <t>…nsas que desea darles con toda la efusión de su paternal amor. El Rey se ha servido nombrar para una canongía de la iglesia metropo litana de Sevilla, vacante par,fallecimiento de D. Ignacio Vaicárcel y.Var gas, á D. Celestino Sánchez, prior.de la colegiata de S. Hipólito de Córdo ba*, .para otra canongía de la iglesia catedral de Valladolid, vacante por muerte de D. Gabriel Obregon, á D. Manuel de Orbaneja: para una ración de la iglesia metropolitana de B…</t>
  </si>
  <si>
    <t>Vaídes, Manuel Menendez</t>
  </si>
  <si>
    <t>Manuel Menendez Vaídes</t>
  </si>
  <si>
    <t>…os al primer teniente D. Ignacio de Lardizabal; á pri mer ayudante mayor al segundo D. Ramón de Melgarejo; á primeros te nientes á D. Mariano López, de cazadores; y de fusileros á D. Manuel Menendez Vaídes, D. Pedro Zuíoaga y D. José González de Ribera; á segundo ayudante mayor á D. Antonio Romero; á segundos tenientes á D. José Joaquín de la Mata, de granaderos, al conde de Torrejon de ca zadores, y de fusileros á D. José de Osea, D. Andrés de Andrade, D. Ig n…</t>
  </si>
  <si>
    <t>Vaidés, Vicente</t>
  </si>
  <si>
    <t>Vicente Vaidés</t>
  </si>
  <si>
    <t>…del Pozo, D. Cárlos 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comandante del esquadron de dragones de Amotape. En las compañías sueltas de Truxillo empleo de capitán al teniente de gr…</t>
  </si>
  <si>
    <t>Vailejo, Francisco</t>
  </si>
  <si>
    <t>Francisco Vailejo</t>
  </si>
  <si>
    <t>…o Merino para una canongía de la metropolitana de Valencia, vacante por fallecimiento de D. José Faustino Alcedo: á D. Luis de Exarque para otra de la misma, vacante por muerte de D. Francisco Vailejo: á D. Manuel de Roa para otra de la misma iglesia, vacante por fa llecimiento de D. Francisco María Vich; y para otra canongía de la metro politana de Valencia , vacante por muerte de D. Vicente Lloret, á D. Fran cisco Guinierá, canónigo de ia catedral de Seg…</t>
  </si>
  <si>
    <t>Vaímbmarchó</t>
  </si>
  <si>
    <t>…varon- eii los bosques. S. M. ha concedido tres insignias de la legión de Honor al destacamento del regimiento 3.0 de la guardia de honor, ¿ igual número á la guardia nacional. El conde Vaímbmarchó este dia (24) á Bar del Sena. Habiendo llegado á St. Paar encontró la retaguardia del general Giulay , la acometió , la der rotó é hizo i 200 prisioneros. Es probable que el conde de Valmi esté esta noche en Bar del Sena. El general ¡Girard marchó desde el pu…</t>
  </si>
  <si>
    <t>Vaimon</t>
  </si>
  <si>
    <t>…, que trata de la táctica antigua. Se hallará en la librería de la viuda de Barco López, calle de la Cruz. Triunfos-de la verdadera religión contra los extravíos de la razón en el conde Vaimon: cartas recogidas y publicadas en francés, y traducidas al castellano por el R. P. Fr. Clemente Millana, religioso observante: cinco tomos en 4.0, á 65 rs. en rústica y 85 en pasta. =Regula cieri ex sacris litteris, et praeparatio próxima ad mortcn ad usum cl…</t>
  </si>
  <si>
    <t>Valcárcei, Luis Tereyro y</t>
  </si>
  <si>
    <t>Luis Tereyro y Valcárcei</t>
  </si>
  <si>
    <t>…ía, plazuela de ia Cebada, núm. 1 , frente á la parroquia de S. Milian, ó en el lugar de Quecedo i su vicario eclesiástico D. An gel Antonio de Isla. Se desea saber e! paradero de D. Luis Tereyro y Valcárcei, de edad de &lt;5$ años, y natural de la parroquia de S. Pelayo de Arcilla, en el obispado de Mondoñedo, provincia de Lugo, rey no de Ga icia, que siendo estutjunte se embarcó hace mas de 40 anos para Veracruz, y de alli se trasladó á la ciudad de México; é igno…</t>
  </si>
  <si>
    <t>Valdearenas, Josefa Gabriela</t>
  </si>
  <si>
    <t>Josefa Gabriela Valdearenas</t>
  </si>
  <si>
    <t>…a Beatriz, en el convento de Sta. Clara de esta corte, á cuyo goce y obten ción está reservado igualmente por Ja expresada sentencia su derecho á los que le pueden tener majo' que Doña Josefa Gabriela Valdearenas. En ia villa dr Urda, provincia de la Mancha, se hallan vacantes las plazas si guientes: la de médico, con la dotación de 800 ducados anuales pagados por el ayuntamiento: la de boticario, con la asignación de 4 rs. diarios por vía de nyuda de costa; y la de m…</t>
  </si>
  <si>
    <t>Valdés, Alonso Rodríguez</t>
  </si>
  <si>
    <t>Alonso Rodríguez Valdés</t>
  </si>
  <si>
    <t>…o militar de Se villa al brigadier D. Luis Florez, gobernador del Puerto de Santa María: este empleo al de igual clase D. Antonio Porta: la tenencia de rey de la plaza de Cádiz al brigadier D. Alonso Rodríguez Valdés, que la servia in terinamente : la de la de Madrid al coronel J¡¡&gt;« Manuel Villalba, sargento mayor de la misma : esta resulta al teniente coronel D. Benito Villuela, te niente coronel del regimiento de infantería 2.0 de Soria"; y la secretaría de U capitanía…</t>
  </si>
  <si>
    <t>Valdés, Antonio</t>
  </si>
  <si>
    <t>Antonio Valdés</t>
  </si>
  <si>
    <t>…is María de Salazar.” En consecuencia, conformándose S. M. cen la propuesta de S. A.; se ha servido nombrar para vocales de dicha junta á lós capitanes generales de la ar mada Fr. D. Antonio Valdés y D. Félix de Tejada, al teniente general Don Julián de Retamosa, al gefe de esquadra D. Francisco Mondragon, y por secretario al capitán de navio D. Tomas Barreda. Circulares del ministerio de Hacienda. T.n El Rey se ha servido dirigirme éLdecreto qué sigue:</t>
  </si>
  <si>
    <t>8l2 Priorato de Castilla y León de-da Orden Militar y Hospitalaria de Jerusalen al Baylío Fr. D. Antonio Valdés, en quien concurren las circunstancias de religiosidad, zelo*y prudencia que se requieren para el buen desempeño de este cargo. Tendráse entendido en la Cámara, y se le expedirá el título cor respondiente. En Palacio á 24 de Junio de 1814. = Al Secretario de…</t>
  </si>
  <si>
    <t>…sta del Sr. In fante Almirante general de España é Indias, y nombrar en consecuencia para vocales del Consejo de Almirantazgo 4 ios capitanes generales de la ar mada el bayiío Fr. D. Antonio Valdés y D. Félix de Texada, para que asis tan á las sesiones quando el estado de su salud se lo permita: á ios tenientes generales D. Ignacio María Aiava, D. Juan María Villavicen^io , Don</t>
  </si>
  <si>
    <t>…D. Francisco García de Espinosa vocal in tendente general, y á D. Manuel Fernando Ruiz del Burgo vocal auditor general. Posteriormente y habiendo hecho (dimisión el Sí. baylfo Fr. D. Antonio Valdés, se dignó el Rey exónerarie enteramente de aquel cargo en consi deración á los motivos que expuso. El 16 último se instaló el Consejo de Almirantazgo; y habiendo presta do los vocales que se hallan en esta^corte el juramento acostumbrado en manos del Sr. Infa…</t>
  </si>
  <si>
    <t>Valdés, José Díaz</t>
  </si>
  <si>
    <t>José Díaz Valdés</t>
  </si>
  <si>
    <t>…lde or dinario de dicha villa D. Rafael Sánchez de Lugo. A los herederos de D. Rosendo José Gutiérrez, del orden de Carlos rn, y cónsul que fué en Algeciras, se les avisa acudan á D. José Díaz Valdés, residente en el real sitio de Aranjuez, el qual tiene que comunicarles asuntos que les interesa. La persona qHe supiese el paradero de D. Alfonso Masi, que se ausentó en el faño de 1809 de la villa de Escalona de Alberche, provincia de Toledo con el objeto d…</t>
  </si>
  <si>
    <t>Valdes, Manuel</t>
  </si>
  <si>
    <t>Manuel Valdes</t>
  </si>
  <si>
    <t>…xara á D. Estéban Rodríguez Ga llego: para la de Laseca á D. Pablo Blanco Caballero: para el corregi miento de Calahorra á D. Francisco Fabian: para el corregimiento de Es^ ¿epa á D. Manuel Valdes; y para que sirva interinamente el de Jaén á Don Carlos Carabantes, comandante de armas de aquel rey no. También se ha servido nombrar S, M. para la capitanía general del prin*cipado de Cataluña, con la presidencia de su audiencia, al teniente general marques…</t>
  </si>
  <si>
    <t>Valdésy, Casimiro</t>
  </si>
  <si>
    <t>Casimiro Valdésy</t>
  </si>
  <si>
    <t>…ción de V. E. á los dos primeros el grado de mariscales de campo, á los dos segundos el de brigadieres, y á los dos terceros el de co roneles de milicias, asi como el de coronel á D. Casimiro Valdésy teniente coronel de artillería , y comandante de esta arma, que se distinguió, mante niéndose enda línea de batalla al lado dedas piezas, hasta que se concluyó; y el de capitán de exército al ayudante de partidarios D José Santos de la Hera, que prosiguió con…</t>
  </si>
  <si>
    <t>Valdivieso, Francisco</t>
  </si>
  <si>
    <t>Francisco Valdivieso</t>
  </si>
  <si>
    <t>…Perú en h América meridional, compuesta de los señores D. Francisco Salazar, briga dier de los reales exércitos; el marques deTorretagle, coronel del regimien to de la Concordia; D. Francisco Valdivieso y D. Dionisio Inca Yupanqui, diputados por Lima; D. Gregorio Guinea, deán de la Sta. iglesia deTruxiiio; D. Agustín Fernandez de Córdoba, D. José Miguel del Castillo, dipu tados por Truxillo; D. Antonio Navarrere, diputado por Puira; D. Juan Antonio Andueza, diputado por Chachapoyas; D.…</t>
  </si>
  <si>
    <t>Valencia, Diego José Llinas de</t>
  </si>
  <si>
    <t>Diego José Llinas de Valencia</t>
  </si>
  <si>
    <t>…por muerte de D, Ignacio Benedicto Ibañez, á D. Pedro Fernando Tavira: para una ración dé la igieóa catedral de Ceuta, vacante por fallecimiento de D. Francisco Mas de la Torre, á D. Diego José Llinas de Valencia: para el beneficio simple servidero de la parroquia de las Peñas de S. Pedro, diócesis de Cartagena, vacante por muerte de D. Lorenzo de Roxas, á D. Cayetano Puerta: para el de la igle sia parroquial de Cañete, en el obispado de Córdoba, vacante por faUecimie…</t>
  </si>
  <si>
    <t>Valentín</t>
  </si>
  <si>
    <t>…n, que han jugado vivamente con bala rasa, metralla y granadas. La pérdida por nuestra parte consiste en la de un sar gento y dos voluntarios muertos; el subteniente de granaderos D. Valentín lgarreta y quatro voluntarios heridos: y la del enemigo ha sido haberle he cho un prisionero, un sargento y 10 soldados muertos, y debe haber teni do muchos heridos. Debo recomendar á V. S. á la olida!idad y tropa que se ha batido, y particularmente al cabo d…</t>
  </si>
  <si>
    <t>Valenzuela, Antonio Pimentel y</t>
  </si>
  <si>
    <t>Antonio Pimentel y Valenzuela</t>
  </si>
  <si>
    <t>ESPAÑA. Madrid 8 de Julio. El 20 del mes próximo pasado tuvieron el honor de presentarse á $. M. D. Antonio Pimentel y Valenzuela, el teniente de infantería D. Antonio Pimentel y Mellado y D. Bernabé Ruiz, hijos legítimo y político del mis mo, vecinos de la villa de Santa Cruz de Múdela, comisionados por su ilus tre ayuntamiento, cabildo eclesiástico y demas naturales para felicitarle p…</t>
  </si>
  <si>
    <t>Valenzuela, Francisco Pimentel</t>
  </si>
  <si>
    <t>Francisco Pimentel Valenzuela</t>
  </si>
  <si>
    <t>…u diputado, exigiéndole copia, de su arenga para remitirla á S. S., con Ja noticia del acon tecimiento digno que la había motivado. Madrid 7 de Setiembre. El dia 9 de Julio último D. Francisco Pimentel Valenzuela, cura pro pio de la villa de Yunclillos, en este arzobispado de Toledo, después de ha ber tenido el honor de besar la mano al Rey nuestro Señor, cumplimentó i S. M. como comisionado de la congregación de S. Felipe Neri de Baeza y dé las religiosas dominicas d…</t>
  </si>
  <si>
    <t>Valenzuela, José María</t>
  </si>
  <si>
    <t>José María Valenzuela</t>
  </si>
  <si>
    <t>…79 de Agosto. El dia 6 del mes próximo pasado tuvieron el honor dé besar la mán© á Si M. á nombre del arzobispo y cabildo de lá santa iglesia catedral de Ba-T dajoz el licenciado D. José María Valenzuela, caballero clérigo del orden de Santiago; y el Dr. D. Blas García, canónigos de la misma; ei primero de los quales dixo: . , „ Se ñor: en nombre del arzobispo obispo y cabildo de la santa iglesia catedral de Badajoz tenemos el honor de ofrecer á los R. P. de…</t>
  </si>
  <si>
    <t>Valero, Pedro</t>
  </si>
  <si>
    <t>Pedro Valero</t>
  </si>
  <si>
    <t>…los siempre con igual zelo, fidelidad y ardimiento hasta derramar la última gota de su sangre*baxo la benigna dominación de V. M. ARTICULO DE OFICIO. S. M. se ha servido nombrar á D. Pedro Valero, canónigo de la iglesia de Zaragoza y gobernador de aquel arzobispado, para la mitra y obispado de Gerona, vacante por fallecimiento de D. Agapito Ramírez de Arellano. Asimismo se ha servido nombrar S. M. á consulta dé la cámara para tres plazas de oidor de l…</t>
  </si>
  <si>
    <t>Valiente, Bruno</t>
  </si>
  <si>
    <t>Bruno Valiente</t>
  </si>
  <si>
    <t>…rirera,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zeío de su di rector., y de los continuos desvaios de sus gefes y profesores, que generosa mente se emulan en ei cu…</t>
  </si>
  <si>
    <t>Valiente, José Labio</t>
  </si>
  <si>
    <t>José Labio Valiente</t>
  </si>
  <si>
    <t>…eF mismo dia tuvo también la Honra de felicitar á S.M. una diputacioa de la universidad literaria de Sevilla, compuesta de quatro doctores de su. claustro, que lo fueron el limo. Sr. D. José Labio Valiente, ministro togada</t>
  </si>
  <si>
    <t>Vallada, Miriaña</t>
  </si>
  <si>
    <t>Miriaña Vallada</t>
  </si>
  <si>
    <t>…Cosme su hermano, para que el que tuviere noticias de él se sirviese comunicar’as á D. Juan Miguel Adarraga en dicha ciudad; en Cádiz á D. Juan Manuel de Azubialie, y en Sevilla á Doña Miriaña Vallada res y Gardoqui; prometiendo ademas un premio de 1500 rs. ai que las comunica se, y encargando también í los mismos corresponsales que le diesen cuenta si se presentaba ó no algún sugeto que dixese y asegurase el paradero de didho D. Coa me,con el señalamiento…</t>
  </si>
  <si>
    <t>Valladares, Francisco Sánchez</t>
  </si>
  <si>
    <t>Francisco Sánchez Valladares</t>
  </si>
  <si>
    <t>…D. Manuel Zorrilla, teniente del regi miento de Teja, dexó en dicha ciudad en la precipitada retirada que hizo su cuerpo a fines de Noviembre de i3o8. Se desea tener noticL'.s de D. Francisco Sánchez Valladares, oficial que fue de la terrería mayor, y destinado por la Junta central á intervenir sucesivamente en los almacenes del 3.0 y 2.0 exército. De é! se ha dicho que murió poco después, se gún unos , en la voladura del castillo de las Penas de S. Pedro, y según o…</t>
  </si>
  <si>
    <t>Valladares, Gerónimo</t>
  </si>
  <si>
    <t>Gerónimo Valladares</t>
  </si>
  <si>
    <t>…publicación; en la in teligencia de que por lo que mira al de gramática será siempre pteferido un sacer dote, y por lo que hace al de primeras letras el que sepa tañer el órgano. D. Gerónimo Valladares, natural de Madrid, siendo capitán del regimiento de infantería de América, fué hecho prisionero en Vich de Cataluña en 10 de Fe brero de 18tó, y conducido á Valenqay en 28 de Abril, donde estuvo hasta 20 de Setiembre, que salió para el castillo ó fort de l’E…</t>
  </si>
  <si>
    <t>Valladares, Julián</t>
  </si>
  <si>
    <t>Julián Valladares</t>
  </si>
  <si>
    <t>…icho año de 1811, desde cuyo tiempo, no habiendo tenido mas noticia de él sus padres, suplican á la persona que la tenga de su existencia ó fallecimiento, se sirva comunicársela á D. Julián Valladares, contador de la casa de Santistéban, en la ciudad de Mantilla, en el reyno de Córdoba. EN LA IMPRENTA REAL.</t>
  </si>
  <si>
    <t>Valle</t>
  </si>
  <si>
    <t>…se® qué te vecoriocia sá .autoridad: que veafificadp esfo&gt;, se cerciorase', mas aun en&gt;iiy r&gt;aaBegoña* haciendo ¿a.'señal contenida para--fatidéa fiel convoyé yapasase ártterra éL comandante Valle eod lajcorrespondencia pública y/Mel servicio, y recogiese los buques menores iquerpedia algohernador para des embarcar; las tropas. W . Al- llegar JBegoña al muelle encontró muchas personas que le convidaron á sa itarMn. tierra;; pero él ,i sin embargó de co…</t>
  </si>
  <si>
    <t>Valle, Ignacio</t>
  </si>
  <si>
    <t>Ignacio Valle</t>
  </si>
  <si>
    <t>…armándola en guerra*con ümeañon de á 12 , dos pedreros, nueve hombres de infantería de marina ,* uno -de artillería*y un pilotín:, confiando el mando de ella al teniente de^navíb D. Ignacio Valle, y embarcando ademas al alférez de fragata graduado&gt;D¿; Andrés Begoña, capitán de una de las fragatas particulares del convoy, por ser este un sugeto de muchos conocimientos en la Guayra, y esta reunido» en amistad con varios que mili taron á las órdenes del…</t>
  </si>
  <si>
    <t>$4 dados /heridos dé gravedad, y ió levemente, entre estos so capitán : el trans porte San José 4 soldados muertos. El teniente de navio D. Ignacio Valle gime preso en una bóveda, se gún dixo á Prieto el general Monteverde; pero será cangeadó con prefe rencia , y los 14 valerosos soldados y marineros que Valle llevó á tierra con sigo eñ la Gu,ayra perecieron alli, llenándose de gloria , y dando al mundo un exe…</t>
  </si>
  <si>
    <t>Valle, Pedro Nicolás del</t>
  </si>
  <si>
    <t>Pedro Nicolás del Valle</t>
  </si>
  <si>
    <t>…de la ciudad de La cena el Excmo. Sr. conde de Colomera, capitán general de los Reales exércitos, el mariscal de campo D. Gaspar Alvarez de Sotomayor, y el con sejero de Hacienda D. Pedro Nicolás del Valle; el primero de los quales se explicó del modo siguiente : „ Señor : la ciudad de Lucena tiene el honor de presentarse á los pies de V. M. y besar su Real mano por medio de nosotros sus representantes, con el objeto de manifestar á V. M. los sentimientos que l…</t>
  </si>
  <si>
    <t>Valle, Ramón del</t>
  </si>
  <si>
    <t>Ramón del Valle</t>
  </si>
  <si>
    <t>…recaucioné» de las enfermedades coní tgins ts en general, y én par ticular de las estacionales/producidas por las aguas de.mar detenidas en el arsenal de Cartagena de Levante: por D. Ramón del Valle, médico crmsui.tor de los px¿|^ SU "»• fiacioaales. Se hallarán en ia librería de Qairoga, ca^dc las Gatretas-&lt;Xi L. MADRID EN LA IMPRENTA NAGiON AL. h oí, t</t>
  </si>
  <si>
    <t>Valle, Roque JáGmci</t>
  </si>
  <si>
    <t>Roque JáGmci Valle</t>
  </si>
  <si>
    <t>…qué aqueUos;, fué herido en lo mas acalora do de la acoton; tarhbien me acompañaron en toda ella y con el mismo ob— jetó el teniente D. Mánuel Caballero del’Pozo y el subteniente D. Roque JáGmci Valle. Ultimamente se distinguió en esta acción el teniente de bása las de Cantabria D. Vfctór Sierra, que con siete soldados dispersé1 quatrto campa-más enemigas que estaban sostétíiend'b sus guerrillas,-y despüés de ha1-' heridó á algunos 7 y hecho' prisionérós á…</t>
  </si>
  <si>
    <t>Vallejo, Angel</t>
  </si>
  <si>
    <t>Angel Vallejo</t>
  </si>
  <si>
    <t>…tonio González Villamil, ayu dante de id. D. José Alfonso, teniente de id. D. Félix del Arenal, subte niente de id. D. José Gómez, subteniente de tiradores de Cantabria. Contusos. D. Angel Vallejo, ayudante segundo de estado mayor. D. José Ruiz, subteniente del 2.° de Asturias. D. Antonio Ruiz Alvarez, id de id. D. Jacobo Saavedfa, id. de id. D. Rafael Martínez, ayudante de Marina. D. Alexandró: Larrüa, teniente de id. D. Manuel Rodríguez, subteniente…</t>
  </si>
  <si>
    <t>Vallejo, José Mariano</t>
  </si>
  <si>
    <t>José Mariano Vallejo</t>
  </si>
  <si>
    <t>…sentimien tos de amor y lealtad á V. M. , sabrán perder sus propias vidas é intereses por conservar á V. R. M. en su real trono,que tan legítimamente ocupa.** El dia 16 dei mismo D. José Mariano Vallejo tuvo el honor de besar U mano á S. M. y á SS. AA., y de presentarles un exemplar de su tratado ele mental de matemáticas , que S. M. y SS. AA. se dignaron admitir con las mas expresivas muestras de agrado: habiéndolas manifestado igualmente elSermo. Sr. Infan…</t>
  </si>
  <si>
    <t>…uientes. Tratado elemental de matemáticas, escrito de orden de S. M. para uso de los caballeros seminaristas del real seminario de Nobles y demas casas de educación del reyno, por D. José Mariano Vallejo. Esta obra, ojue ha sido aprobada para que pueda servir de~texto en las universidades y demas estudios de España é In dias, y que esta adoptada'en las academias militares, consta de quatro volúmenes: el primero contiene la aritmética y álgebra; el segundo la…</t>
  </si>
  <si>
    <t>Vallejo, Josef.JVIariano</t>
  </si>
  <si>
    <t>Josef.JVIariano Vallejo</t>
  </si>
  <si>
    <t>…n en ella á es ta obra, por el, precio'de 12 rs. á la rústica; la'qué después de impresa se venderá . . á 16 á los que no hayan subscrito. .-. Tratado elemental de matemáticas por D. Josef.JVIariano Vallejo: tomo 2.*, parte ,aVf¿qué contiene la teoría de las funciones, seríes, del cálculo de las diferen cias; y del diferencial é integráí. Se Hallará con los ptros tres volúmenes anteriores •y demas obras del autor etíTa librería de Castillo; en Cádiz en la de Paj…</t>
  </si>
  <si>
    <t>Vallejo, Tomas</t>
  </si>
  <si>
    <t>Tomas Vallejo</t>
  </si>
  <si>
    <t>…. A P- Nicolás Gutiérrez, teniente coronel y corregidor de la ciudad de Ttrluca en Nueva-Es pan a; i D.rjuan: Francisco-Sánchez, y Tena, canónigo de la santa iglesia de Astorga; á D. Tomas Vallejo j(;Zumaran=, regidor y alcalde provincial de.'Limá ; a'D. Miguel Padillay coronel graduado de-mi licias; al baton de-Herves D. RafáelRam dé VJu y'Pueyo 5 á D. Alonso Adam, ayudante^retirado del regimiento de infantería de.línea de Córdoba; át D . F rancisco G…</t>
  </si>
  <si>
    <t>Valmi</t>
  </si>
  <si>
    <t>…sta 27 de Febrero. El 26 estaba el quartel general en Troyes. El duque de Reggio se hallaba en Bar del Aube con el general Girard, y el segundo cuerpo de caballería mandado por el conde Valmi. El duque de Tarento tenia su quarteí general en Mussy TEveque , y sus puestos avanzados en Chatillon : estaba ya ea marcha para el Aube y Clairvaux. El duque de Castillone, que tiene baxo su mando un exército de 40® hombres, la mayor parte de tropas escogida…</t>
  </si>
  <si>
    <t>Van-Halen, Juaa</t>
  </si>
  <si>
    <t>Juaa Van-Halen</t>
  </si>
  <si>
    <t>…de los Desamparados en el corralón. Restauración de las plazas de Lérida, .Mequínenza y Moiuon por medio de una estratagema: dada al público por el capitán de cazadores de Madrid D. Juaa Van-Halen. Se hallará en el despacho de la imprenta Real: un quaderno en 8.° Su precio 4 rs. Arte de cazar, ó Cazador instruido con escopeta y perros, á pie y á caballo: contiene la enseñanza de traer el caballo; el reconocimiento de la escopeta, con la enseñanza de ti…</t>
  </si>
  <si>
    <t>Vankalen, Juan</t>
  </si>
  <si>
    <t>Juan Vankalen</t>
  </si>
  <si>
    <t>…gas de dichas plazas, cuyo total es de 2500 hombres, asi como de las personas que mas han contribuido á tan grande como interesante empresa, entre las quales anuncia desde luego á D. Juan Vankalen, edecán que fue del mariscal Suchet. Este edecán es un joven español que en los primeros dias de nuestra sagrada insurrección tomó en ella la parte de un verdadero patriota español, y ahora ha acreditado los innatos sentimientos de tal, que abrigaba en su cor…</t>
  </si>
  <si>
    <t>Vansittart</t>
  </si>
  <si>
    <t>…tratar de la paz con los plenipotenciarios americanos: acompañarán al lord sir Henrique Stanhope y Mr. Fabian capitán de la marina. El navio de S. M. Providencia , mandado por el capitán Vansittart, debe transportar al lord Gambier y su comitiva á Holanda. La esqúadra rusa, anclada en Bíackstates, dará la vela para Rusia en dos divisiones: la primera,al mando del vice-almirante Crown, saldrá dentro de pocos dias; y la segunda, á las órdenes del almirant…</t>
  </si>
  <si>
    <t>Varea, Estéban</t>
  </si>
  <si>
    <t>Estéban Varea</t>
  </si>
  <si>
    <t>…aliente. = D. Antonio Gamiz. = D. Antonio López Quintan i. = Don Francisco de-la-Vega.nD. Francisco de Arango. = D. Francisco Ibañez Leyva. = D. Juan Gualberto González, Fiscal. = D. Estéban Varea, Secre tario-= Sala segunda de Gobierno. = D. Pedro Aparíci. = Conde de TorreMuzquiz. = D. Ignacio OmulrriannD. Cayetano Urbina. = D. Juan Ro bledo. = D. Francisco Xavier Caro. = D. Josef Aycinena. = D. Antonio Cal derón , Fiscal. = D. Silvestre Collar, Secre…</t>
  </si>
  <si>
    <t>Varéla, Manuel</t>
  </si>
  <si>
    <t>Manuel Varéla</t>
  </si>
  <si>
    <t>…dores; á D. Antonio Porta, cadete deí regimiento-de infantería de Ansona; á D. Pedro Bayo, D. Mariano Bayo y 1&gt;. Rafael Lara, alumnos de la escuela militar de la Isla de León; y á D. Manuel Varéla, D. Pedro García y D. Francisco Xavier Pardo, alumnos de la de Santiago. El canónigo magistral de la colegial de Alfaro D. Joaquín Fiton, mo lido de su buen zelo y amorrara con. los defensores de la patria, ha pre sentado á disposición del general en gefe del…</t>
  </si>
  <si>
    <t>Varela, Manuel Fernandez</t>
  </si>
  <si>
    <t>Manuel Fernandez Varela</t>
  </si>
  <si>
    <t>…de haber llegado S. M. á la corte, y hallarse ya restituido en su tro no, dispuso el cabildo eclesiástico cantar un Te D¿um% y celebrar una so lemne misa, en la que predicó el Dr. D. Manuel Fernandez Varela, digni dad de prior de Acoba, y á la que asistieron todas las autoridades y corpo raciones del pueblo, haciendo mas lucido este acto la tropa de la primera di visión del exército de reserva, al mando del mariscal de campo D. Antonio de Roxas, que ai fin dé él…</t>
  </si>
  <si>
    <t>…ción pueden acudir igualmente por los tomos que les falten. Oración eucarística por el feliz regreso de S. M. y su restablecimiento en el augusto trono de sus tmyores, por el Dr. D. Manuel Fernandez Varela, de la Real academia de la Historia, dignidad de prior de Acoba en la santa catedral de Lugo, y autor del elogio fúnebre por los héroes de Trafagar, predicado en el Ferrol en 1805: lleva al frente una graciosa estampa alegórica, que representa á nuestro So be…</t>
  </si>
  <si>
    <t>Vargas, Antonio</t>
  </si>
  <si>
    <t>Antonio Vargas</t>
  </si>
  <si>
    <t>…M. los Reyes Carlos iv y su augusta esposa, en celebridad del cumpleaños de su hijo Fernando vil, Rey de España, recibieron Jos pa rabienes de! ministro plenipotenciario de España D. Antonio Vargas y de toa dos los individuos de la legación, asi como de varios cardenales y príncipes romanes, y de otras personas de la primera distinción, tanto romanos como extrarg ros, entre los quales se presentaron los Sres. Courtois de Presigny, embaXrtdor extraordina…</t>
  </si>
  <si>
    <t>Vargas, Guillermo de</t>
  </si>
  <si>
    <t>Guillermo de Vargas</t>
  </si>
  <si>
    <t>…mpo D. Martin González deMenchaca# JA D. Luis Bertrán, Oficial mayor primero de mi Se¿tere ano...............^ cretaría de Estado y del Despacho de la Guerra. Sala de Justicia. rk D. Guillermo de Vargas. 1A D. José Pagóla. , J A D. Ramón Navarro Pingarron. Togados................... &lt;j ^ j)# jUa0 pagZ de la Cadena. | A D. Francisco Ugarte. CA D. Ramón Pisón, Fiscal. =Tendreislo entendido, y lo comunicareis á quien corresponda para su cumplimiento. e= Señalad…</t>
  </si>
  <si>
    <t>Vargas, Josef Miguel de Carvajal y</t>
  </si>
  <si>
    <t>Josef Miguel de Carvajal y Vargas</t>
  </si>
  <si>
    <t>…sejo copia de la Real Cédula expedida á su favor, en laque por menor se expresan las facultades que debe exercer como tal Superintendente general, y su tenor dice asi: „ EL REY. = D. Josef Miguel de Carvajal y Vargas, Manrique de Lat?. , Chaves, Sotomayor , Carrillo de Albornoz, Fernandez de Córdoba, "Hurtado de Mendoza, Silva j Guzman y Quesada, Duque de S. Carlos, Conde de Castillejo y dei Puerto, Alcayde del castillo y fortaleza ^de Mon}</t>
  </si>
  <si>
    <t>2044</t>
  </si>
  <si>
    <t>…os en todos los expre sados ramos, que cada uno en la parte que le tocare vea, cumpla y execute, haga cumplir y executar todo lo que en esta Cédula concedo, encargo y ordeno á vos D. Josef Miguel de Carvajal y Vargas, Duque.de S. Cárlqs, dándoos para todo y para cada parte de ello el favor y auxilio que les pi diereis y necesitareis vos y vuestros Subdelegados y Comisarios, cumpliendo y haciendo cumplir vuestras órdenes y despachos, sin que en nada os falten ni permitan f…</t>
  </si>
  <si>
    <t>Vargas, Reyes</t>
  </si>
  <si>
    <t>Reyes Vargas</t>
  </si>
  <si>
    <t>…rificase la unión de todos. A la una del dia avisté á los enemigos situados en el pueblo y posesionados de sus alturas, que son excelentes. En el momento mandé á los cazadores del capitán D. Reyes Vargas se apoderasen de ellas, sosteni dos por los de S Liáis; pero la superioridad del enemigo me obligó á man dar también la división del coronel D. Miguel Correa y parte de la del te niente ccro?el D. Fr&lt; ncisco María de Oberto, quedando yo con el resto de esta y…</t>
  </si>
  <si>
    <t>Vargas, Tomas de</t>
  </si>
  <si>
    <t>Tomas de Vargas</t>
  </si>
  <si>
    <t>…José Guezala, y de fu-ñeros á D. Fran cisco Díaz y D, Francisco Peraza; á teniente de granaderos á D. Luis Mi randa, y de cazadores á D. Domingo Viejobueno ; á segundo ayudante á D. Tomas de Vargas; á tenientes de fusileros á D. Valentín Baudet, D. Garlos Fernandez y D. Miguel Manrique.; á subteniente de granaderos á D. Bernabé García Ábreu , y de cazadores á D. Salvador Hernández Abad; á subteniente de fusileros á D. Domingo Hernández Leal, y de bander…</t>
  </si>
  <si>
    <t>Vasallo, Pascual</t>
  </si>
  <si>
    <t>Pascual Vasallo</t>
  </si>
  <si>
    <t>…a persona que sepa el para dero de dicho sugeto ó de) regimiento se servirá avisar por medio de esta ó por carta á D. José Silva, oficial mayor de correos de Talavera de la Rcyna. D. Pascual Vasallo, del comercio de Alicante, hace saber á sus corresponsa les y demas personas que le favorecen con su amistad, que cautelosamente se ha presentado en varias partes del reyno á algunos de ellos un joven que se supone hijo suyo, y que ha estado prisionero en Fra…</t>
  </si>
  <si>
    <t>Vasconcelos</t>
  </si>
  <si>
    <t>…n estrecho que las tropas no podían desplegar para atacar las alturas, á pesar de las repetidas tentativas que hicieron al intento el mayor general Rou y la brigada portuguesa del brigadier Vasconcelos;</t>
  </si>
  <si>
    <t>Vasilichoff</t>
  </si>
  <si>
    <t>…quadrones de caballería de esta parte de Etoges. „ Tengo la honra &amp;c. Bergeres 11 de Febrero. =/f. Lowe.'‘ P. D. En mi parte de ayer, que espero habrá V. recibido, indicaba que el general Vasilichoff había sido atacado por el enemigo cerca de Ferté-SousJouarre; pero le rechazó tomándole tres piezas de artillería y dos carros. 5.0 „ En toda la tarde de ayer se oyó un fuerte cañoneo al lado de Montmirail. Por aviso recibido del general York, parece que su c…</t>
  </si>
  <si>
    <t>Vázquez, Antonio</t>
  </si>
  <si>
    <t>Antonio Vázquez</t>
  </si>
  <si>
    <t>…augusto Soberano el Sr. D. Fernando tii en medio pliego de marca mayor, con adornos de trofeos militares, y un león que con sus garras despedaza el águila, dibuxido y grabado por D. Antonio Vázquez. Se ha llará cu las librerías de Escribano y de Barco, calle de las Carretas, k 10 rs. e* negro y 30 iluminado. EN LA IMPRENTA REAL.</t>
  </si>
  <si>
    <t>Vázquez, Francisco</t>
  </si>
  <si>
    <t>Francisco Vázquez</t>
  </si>
  <si>
    <t>…rvido de hacer por ahora en él la promoción siguiente: Ascendidos á tenientes generales ios gefes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Juan Darrac, D. Bernardo Muñoz, D. José de Gardo…</t>
  </si>
  <si>
    <t>…su número que exerce D. Juan Raya, donde se manifestarán los títulos de per tenencia. Sermones sobre las verdades mas importantes de la religión, traducidas del fran cés por el P. D. Francisco Vázquez, clérigo reglar de S. Cayetano. Aunque las verdades de la religión son inalterables, las trata el autor en estos sermones con cierta novedad, que contribuye mucho á sostener la atención del auditorio. En ellos pueden llenar los oradores de ideas dignas de pro…</t>
  </si>
  <si>
    <t>Vázquez, José</t>
  </si>
  <si>
    <t>José Vázquez</t>
  </si>
  <si>
    <t>…s en que se hallaba por falta de municiones para continuar sus operaciones militares;, y ahora tengola satisfacción de acompañar á V. E. copia de ia contestación que el briga dier D. José Vázquez, y Tellez me ha remitido con fecha del dia i.0,, por la que se deduce llegaron las municiones ya dichas á su poder en la me jor oportunidad. La plausible noticia del regreso á España de nuestro ama*do y deseado Monarca el Sr. D. Fernando vn, que en la misma o…</t>
  </si>
  <si>
    <t>Vd-, Domingo Rico</t>
  </si>
  <si>
    <t>Domingo Rico Vd-</t>
  </si>
  <si>
    <t>…compra con todas las solemnidades del derecho. A virtud de orden del Consejo de Regencia de España é Indias se formó cau sa en la ciudad d; Cádiz al reo de la nación el licenciado D. Domingo Rico Vd-</t>
  </si>
  <si>
    <t>Vega, Bernardo Alvarez</t>
  </si>
  <si>
    <t>Bernardo Alvarez Vega</t>
  </si>
  <si>
    <t>…argento mayor ac Oviedo. D. Alberto Rodríguez, capitán de id. D. Fermín Rol dan^ teniente de id. D. José Morrillo, subteniente de id. D. Vicente Castañon, capitán del i.° Cántabro D. Bernardo Alvarez Vega, capitán del idé Laredo. D. &lt;3ábriel González Llanos , capitán de id. D. Alberto Rozas, teniente dé tiradores de Cantabria. D. Pedro Villanueva, subteniente de id. Quártef general de Croix-Dorade 11 de Abril de 1814. = Estanislao Salvador; ' ■ * * ir - i I ■…</t>
  </si>
  <si>
    <t>Vega, Pedro</t>
  </si>
  <si>
    <t>Pedro Vega</t>
  </si>
  <si>
    <t>…nrénte del 3.0 de tiradores de Cantabria D. Felipe de Lama, y el subteniente del 2.0 de Vizcaya D. Valentín Abrisqueta; y contusos los te nientes del 2.0 de tiradores de Cantabria D. Pedro Vega y D. Alberto del Campo, y ademas 13 soldados. Laredo 2 de Marzo de 2814.zzjuan Doz. = Fs copia. zzFrsyrz, ‘ : - :'vj' La Regencia del Reyno se ha s&amp;r.vido promover á teniente en el cuerpo de ingenieros de exército á D. Fernando Carnicero, subteniente del mismo; y á este último empl…</t>
  </si>
  <si>
    <t>Vegas, Antonio</t>
  </si>
  <si>
    <t>Antonio Vegas</t>
  </si>
  <si>
    <t>…Séptima edición, corregi da y añadida notablemente, y con especialidad en lo que corresponde á España y América, con los sucesos y variaciones acaecidos en estos últimos años, por Don Antonio Vegas: seis tomos en 4.0 en letra pequeña. Los señores subscriptores acu dirán á recoger el tomo 2.0, y adelantar el importe del g.°, que se está imprimien do, y se dará á la mayor brevedad, con arreglo á lo anunciado en el prospecto que se insertó en' la gaceta de…</t>
  </si>
  <si>
    <t>Vegesa.k</t>
  </si>
  <si>
    <t>…uerto» y he idos algunos eqemigos^ y en ella ¡mUr rió también el baro-i de Melló, deí primer regimiento de guardias, oficial de distinguido mérit v 1 - - , ■ *nr..;.-.f &gt; . : , El general Vegesa.k. pasó el Sternitz, con el fin de reunirse al con de Wai ¡ oden, que debía avanzar contra Óideslohc. Tratándole de to mar a L,ubeck por asalto ¿ el marl cal; cond^ Steding dispuso que avanzase el exérci o.sueco. Estando á m dia. legua del pueblvX, m4ndo hac^r…</t>
  </si>
  <si>
    <t>Vegesafck</t>
  </si>
  <si>
    <t>…. - El exército sueco marchó entre el Wacknttz y el Stecknitz; arrolló los puestos avanzados en la orilla izquierda del último rio, y arrojó de ella ál enemigo. &gt; ■ ■■ 1 - ■ &lt;■ El general Vegesafck pasó el Wagenítz en Bruiiau, y después de haber restablecido" el pue ue ¿ri Krúmesen, tomóla izquierda del exército sueco. Un fuerte destacamento de todas armas, mandado por el teniente coronel</t>
  </si>
  <si>
    <t>Vegésaqk</t>
  </si>
  <si>
    <t>…ión. Idem y de Agosto. Los comisionados de las potencias aliadas han vuelto de las fronteras de Noruega sin haber podido concluir negociación alguna con el príncipe Cris tiano. El general Vegésaqk t-comandante de la vanguardia del exércitó del señor conde de Essen* ha entrado.por Bohuslan, en Noruega &gt; y con un fuer te cañoneo ha desalojado al eneniigo.de Barby. Un noruego, llamado Wiild, hacendado de Barby y propietario de muchas tierras, ha prestado…</t>
  </si>
  <si>
    <t>Vejarano, Evaristo</t>
  </si>
  <si>
    <t>Evaristo Vejarano</t>
  </si>
  <si>
    <t>…os, canónigo doctoral de la santa iglesia de Ciudad Rodrigo, se ha servi do nombrarle juez del tribunal de la Rota de la Nunciatura apostólica e» esta corte, vacante por muerte de D. Evaristo Vejarano. D. Miguel Fernandez Portal, vecino de Puerto de Vega, ha hecho á S. M, el donativo gratuito de 320 rs. tu. en una letra á la vista contra Don Lorenzo de Palacio y Gorvea, sintiendo-que sus facultades ro le permitan mayores demostraciones de su respeto y amor…</t>
  </si>
  <si>
    <t>Vela, Juan Nepomuceno</t>
  </si>
  <si>
    <t>Juan Nepomuceno Vela</t>
  </si>
  <si>
    <t>…entes de Galicia y Canarias D. Manuel de Ileon Santos y D. Manuel Tadeo Delgado, á D. José de Coha y $aro y á D. José Reguera,,alcalde del crimen d la misma; y para sus resoltas á D. Juan Nepomuceno Vela y D. Esteban Moyano: para la vara de Montoro á B. Francisco Xavier Rincón : para la de Cabra á D. Vicente Ruiz Morquecho: para la de Bui¡trago á D. Estanislao Guilarte; para la.de Potes á B. León González del Camino: para la de Algeciras á D. Juan Batte y Ortega: para la de'Máfc…</t>
  </si>
  <si>
    <t>Vela, Sebastian Eugenio</t>
  </si>
  <si>
    <t>Sebastian Eugenio Vela</t>
  </si>
  <si>
    <t>…a misma, otro discurso sobre Jas ventajas del arte de taquigrafía. Concluidos los exámenes se procedió á la adjudicación de premios, y por todo* los votos se adjudicó el primero á D. Sebastian Eugenio Vela, y el segundo á D. Ramón de Dueñas. Se declaró el accessit á D. Tadeo Briceño, á quien se acordó darle certificación que expresase heberse acercado inas á los premiados, y que de D. Agustín Mesonero se hiciese mención honorí fica en la gaceta, por la aplicaci…</t>
  </si>
  <si>
    <t>Velando, Felipe</t>
  </si>
  <si>
    <t>Felipe Velando</t>
  </si>
  <si>
    <t>…allería de lí nea D. Ildefonso Udave, y 40 soldados. Heridos el cápitan/ de artillería D. Narciso Martínez» el de infantería D. Francisco Udacta » los tenientes D. Manuel Almonte» D. Felipe Velando y D. Silverio Mogrovejo^ y los subtenientes D. Dionisio Delgadillo y D. Miguel Sclís, 3 sargentos, 13 ca bos y 88 soldados; no pudiendo especificar los muertos y hetidos dé los cuerpos de cazadores, partidarios y dragones, por haber salido estos desdé el campo de batalla sobre Potos…</t>
  </si>
  <si>
    <t>Velarde, Pedro Tagle</t>
  </si>
  <si>
    <t>Pedro Tagle Velarde</t>
  </si>
  <si>
    <t>…na á D. Cristóbal Izquierdo de los Santqsi para lá de'Priego á D., Vi** cente Pereda: para la de Alcalá de Henares á D. Joaquín Zeñgotita y Benoa: para el corregimiento de Lerma á D. Pedro Tagle Velarde: para el de -orea á D. José Guillen de Toledo: para el de Alcaudete á D. Zacaríasf Romero: para la vara segunda de Córdoba á D. Manuel Berríardino Perez y López: para la de León á D. Juan.de la Peña Medrano: para la de Sala manca á D. Vicente Calvo: para el c…</t>
  </si>
  <si>
    <t>Vélarde, Rafael</t>
  </si>
  <si>
    <t>Rafael Vélarde</t>
  </si>
  <si>
    <t>Asimismo ha conferido S. M. el gobierno de la plaza de Den¡a á D. Luis Laviña, ayudante general dei estado mayor general; y la tenencia de Rey de la de Barcelona al coronel D. Rafael Vélarde , teniente coronel agregado al estado mayor de la plaza de Palma en Mallorca. El embaxador de S. M. en la corte de Londres participa que el gobier no de S. M. Británica había mandado cesar el bloqueo de! rio Elba , quedan do su navegación libre para las embar…</t>
  </si>
  <si>
    <t>Velasco, Francisco Valdes de</t>
  </si>
  <si>
    <t>Francisco Valdes de Velasco</t>
  </si>
  <si>
    <t>les, presbítero, 12: el diácono D. Bartolomé Manrique i-o: el coronel Don José Menaut 25: el capitán D. Santiago Agesta 25 : D. Cárlos Santos Gon zález 25: el capitán D. Francisco Valdes de Velasco 10: D. Manuel Ages ta y Otamendi 40: D. Diego Ovanguren 12 : D. Juan Baptista Echegaray,, administrador de tabacos, 6: D. José Ncdar 12: D. Santiago Chaves y Villota 6: D. Tomas Castillo 6; y D. José Antonio Salamanca, cura vi cario de Puquina, 12. Total 1126…</t>
  </si>
  <si>
    <t>Velasco, Joaquín de</t>
  </si>
  <si>
    <t>Joaquín de Velasco</t>
  </si>
  <si>
    <t>…l Pozo y D. Antero Henriquez , el teniente D. José María Barrero y Dort Manuel Jáeome llenaron en aquel dia á toda mi satisfacción el cumplimien to de sus deberes, como también el teniente D. Joaquín de Velasco, qué desempeñando iguales funciones qué aqueUos;, fué herido en lo mas acalora do de la acoton; tarhbien me acompañaron en toda ella y con el mismo ob— jetó el teniente D. Mánuel Caballero del’Pozo y el subteniente D. Roque JáGmci Valle. Ultimamente se distin…</t>
  </si>
  <si>
    <t>Velasco, Manuel Ortíz de</t>
  </si>
  <si>
    <t>Manuel Ortíz de Velasco</t>
  </si>
  <si>
    <t>…ores de la plaza de Gerona; y al misino tiempo se ha dignado también S. M. concederle 200 ducados de pensión sobre los fondos de lotería del principado de Cataluña. Habiendo hecho D. Manuel Ortíz de Velasco, capellán de los Reales hospitales de esta corte, para subvenir á tas urgencias del estado, el donati vo de 6791 rs. vn. en cinco recibos de réditos sobre la renta del tabaco, im puestos á favor de la capellanía colativa que goza, S. M. ha tenido á bien manda…</t>
  </si>
  <si>
    <t>Velasco, Nicasio Josef de</t>
  </si>
  <si>
    <t>Nicasio Josef de Velasco</t>
  </si>
  <si>
    <t>tros de su confianza, con cuyo dictamen se ha conformado, ha mandado ex pedir por el ministerio de mi cargo una Real orden á D. Nicasio Josef de Velasco, diputado de la provincia de Alava, que entre otras cosas previe ne lo siguiente: También ha tenido el Rey presente las causas que motivaron el auto de arresto contra el mariscal de campo D. Miguel Ricardo de Ala va , y advierte que de ninguna de ellas result…</t>
  </si>
  <si>
    <t>Velasco, Valentín Zorrilla de</t>
  </si>
  <si>
    <t>Valentín Zorrilla de Velasco</t>
  </si>
  <si>
    <t>…a bien entrado el día siguiente*. Madrid 17 de Junio* JE1 dia 17 del corriente tuvieron la honra d-e-besar la manó de S. M. á nombre de lá villa de Espinosa de los Monteros el Dr. D. Valentín Zorrilla de Velasco, inquisidor que f ié de Santiago, y los monteros de la real guar dia y cámara de S. M. D Pedro Manuel Sainz de la Maza, y el Lie. D. Jo sé Antonio Gutiérrez Solana, agraciado con la cruz de la real y distinguida&lt;5rden española de Carlos m; y tomando el primer…</t>
  </si>
  <si>
    <t>…ara el de Tortosa, vacante por fallecimiento de D. Fr. Antonio Salinas, á Don Manuel Ros y Medrano, canónigo doctoral de la metropolitana de Santiago. Asimismo ha nombrado S. M. á D. Valentín Zorrilla de Velasco para la canongía de la metropolitana de Valencia , por muerte de D. Vicente Blasco; y para el arcedianato de S. Felipe de Xátiva, dignidad de la misma santa iglesia de Valencia, vacante por fallecimiento de D. Vicente María Carrillo, á D. Sebastian del Aguila…</t>
  </si>
  <si>
    <t>Velez, Fernando</t>
  </si>
  <si>
    <t>Fernando Velez</t>
  </si>
  <si>
    <t>…jo Real, catedrático que fué de elocuencia; el Dr. D. Diego Antonio Ramos Aparicio, catedrático actual de historia eclesiástica ; los Dres. D. Andies Aransai, D, Agustín Librero y D. Fernando Velez, capellanes de honor de S. M.; el Dr. D. Andrés Cerezo; los Sres. Dres. D. José Coba y Sai o y D. Francisco Crespo Rascón, del consejo de S. M., y el Dr. D. José Ca— franga, oficial de la secretaría de Gracia y Justicia. Habiendo el Excmo. Sr. duque de S. Car…</t>
  </si>
  <si>
    <t>Velez, Rafael</t>
  </si>
  <si>
    <t>Rafael Velez</t>
  </si>
  <si>
    <t>…cia.” Igualmente el dia 27 del mismo tuvieron el honor de besar la mano y cumplimentar á S. M. y AA., á nombre del ayuntamiento, clero y vecinos de la villa del Campo de Griptana, D. Rafael Velez, del hábito dé Saatia-</t>
  </si>
  <si>
    <t>Venegas, Francisco</t>
  </si>
  <si>
    <t>Francisco Venegas</t>
  </si>
  <si>
    <t>…a, canónigo pendenciarlo de la santa iglesia metropolitana de Santiago; para el arcedianato de Niebla, dignidad de la santa Iglesia metropolitana de Sevilla, vacante por muerte de D. Francisco Venegas, á D. José Morales y Carrero, canónigo de la iglesia catedral de Mondoñedo ; para una canongía de la iglesia catedral de Cala horra , vacante por fallecimiento de D. Manuel Ruiz de Bravo, á D. Fer nando de San Martin; para una ración de la misma iglesia, vaca…</t>
  </si>
  <si>
    <t>…uchos años. Madrid...... de Setiembre de 1814. El Rey se ha servido nombrar para el arcedianato de Niebla , dignidad* de la iglesia metropolitana de Sevilla, vacante por muerte de D. Francisco Venegas, á D. José Morales y Carrero, canónigo de la iglesia catedral de Mondoñedo: para una canoagía de la iglesia catedral de Calahorra , vacante por fallecimiento de D. Manuel Roiz de Bravo, á D. Fernando San Martin: para una ración de la misma iglesia , vacante p…</t>
  </si>
  <si>
    <t>Vengoa, Pedro</t>
  </si>
  <si>
    <t>Pedro Vengoa</t>
  </si>
  <si>
    <t>…. En este mismo dia fueron admitidos á cumplimentar á S. M. á nombre de la ciudad, del gobernador del obispado sede vacante y del cabildo de la santa iglesia catedral de Calahorra D. Pedro Vengoa, arcediano de Náxera, dignidad y canónigo de aquella santa iglesia, y D. Romualdo Mendo za, canónigo de la misma, el primero de los quales dirigió á S. M. el dis curso siguiente: „Señor: feliz el momento en que tengo el honor de poner en vuestras reales manos…</t>
  </si>
  <si>
    <t>Vera, María Ascensión de</t>
  </si>
  <si>
    <t>María Ascensión de Vera</t>
  </si>
  <si>
    <t>…al, personas distinguidas, y al comandan te ingles y comisario que están en esta plaza: el ayuntamiento, formado en cuerpo á las 10 de la mañana, se presentó en la casa de la Sra. Doña María Ascensión de Vera , en donde estaban reunidas todas las señoras, para acom pañarlas á la iglesia, y dicha señora entregó el retrato de nuestro arria do monarca al alcalde constitucional de esta villa y regente de esta ju risdicción, suplicándole le llevase en triunfo á la igle…</t>
  </si>
  <si>
    <t>Verástegui, José María Ruiz de</t>
  </si>
  <si>
    <t>José María Ruiz de Verástegui</t>
  </si>
  <si>
    <t>…ne ademas extramuros un convento de religiosas, con quienes se ajustará separadamente. Los pretendientes dirigirán los memoriales á su ayunta miento constitucional por medio de su secretario D. José María Ruiz de Verástegui, manifestando su edad, estado, años de práctica, y universidad en que hayan estudiado. Se solicita saber el paradero de D. Francisco Henrique Molano, capitán que fué del regimiento de infantería de Extremadura, natural de la villa de la Puebla de la Calzada,…</t>
  </si>
  <si>
    <t>Verástegui, Prudencio María de</t>
  </si>
  <si>
    <t>Prudencio María de Verástegui</t>
  </si>
  <si>
    <t>854 El dia jo tuvieron igualmente ¡el honor de ser presentados á S. M. para cumplimentarle por su restitución ai trono y besar ,su reai mano en nombre de la provincia de Alava D. Prudencio María de Verástegui, caba llero maéstrante de Rqnda, y D, Trífon Ortiz de: Pinedo, comisario por tierras esparsas, de Aquella provincia i y el primero arengó en los términos siguientesJ|VV . . ...; „Seúo£: la provincia de Alava, á quien el cielo deparó para presentir la primera…</t>
  </si>
  <si>
    <t>Verde, Gervasio</t>
  </si>
  <si>
    <t>Gervasio Verde</t>
  </si>
  <si>
    <t>…vacante por muerte de D. Joaquín Fita, á D. Miguel Sebastian y Ra mos: para la prestamera de la parroquia de la villa de Requena, diócesis de Cuenca, vacante por fallecimiento de D. Gervasio Verde, á D. Cárlos Me ras; y para otra prestamera de la parroquia de la villa de Ventosa, en la misma diócesis, á D. Pió Sebastian de Salcedo, vice-rector del seminario con ciliar de S. Julián de Cuenca. Por oficio del comandante general del apostadero de la Ha van…</t>
  </si>
  <si>
    <t>Vergara, Juan Manuel de</t>
  </si>
  <si>
    <t>Juan Manuel de Vergara</t>
  </si>
  <si>
    <t>…s observaciones de dicha obra, por el citado autora • E! Prontuario del valor diario de los vales reales, reimpreso en la imprenta real, que se vendía en la calle Mayor, tienda de D. Juan Manuel de Vergara, y que tanta aceptación mereció por ser el mas correcto que se había publicado, se vende en el puesto de libros de Hermoso, frente de dicha real imprenta, Á4 rs. vn. A ia venida del mejor de ios Reyes el Sr. D. Fernando vn, nuestro legítimo Rey y verdadero So…</t>
  </si>
  <si>
    <t>Vergara, Vicente María de</t>
  </si>
  <si>
    <t>Vicente María de Vergara</t>
  </si>
  <si>
    <t>…asa de su uso, que se hallaba adornado y autorizado con el retrato de S. M. Presidióla su vice-director el señor marques de Villores. Se dió principio por un discurso, que dixo el secretario D. Vicente María de Vergara, manifestando los de seos de la sociedad de que la juventud sea constantemente instruida en las máximas de la religión y buenas costumbres, según las justas intenciones de nuestro Soberano para la felicidad de sus pueblos, y siguió leyendo el com pendio de la…</t>
  </si>
  <si>
    <t>Vescay</t>
  </si>
  <si>
    <t>…ue habia dexado apenas dos divisiones en el Mincio, mando pasar el 8 aquel rio por Valleggio. Hechos todos los prepa rativos, la división Radivojevich avanzó hacia valleggio, y el general Vescay á Pozzolo sin encontrar oposición. El general Merville se quedó con su tropa en Pozzolo para dirigirse al punto que fuese amenazado. En breve encontró el general Radivojevich al enemigo, y se siguió un vivo fuego en nuestro favor. La izquierda ganó una posici…</t>
  </si>
  <si>
    <t>Vetarde, Manuel</t>
  </si>
  <si>
    <t>Manuel Vetarde</t>
  </si>
  <si>
    <t>…a tuvieron igualmente el honor de besar la mano á S. M., como diputados del cabildo de la santa iglesia catedral dé Osma, D. Pablo Pedro de la Rocha» del hábito de Santiago, deán; D. Manuel Vetarde, ca nónigo , y D. Fermin Alvarez de Eulate, canónigo doctoral de la misma santa iglesia; el primero de los quales habló en estes términos: ,, Señor: el cabildo catedral de Osma, siempre fiel á sus Reyes, nos en vía hoy para renovar á V. M. sus profundos senti…</t>
  </si>
  <si>
    <t>VHiamih, Juan Perez</t>
  </si>
  <si>
    <t>Juan Perez VHiamih</t>
  </si>
  <si>
    <t>…nceder plaza efec tiva en el consejo de Estado á los Sres. D. Pedro Gómez Labrador y Don Miguel de Lardizabal y Uribe, y nombrar secretario con voto del mismo consejo de Estado al Sr. D. Juan Perez VHiamih El Rey nuestro Señor se La servido expedir el real decretó siguiente: „ Como ni la Regencia ni las Cortes han podido ni debido conceder em pleas, gracias ni ascensos, ni extender decretos de ninguna clase desde que supieron mi entrada en el territorio español, decla…</t>
  </si>
  <si>
    <t>Vi</t>
  </si>
  <si>
    <t>…e .el Sr. X). Francisco Assin , alcal de mayor en esta capital, parla escribaníaudel número que exeres D. Juan Rara. D. Francisco y D. Antonio García Mayor de Londoño, hermanos de D. Vi cente García Mayor de Londoño, é hijos que parece Fueron de D. Diego Londoño y de Dona Bernarda Matías de los Reyes, ?us hijos ó descendi entes legítimos lla mados á la sucesión del vinculó vacante ppr muerte de Doña María de los Dolores García M»yor dp Londo…</t>
  </si>
  <si>
    <t>…y por Doña María Francisca Barructa y Galdona, D. Vicente Antonio Echaniz, Doña Francisca Xaviera Galdón», Don Joaquín Diego de Saracoiz, Doña María Concepción Antonia de Umendia, D. Vi cente Joaquín de Barrutia, Doña Josefa Joaquina de Aizolares, D. Joaquiu María ¡BarróeVi , Doña María Teresa Faraudo, Doña María Antonia de Goycneche é Indaburu, con el citado consulado de Cádiz sobre paga de los réditos de los capita les qde le prestaron sus…</t>
  </si>
  <si>
    <t>Vi, Bartolomé</t>
  </si>
  <si>
    <t>Bartolomé Vi</t>
  </si>
  <si>
    <t>…por muerte de D. José de Cas ro, á D Sebastian Nicanor Sánchez; para una media ración de la iglesia catedral de Córdoba, vacante por fallecimiento de D. Manuel García Serrano , á D. Bartolomé Vi vas y Romero; para el beneficio simple servidero de la parroquia de Tarancon, diócesis de Cuenca, vacante por muerte de D. Ignacio García del Cas tillo, á D. Marcos Ponce de León ; y para el beneficio curado de la villa de Andoain , diócesis de Pamplona, vaca…</t>
  </si>
  <si>
    <t>Vi, Juan</t>
  </si>
  <si>
    <t>Juan Vi</t>
  </si>
  <si>
    <t>…2 oficiales y 4 soldados heridos: total j. Total; un soldado* muerto, 3 oficiales y 23 soldados heridos y 2 prisioneros. Nota, Los oficiales heridos son el Capitán de la Victoria D. Juan Vi vas, el ,de Jaén D. Antonio Ximenez. y el subteniente del propio cuerpo í). Cristóbal M^ñoztodos tres ,gravemente..= QuarteJ genyral de Lohuossa 26 de Enero de i8i4.=El gefe de estado mayor Joséfde Agüado.=V".° 13.'"= Pablo Morillo. El brigadier gefe de escue…</t>
  </si>
  <si>
    <t>Vi, Juan de ManueL</t>
  </si>
  <si>
    <t>Juan de ManueL Vi</t>
  </si>
  <si>
    <t>…ación de las medidas que estimasen conducentes para la resolución que S. M. juzgare oportuna. En consideración al particular mérito y distinguidos servicios del maris cal de campo D. Juan de ManueL Vi lena ha tenido el Rey á b eti promo verle á teniente general de sus exércitos por real título de 9 dei corriente. Palacio 21 de Junio de 1814. Habiéndose dignado S M. resolver que se reclamen del actual gobierno de Francia todos los papeles, pinturas y objeto…</t>
  </si>
  <si>
    <t>Vi, Mariano</t>
  </si>
  <si>
    <t>Mariano Vi</t>
  </si>
  <si>
    <t>…ente de S. Andrés sobre el rio Algodor, á una legua de Yévenes, el dia 26 de Marzo de 1813 ; y en su consecuencia ha concedido la cruz de oro de la orden militar de S. Fernando al coronel D. Mariano Vi lla, al comandante del esquadron de Ubrique D. Francisco Saliqueti , y al capitán del regimiento primero de infantería de Cataluña D. Juan Piñeyro, y la de plata al soldado del propio regimiento D. Juan Vivó, mandando al mismo tiempo S. M. que al capitán del…</t>
  </si>
  <si>
    <t>Vi, Ventura Palacios de</t>
  </si>
  <si>
    <t>Ventura Palacios de Vi</t>
  </si>
  <si>
    <t>…do S. M. en con cederle la jubilación de procurador general que era de las'qüatro* Órdenes militares, con los honores que le corresponden. En atención á los méritos y servicios de D. Ventura Palacios de Vi^a y .4$ D. Josef de Cafranga, oficiales segundo mayor , y segundo de la se cretaría de Estado y del Despacho de Gracia y Justicia, y á la constante .adhesión que siempre han manifestado á la augusta Persona de S. M., se .ha dignado el Rey agraciarlos- con cru…</t>
  </si>
  <si>
    <t>Vial, Joaquín</t>
  </si>
  <si>
    <t>Joaquín Vial</t>
  </si>
  <si>
    <t>…or tercer piloto D. Juan Perez;? la tripulación corrió á sostenerlo, llevando á su cabeza a! bizarro teniente de navio de transporte D. Vicente Bauza, ayudado del alférez de navio D. Joaquín Vial. El choque fue terrible: murieron y quedaron heridos irmchr s de nuestra parte; entre elics fue herido Bauza gravemente, y Gutiér rez Bustiílos (qne murió), el guardia marina Estrada y el piloto Vico, y el condestable, que también murió; pero al fin se consig…</t>
  </si>
  <si>
    <t>Viana, León</t>
  </si>
  <si>
    <t>León Viana</t>
  </si>
  <si>
    <t>…y edades. TomcV.cso 13 de Junio. El 5 de! corriente entre ocho y nueve de la noche D. Juan Francisco García, cirujano titular de esta villa, con asistencia del médico de la misma D. León Viana, extraxo á Isabel Butrago, de esf-a vecindad y de edad de 30 años, un feto monstruoso de la forma siguiente: un- niño de 14 pulgadas de largo, y bien organizado en todas sus partes, daba origen por su peono á la parte anterior dei cuerpo de otroyque tenia igu…</t>
  </si>
  <si>
    <t>Vibern, Magdalena</t>
  </si>
  <si>
    <t>Magdalena Vibern</t>
  </si>
  <si>
    <t>…para satisfacción de esta ilustre española» y en prueba de lo gratos que le hau sido £ S. M. sus nobles y patrióticos servicios. Bt Rey, en atención á los distinguidos méritos de Doña Magdalena Vibern, superiores á su sexó, ha tenido á bien resolver que pueda usar el es cudo de distinción ó cruz acordada á los defensores de la plaza de Gerona; y al misino tiempo se ha dignado también S. M. concederle 200 ducados de pensión sobre los fondos de lotería del p…</t>
  </si>
  <si>
    <t>Vicente</t>
  </si>
  <si>
    <t>…vo para proporcionar al pueblo ocasión de manifestar su regocijo celebró dos corridas de toros en los dias 27 y 29 del corriente, en los quales el intendente honorario de exérciío D. Vicente ¡José Vázquez, caballero de la Real y distinguida or den española de Garlos 111, tesorero de la Real fábrica de tabacos estable cida en esta ciudad, queriendo aumentar los quantiosos donativos que ha hecho en defensa del Rey y de la nación en estos últimos añ…</t>
  </si>
  <si>
    <t>…. Manuel de León Santos de S. Pedro: para la de Canarias á D. Manuel Delgado: para una plaza de la sala de al caldes de casa y corte á D. Ramón Satué: para otra de la misma sala á Don Vicente.......Cabero: para una plaza efectiva de juez auditor de la Rota á D. Vicente Ruiz de Albillos. Asimismo ha concedido S. M. gracia de capellanes de honor á D. Ma tías Vinuesa López de Alfaro; á D. Blas Ostoiaza, y á D. Alfonso Ximenez de Cisneros. Los honores…</t>
  </si>
  <si>
    <t>Vicente, José</t>
  </si>
  <si>
    <t>José Vicente</t>
  </si>
  <si>
    <t>…istante 13 le guas de Madrid y tres de Buytrago. Vale 11300 rs. en dinero, y 120 fanegas de tri go y centeno por mitad, y ademas casa. Los pretendientes .dirigirán su solicitudlal alcalde José Vicente. ; • En el lugar de Garabanchel de abaxo, distante media legua de Madrid, se halla vacante la plaza de médico, dotada en 63 rs. al año, y siendo cirujano latino cobrados del vecindario por la justicia , á pagas mensuales. Igualmente en el mis mo pueblo se hal…</t>
  </si>
  <si>
    <t>El Rey se ha servido nombrar para el obispado de Málaga , vacante por fallecí mi eiitosdei limo. Sr. D. José Vicente de la Madrid, á D. Alonso Ca ñedo y PVígíi ^dignidad de vicario de coro de la santa iglesia metropolitana de Toléddppsra el de León, que vaco por fallecimiento del limo. Sr. Don Pedro Luis Blanco, á D. Ignacio Ramón de Roda, canónigo pendenciarlo de la santa…</t>
  </si>
  <si>
    <t>Vich, Francisco María</t>
  </si>
  <si>
    <t>Francisco María Vich</t>
  </si>
  <si>
    <t>…ino Alcedo: á D. Luis de Exarque para otra de la misma, vacante por muerte de D. Francisco Vailejo: á D. Manuel de Roa para otra de la misma iglesia, vacante por fa llecimiento de D. Francisco María Vich; y para otra canongía de la metro politana de Valencia , vacante por muerte de D. Vicente Lloret, á D. Fran cisco Guinierá, canónigo de ia catedral de Segorve. El Rey se ha servido conceder los honores de intendente de exércíto á D. Buenaventura y D. Juan Jo&lt;…</t>
  </si>
  <si>
    <t>Vico, José</t>
  </si>
  <si>
    <t>José Vico</t>
  </si>
  <si>
    <t>liaba el comandante con el alférez de fragata D. Plácido Gutiérrez de Bustillos, el piloto D. José Vico, y el contador tercer piloto D. Juan Perez;? la tripulación corrió á sostenerlo, llevando á su cabeza a! bizarro teniente de navio de transporte D. Vicente Bauza, ayudado del alférez de navio D. Joaquín Vial. El choque fue terrible: murieron y quedaron herido…</t>
  </si>
  <si>
    <t>Víctor</t>
  </si>
  <si>
    <t>…esanzon está cercada por el cuerpo de Liehtenstein. Los bávaros, baxo el mando del general Wrede, han tenido cerca de St. Dizier una acción empeñada con el enemigo, mandado por el mariscal Víctor. Al principio de la acción fueron rechazados, y la caballería fran cesa, mandada por el general Mulhaud tuvo alguna ventaja.; pero habiendo</t>
  </si>
  <si>
    <t>…de Doulancour. El general Wrede ha establecido su vanguardia en Spoy, en el antiguo camino de Vandeouvre. Parece que el enemigo ha tenido en la acción de este dia los cuerpos del mariscal Víctor, de Oudinot y parte del de Macdonald: su pérdida ha sido de 2 á 3© hombres, y muy completa su derrota, después de las victorias de que había blasonado. Mañana será perseguido en dirección de Vandeoavre. El príncipe real de Wurtemberg y el general Giulay han l…</t>
  </si>
  <si>
    <t>…eneral de Valores; D. Luis Gacel, Contador general de la D ¡stribucion; D. Josef Martínez de Bustos; D. Felipe de Córdoba; D. Ma nuel Pérez de Lema; D. Ignacio Rodríguez de Ribas; D. Víctor. Soret, Tesorero general; D. Pascual Dávila; Contador general de Millones; Don Francisco López de Aícaraz, y D. Jacobo de Parga y Puga. Fiscales. D. Manuel de Lartiga, y D. Bernardo Mozo Rosales. Secretarios. D. Marcelo de Ondarza, de Gobierno; y D. Alfonso d…</t>
  </si>
  <si>
    <t>Victoria, Pedro José</t>
  </si>
  <si>
    <t>Pedro José Victoria</t>
  </si>
  <si>
    <t>…esmero. Dios guarde;á WS. ¡muchos años. Madrid 18 de Octubre de 1814. El Rey se ha servido nombrar para una capellanía de la Real capilla de Granada, vacante por fallecimiento de D. Pedro José Victoria, á Frey Don ^Domingo María Tordera;,y para una ración de la iglesia primada de Tole«lo , vacante por.muerte de D. Fermín Quadros, á D. Pablo de la Torre. , Atendiendo el Rey á la infatigable y ardiente caridad cristiana y amor 'decidido á la patria de Doña Pa…</t>
  </si>
  <si>
    <t>Vidal, Blas</t>
  </si>
  <si>
    <t>Blas Vidal</t>
  </si>
  <si>
    <t>…uela de la misma, 3 iden?; Han Antonio Villapar, 2 idem; D. Juan de Villapor, síndico, 12 ideih$ B. Jpr sé María Luaces, 5 idem; D. Ramón Peña, B. Juan Vjüamonte, 0. Ramon Seixas, D. Blas Vidal y D. Bernardo Lauro, 2 pares cada.uno; con cuyo auxíiio pudieron llegar á esta ciudad provistos de calzado. 1 , f Creemos que debe decirse que el referido comandante, D Antonio Ví^IIalba,dexó*en París en compañía de su esposa dos niñas,dcrI3 y 14 años y un' niño de 12; ?in que l…</t>
  </si>
  <si>
    <t>Vidarte, José María</t>
  </si>
  <si>
    <t>José María Vidarte</t>
  </si>
  <si>
    <t>…da de V. M. y prosperidad de su rey nado.” Igualmente en este dia tuvo la honra de besar la mano á S. M. una di putación de la ciudad de Pamplona, capital de Navarra, compuesta de D. José María Vidarte, regidor primero, y de D. Aiexandro Dolarea, alcalde de casa y corte; de los quales el primero arengó áS. M. en los tér minos siguientes: „ Señor: Pamplona, capital dé Navarra, que tantos heroes ha producido en esta sagrada revolución, nós ha honrado con la d…</t>
  </si>
  <si>
    <t>Vidaurreta, Manuel</t>
  </si>
  <si>
    <t>Manuel Vidaurreta</t>
  </si>
  <si>
    <t>…s tomó Ramos baxo su escolta y conduxo hasta la Havana un convoy de veinte buques mercantes, que se halla ban detenidos por rezelo de los corsarios enemigos; que el segundo piloto D. Manuel Vidaurreta de la dotación de la barca fue herido en el combate; que le recomienda y á toda la tripulación el comandante Ramos , asi como á este el general de marina de la Havana, tanto por-su buen porte en el combate, como por el distinguido servicio que hizo tomando á…</t>
  </si>
  <si>
    <t>Viejobueno, Domingo</t>
  </si>
  <si>
    <t>Domingo Viejobueno</t>
  </si>
  <si>
    <t>…ial de la La gunaú capitán de granaderos á D. José Guezala, y de fu-ñeros á D. Fran cisco Díaz y D, Francisco Peraza; á teniente de granaderos á D. Luis Mi randa, y de cazadores á D. Domingo Viejobueno ; á segundo ayudante á D. Tomas de Vargas; á tenientes de fusileros á D. Valentín Baudet, D. Garlos Fernandez y D. Miguel Manrique.; á subteniente de granaderos á D. Bernabé García Ábreu , y de cazadores á D. Salvador Hernández Abad; á subteniente de fusilero…</t>
  </si>
  <si>
    <t>Viergol, Luis Martínez de</t>
  </si>
  <si>
    <t>Luis Martínez de Viergol</t>
  </si>
  <si>
    <t>…M. Las mismas condecoraciones para el Sr. duque de S. Carlos, primer se cretario de Estado y del Despacho,y otra de comendador del Aguila Roxa, que S. M. se ha servido conceder á D. Luis Martínez de Viergol, oficial de la primera secretaría de Estado. En atención á las distinguidas circunstancias y servicios del conde de Motezuma ha venido S. M. en nombrarle para el corregimiento de Madrid y su partido. ' , El cabildo de la santa iglesia de Salamanca, convencido…</t>
  </si>
  <si>
    <t>Vigil, Manuel</t>
  </si>
  <si>
    <t>Manuel Vigil</t>
  </si>
  <si>
    <t>…enencia de granaderos al teniente D. Francisco de Torres: empleos de tenientes á los alféreces Don Pedro Cervileon , D. Francisco Castriilon y Taboada, D. José Antonio de la Vega, D. Manuel Vigil, y al teniente agregado D. Ignacio Cabero: empleos de alféreces á los cadetes D. Andrés Truxillo y D, José Pió San tiago; y de portaguiones á los de la propia clase D. José Torres , D. José Alexo de los Ríos, D. Juan Manuel Piñeyro y D. Juan Felipe Negron. En…</t>
  </si>
  <si>
    <t>Vigo</t>
  </si>
  <si>
    <t>…pañías de cazadores fue ron relevadas durante todo el dia, que siguió el fuego por compañías de sus respectivos cuerpos. Poco antes de anochecer un destacamento de la briga da del coronel Vigo, que se situó á mi izquierda, relevó el punto que cu bría- mis tropas sobre el camino real___ Todos los cuerpos han mostrado en este pequeño ensayo los mejores deseos de distinguirse. Adjunto tengo el honor de incluir áY. E. el estado de pérdida. Dios guarde…</t>
  </si>
  <si>
    <t>Vigo, Pedro Méndez de</t>
  </si>
  <si>
    <t>Pedro Méndez de Vigo</t>
  </si>
  <si>
    <t>…manifiestan los adjuntos estados, no habiendo sufrido ninguna la segunda brigada de la tercera división; porque hallándose en segunda lineádsele previno á su comandante general el coronel D. Pedro Méndez de Vigo se. adelantase hasta el igual de las otras; y lo verificó co locando sus puestos en primera línea, aunque con el sentimiento de haber ya disminuido el fuego___ Remito á V. E. originales los partes que me han pasado los gefes de las brigadas de lo acaecido en…</t>
  </si>
  <si>
    <t>Vigodet, Gaspar</t>
  </si>
  <si>
    <t>Gaspar Vigodet</t>
  </si>
  <si>
    <t>…moverá tenientes generales de sus exércitos á los mariscales de campo D. Félix Calleja, actual virey de Nueva-España* al conde de Castroterreño, existente eu el mismo vireynato, y D. Gaspar Vigodet, capitán general de las provincias del Rio de la Plata ;á mariscales de campo á los brigadieres D. Joaquín de la Pezuela, general en. gefe del exér-»cito del Alto Perú, D. Juan Ramírez y D. Francisco Picoaga, generales dé división del mismo, y D. José Dávila,…</t>
  </si>
  <si>
    <t>Vigusra, Francisco Xavier</t>
  </si>
  <si>
    <t>Francisco Xavier Vigusra</t>
  </si>
  <si>
    <t>…éfica mano que se ha dignado, conferírsele. ^ 1 í i. ¡ * * . ' ' - t . ! &gt; Asimismo por decreto de 3 del corriente ha venido S. M. en conceder los honores de comisario ordenador á D. Francisco Xavier Vigusra, contador de rentas dé la provincia de Cuenca, en atención á sus méritos y servicios. " • El Rey nuestro Señor en atención á los singulares méritos y servicios de D. Juan Antonio Ay uso y Recacha, cura párroco de la villa de Viliaseca díí llenares , ha venido…</t>
  </si>
  <si>
    <t>ViHamlF, Juan Perez</t>
  </si>
  <si>
    <t>Juan Perez ViHamlF</t>
  </si>
  <si>
    <t>691</t>
  </si>
  <si>
    <t>…&gt; 'Dé'ofden'- dé édñWrficó á Vi' para su inteligencia y cumplí— «liento. Dio^. guarde á,V. ^ muchos años, ^adríd 14 dé Juriq de 1814- ' * En atención á los méritos y servicios del Sr. D. Juan Perez ViHamlF, secretario de Estado y de Gobierno con voto del concejo de Estado ,ha ve-</t>
  </si>
  <si>
    <t>Viiaurrizaga, José</t>
  </si>
  <si>
    <t>José Viiaurrizaga</t>
  </si>
  <si>
    <t>…el Anto nio de la Mata y D. José Jorge Duran: tenencia de granaderos al de fusi leros D. Vicente Caballero: tenencia de fusileros al subteniente D. José de Meza ; y subtenencias á D. José Viiaurrizaga y D. Santiago Villar. En el de Huanta el empleo de teniente coronel al sargento mayor del propio cuerpo D. Nicolás Terres: compañías de granaderos á los capitanes de fusileros D. Andrés Cabrera y D. Manuel Valdivia: compañías de fusi leros á los tenientes D. José Ignacio de Larra…</t>
  </si>
  <si>
    <t>Viiches, Gonzalo Josef de</t>
  </si>
  <si>
    <t>Gonzalo Josef de Viiches</t>
  </si>
  <si>
    <t>…814. =YO EL REY.=Yo D. Juan Ignacio de Ayestarán, Secretario del Rey nuestro Señor, lo hice escribir por su man dado. 2 El Duque del Infantado. 2 D. Josef Antonio de Larrumbide. 2 D. Gonzalo Josef de Viiches. = D. Antonio Alvarez de Contreras. 2 El Conde del Pinar 2 Registrada, Fernando de Iturmendi. =: Teniente de Can ciller mayor, Fernando de Iturmendi. Según los partes recibidos en el ministerio de Marina del alférez de fraga ta graduado de la Real armada D. J…</t>
  </si>
  <si>
    <t>Viiches, Manuel de</t>
  </si>
  <si>
    <t>Manuel de Viiches</t>
  </si>
  <si>
    <t>…de Granada á B. Andrés Subiza, D. Mateo Bautista del Cerro, D. Fe mando Carvia y D. Francisco del Castillo. Y para siete plazas de al caldes del crimen de la misma chancillería á D. Manuel de Viiches, D. An tonio Lorenzo Martínez del Pozo, D. Matías Herrero Prieto, D. Manuel Martin Berna!, D. Maurteio Baradat, B. Ignaro Martínez de Torres y D* Anacleto Fagoaga. El Rey nuestro Señor, atendiendo á los méritos de D. Bernardo Amaya, oficial de la tesorería de…</t>
  </si>
  <si>
    <t>Viífamií, Juan Perez</t>
  </si>
  <si>
    <t>Juan Perez Viífamií</t>
  </si>
  <si>
    <t>…antemano el Excmó. Sr. secretario de Estado y mayordomo mayor de palacio el Sr.-duque de S. Cárlos, como superintendente de la im prenta Real, el consejero de Estado el Excmo.-Sr D. Juan Perez Viífamií, como subdelegado de la mi ma, el conde de Castañeda, oficial mayor de la primera secretaría de Estado , que tiene á su cargo la imprenta Real, y Don Manuel Abella, oficial de la mbma secretaría, encargado de este negociado, y después do haber recibido S. M.…</t>
  </si>
  <si>
    <t>Viii.anucya, Antonio</t>
  </si>
  <si>
    <t>Antonio Viii.anucya</t>
  </si>
  <si>
    <t>…zalo José de Vilches...... Santiago, Orense y Lugo. Sr. D. Jq&gt;é Joaquín Colon............... Gerona, Vich y Calahorra. Sr. D. Manuel de Lardizabal. Zaragoza ^ Muesca y Albarracin* Sr. D. Antonio Viii.anucya. .......Grapada,* Gcadix y Almería. Sr D. Bernardo Riega.. ............. Tarragona,-Barcelona y TeruelSiv conde*;del Pinar.......... . V.alladolid, Paiencia y Tudela. Sr. D. José María Puig Lérida y Tortosa. Sr. D. Sebastian de Torres^,............. Salamanca…</t>
  </si>
  <si>
    <t>Viíialb, Manuel</t>
  </si>
  <si>
    <t>Manuel Viíialb</t>
  </si>
  <si>
    <t>…^ p.^ltatfícin Antonid Bustamante, regidor perpetuo10 de ia ciudad dé Toro y{máésftr^nteqdéj‘HliReár'de Ronda, P. ¿Pa-r bb Moriíi^ vmariscal decampo de'’lo^'féeáilés, étféircitosy D. Manuel Viíialb^.,i teniente' de rey ^V brig'adiér 'de ddi^R&amp;ales éxétcitos , el ti¿áríquésT de Safts Miguel de Grox y D. Aiékándte’ dfc^V'íctqri'áyáríacstrante de la Real de^ Seviha; comisionados ptír;;lá‘'titfí&amp;idPké' ^rfcfcéñtárón^i cumplimeñ-5 rartar áá 55.S M.; ptonunci…</t>
  </si>
  <si>
    <t>Viilacampa, Pedro</t>
  </si>
  <si>
    <t>Pedro Viilacampa</t>
  </si>
  <si>
    <t>…Madrid g 1 de diciembre. El 19 de este mes se ha instalado el consejo de Guerra de oficiales ge nerales de esta provincia, presidido por el comandante general el mariscal de campo D. Pedro Viilacampa, gobernador de esta plaza, con arreglo á la real orden de 22 de octubre del presente año, para juzgar á los militares que hayan servido al gobierno intruso, ó sean comprehendidos en el real decreto de 8 de abril de 1813.</t>
  </si>
  <si>
    <t>Viilamil, Juan Perez</t>
  </si>
  <si>
    <t>Juan Perez Viilamil</t>
  </si>
  <si>
    <t>…on. En seguida se sentaron 5. M. y AA. á la mesa, acompañados de los Sres. Secretarios del despacho, dé los gefes de palacio, del capitán de Reales Guardias de Corps, y del Excmo. Sr. D. Juan Perez Viilamil, consejero de Estado y subdelegado de la Real imprenta, á quienes S. M. se dignó dis pensar esta señalada distinción. En la comida, obtenido el permiso de S. M., el Excmo. Sr. duque de S. Carlos brindó por la salud del Rey nuestro Señor y felicidad de su reyn…</t>
  </si>
  <si>
    <t>Vil, Fernando</t>
  </si>
  <si>
    <t>Fernando Vil</t>
  </si>
  <si>
    <t>…que experimentaban. .. ' 'Zafra 23 de Mayo, t f El dia 16 del corriente á las cinco de la'tarde llegó á esta villa el corte# de Madrid que conducía el real decreto de S. M. el St, D. Fernando Vil in serto en la gaceta extraordinaria de 12 del mismo; y apenas se hizo público quando un inmenso concurso de gentes, que conrla mayor atención lo ha bía escuchado,, prorumpió en las mas expresivas demostraciones,de alegría y lealtad que siempre ha profesado á…</t>
  </si>
  <si>
    <t>Vilagómez, Miguel Alfonso</t>
  </si>
  <si>
    <t>Miguel Alfonso Vilagómez</t>
  </si>
  <si>
    <t>…rres, D. Domin go Fernandez Campománes, D. Andrés Lasauca, D. Antonio Alvarez de Contreras, D. Antonio Ignacio de Cortabarría, D. Ignacio Martínez dé Villelá, D. Francisco Arjona, D. Miguel Alfonso Vilagómez, D. Juan Antonio Carrillo, D. Tomás Moyano, D. Juan Antonio Inguanzo, Don Benito Arias de Piada * D. Gerónimo Diez, D. Nicolás María Sierra, Don José Amonio Larrümbide y D. Luis Melendez Bruna. El Rey nuestro Señor se ha servido nombrar gobernador de la sala…</t>
  </si>
  <si>
    <t>Vilches, Gonzalo José de</t>
  </si>
  <si>
    <t>Gonzalo José de Vilches</t>
  </si>
  <si>
    <t>…para mantener en él con su sangre á su legítimo y deseado Monarca.” Asimismo este dia felicitaron á S. M. á nombre de la ciudad de Baeza el Excmo. Sr. duque de Montemar y el limo. Sr. D. Gonzalo José de Vilches, del consejo y cámara de S. M.; y el primero arengó asi; „ Señor; la ciudad de Baeza, primera de la Andalucía que después de la invasión de los moros volvió al gobierno de sus legítimos Soberanos, se presenta á los reales pies de V. M., dándole el parabién po…</t>
  </si>
  <si>
    <t>…drid 24 de Mayo de 1814. El Rey nuestro Señor se ha servido nombrar presidente del supremo consejo real de Castilla al señor duque del Infantado, y ministros del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t>
  </si>
  <si>
    <t>…e Junio de 1814. S ñires ministros dfl Consejo nom- Arzobispados y obispados de que? bracios para entender en Liconstrac- respectivamente están encargadas.. * cion ae cementerios. Sr. D. Gonzalo José de Vilches...... Santiago, Orense y Lugo. Sr. D. Jq&gt;é Joaquín Colon............... Gerona, Vich y Calahorra. Sr. D. Manuel de Lardizabal. Zaragoza ^ Muesca y Albarracin* Sr. D. Antonio Viii.anucya. .......Grapada,* Gcadix y Almería. Sr D. Bernardo Riega.. .............…</t>
  </si>
  <si>
    <t>Vilhgomez, Miguel Alfonso</t>
  </si>
  <si>
    <t>Miguel Alfonso Vilhgomez</t>
  </si>
  <si>
    <t>…z. 3.a Sentencia pronunciada por el mismo supremo tribunal en sala primera. SEÑORES DE SALA PRIMERA# D. Antonio Ignacio Cortavarría. D. Ciríaco González Carvajal. D. Vicente Fita. D. Miguel Alfonso Vilhgomez. ; D. Toribio Ugarte, adjuntó se confirma con costas la sentencia pronunciada por la sala segunda de este síupremo tribunal, en quanto revocó como injusta la del tribunal espe cial creado por las Cortes generales y extraordinarias contra el Sr. D. Mi guel Lar…</t>
  </si>
  <si>
    <t>Viliavicencio, Juan</t>
  </si>
  <si>
    <t>Juan Viliavicencio</t>
  </si>
  <si>
    <t>Julián de Retatnosa, D. Nicolás de Estrada y D. Juan Ruíz de Apodaca; entendiéndose por lo que respecta á este general y á D. Juan Viliavicencio, para el caso en que S. M. se sirva disponer el relevo de los destinos en que hoy se hallan; al gefe de esquadra jt). José de Espinosa Tello secretario con voto; al de igual-clase D. Francisco Vázquez de Mondragon vocal interino hasta el relevo de Apod.¡ca; á…</t>
  </si>
  <si>
    <t>VilJalba, Antonio</t>
  </si>
  <si>
    <t>Antonio VilJalba</t>
  </si>
  <si>
    <t>…guiente: + • r: . „ Conformándose el Rey con lo expuesto por la Junta con .motivo de haber denegado á Doña Josefa de Alba y Gárate, viuda en segundas nup cias del Capitán invalidó D. Antonio VilJalba, el aumento de.quatro reales que ha solicitado sobre Jos tres que. goza en el Monte Pió Militar, para complemento de los 2500 que disfrutó en el de Oficinas por fallecimiento de su primer marido D. Diego Quarteraro, Vista de I3 aduana. jd&amp; Málaga; se ha servi…</t>
  </si>
  <si>
    <t>Vill.acampa, Pedro de</t>
  </si>
  <si>
    <t>Pedro de Vill.acampa</t>
  </si>
  <si>
    <t>…ecretario. =Sr. secretario interino del despacho ' de la Guerra.” 1 En consideración al particular mérito, distinguidos servicios y antigüedad en la ciase de mariscal de cfampo de D. Pedro de Vill.acampa, y al acierto y prudencia con que ha desempeñado los diferentes encargos del servicio que se le han confiado, ha tenido á bien la Regencia dei Reyno promoverle á-teniente generai de los exércitos nacionales en 21 de Febrero próximo pa sado, confiriéndole ai p…</t>
  </si>
  <si>
    <t>Villa, Juan Perez</t>
  </si>
  <si>
    <t>Juan Perez Villa</t>
  </si>
  <si>
    <t>…ndo manifestado S. M. que se reti raba , fué acompañado hasta tomar el coche de los mismos personages que lo habían recibido, entre los quales losExcmos. Sres. duque deS. Carlos y Don Juan Perez Villa mil dieron á S. M. y AA. las gracias por la honra que acababa de dispensar á este su Real establecimiento, ofreciendo en nombre de todos los empleados de él sus votos por la salud de S. M. y A A., y la promesa de sus esfuerzos para que el establecimiento lleg…</t>
  </si>
  <si>
    <t>Villacampa, Pedro</t>
  </si>
  <si>
    <t>Pedro Villacampa</t>
  </si>
  <si>
    <t>…túe y resuelva parará todo perjuicio. En la librería de Quicoga, calle de las Carretas, casa de la fonda , se hallarán Iojs retratos á caballo, que formarán colección: c) teniente general D. Pedro Villacampa, D. Juan de Tapia,, el barón de Eróles, D. Juan Martin el Empecinado, D. Julián Sánchez, D. Juan Palarea (el Médico), D. Francisco Abad (Chaleco), á 8 rs. iluminados y á 4 en negro. Se irán publicando los restantes heroes que mas se han distinguido en. defens…</t>
  </si>
  <si>
    <t>…paradero de Domingo Palacio, cirujano, que se halló en los dos sitios de Zaragoza, y que habiéndose podido ocultar sin ir á Francia prisio nero, se tiene noticia que se presentó á D. Pedro Villacampa, estando en las in mediaciones de Aibarracin. Si alguno pudiese dar razón , escribirá ó dará aviso i Clemente Pa acio en Zaragoza. Sermón predicado el dia de Pentecostés del año de 1813 sobre la libertad fi losófica por el Dr. D. Pascual Jover, arcediano titu…</t>
  </si>
  <si>
    <t>Villagomez, Miguel Alfonso</t>
  </si>
  <si>
    <t>Miguel Alfonso Villagomez</t>
  </si>
  <si>
    <t>…tonio Ignacio de; Coriabarría............7...................................... Madrid. ^ ' Sí. D. Francisco Arjona Solsoria, Urgel, Tarazón a y Bar• • . i-.:-- -¿u" •/ bastro. . Sr. D. Miguel Alfonso Villagomez... Canaria y Ceuta. Sr. D. Juan Antonio Carrillo............. Cuenca) Badajoz y Plasencia. Sr. D. Tomas Moyano......... Córdoba) Valencia, Segorbe y Ori; huela. Sr¿ D. Juan Antonio de Inguanzo.... Burgos y Santander. Sr. D. Benito Arias de Prada.. ..........…</t>
  </si>
  <si>
    <t>…uan Ignacio de Ayestarán, Secretario del Rey nuestro Señor, lo hice escribir por su man dador El Duque del Infantado. = D. Andrés Lasauca. = D. Antonio Igna cio de Cortabarría. zs D. Miguel Alfonso Villagomez. = D. Luis Meiendez y Bruna. = Registrada, Fernando de Iturmendi. = Teniente de Canciller mayor, Fernando de Iturmendi. Circular del ministerio de Hacienda. El Rey ha tenido á bien resolver que los Intendentes y Subdelegados perciban la parte de comisos que l…</t>
  </si>
  <si>
    <t>Villaíba, Antonio</t>
  </si>
  <si>
    <t>Antonio Villaíba</t>
  </si>
  <si>
    <t>…vieron ia felicidad de poder librarse del dominio del tirano de Europa, saliendo de.la plaza de Magdeburgo con los oficiales D. Fidel Espía y f). Tomas Áldao, á las or denes de su comandante D. Antonio Villaíba. Llegaron ú los aliados, y el 18 del mismo fueron presentados á S. A. R. el príncipe de Suecia , quien les pasó revista-, y permitió volviesen á su patria armados, dando sus órde nes para que esta tropa y oficiales fuesen tratados con las mayores, consMe.r ra…</t>
  </si>
  <si>
    <t>Villalanz, Rosendo</t>
  </si>
  <si>
    <t>Rosendo Villalanz</t>
  </si>
  <si>
    <t>…eridad.” En este mismo dia tu*o igualmente la honra de presentarse á cumpli mentar á S. M. en nombre del cabildo de la real iglesia colegial de Covarrubias el canónigo de la misma D. Rosendo Villalanz; el qual pronunció el discurso siguiente: ,,Señor: el cabildo de la real iglesia colegial de Cova.rrubias, de vuestro antiguo patronato, por medio de su diputado el Dr. D. Rosendo Villalanz,. canónigo de la misma, tiene el honor de cumplimentar á V. Al. por e…</t>
  </si>
  <si>
    <t>Villalba, Francisco de</t>
  </si>
  <si>
    <t>Francisco de Villalba</t>
  </si>
  <si>
    <t>…uel de la Peña; Don José Manzanilla; D. Cayetano Urbina; D. Pascual Dávila, conde de Ibargrande; D. Antonio Gamiz, y al marques de Perales: y finalmente, para secretario primero á D. Francisco de Villalba, consiliario, secretario se gundo.” De Real orden lo comunico á V. E. para su satisfacción , y que se sir va disponer lo conveniente á su cumplimiento por la junta de hospitales.=Palacio 21 de Agosto de 1814. = Cristóbal de Góngora. = Sr. marques de las Horma…</t>
  </si>
  <si>
    <t>Villalba, Manuel de</t>
  </si>
  <si>
    <t>Manuel de Villalba</t>
  </si>
  <si>
    <t>…em, En Madrid. 10000 ídem., En Cádiz. 7°7 5 i6é8i 10000 Ídem., En Granada. 18371. 10000 ídem., En Toledo. 20222 10000 ídem. En Madrid. Habiendo solicitado en 25 de Julio último el brigadier D. Manuel de Villalba, teniente de Rey de esta plaza, se le exónerase de la presidencia del consejo de Guerra permanente, establecido en esta capital, por privarLe deí desempeño de las funciones de su empleo de teniente de Rey ; se ha nombrado para que le suceda en la citada presi…</t>
  </si>
  <si>
    <t>Villamil, Antonio González</t>
  </si>
  <si>
    <t>Antonio González Villamil</t>
  </si>
  <si>
    <t>…niente de id. D. Francisco Mediavilla, id de id. D. Ramón de Arribas, subteniente de id. D. Silvestre Hidalgo, teniente coronel del de Laredo. D. Bernardino García, capitán de id. D. Antonio González Villamil, ayu dante de id. D. José Alfonso, teniente de id. D. Félix del Arenal, subte niente de id. D. José Gómez, subteniente de tiradores de Cantabria. Contusos. D. Angel Vallejo, ayudante segundo de estado mayor. D. José Ruiz, subteniente del 2.° de Asturias. D. A…</t>
  </si>
  <si>
    <t>Villamil, José</t>
  </si>
  <si>
    <t>José Villamil</t>
  </si>
  <si>
    <t>…iente coronel, comandante de voluntarios de Asturias. D. Pablo Herce, capi tán de id. D. Andrés Pardo, a&gt; udante de id. D. Bernardo Pita , teniente de ¡d. IX Ramón Nuñez, id de id D. José Villamil, subteniente de id. D. Manuel Uznia, id. de id. D. Pedro Ovalle&gt; id. de id., D. Juan Canal, capitán del de Santiago. D. Juan de Castro, teniente de Id. D. Benito Martínez, id. de Id. D. Juan Guillen, subteniente de id. D. Francisco Quiroga, id. de id. D. Juan…</t>
  </si>
  <si>
    <t>Villamil, Juan Peres</t>
  </si>
  <si>
    <t>Juan Peres Villamil</t>
  </si>
  <si>
    <t>En este mfemodía Ja-Ecabacadejma. de la Historia, representada por su presidente'D.jManuel Abejla, y por los académicos los Excmos. Sres. duque de S. Carlos y D. Juan Peres Villamil, tuvo igual honra de besar la mano á S. M. , y de entregarle una oración impresa felicitándole por su deseado regreso ai tronp* - - ..j ;í : . . . .;!í .1; 1 ,&lt;!■ ¿ -&gt;2? p . . # En el mismo dia fnédgqalmente admitida á cumplimentar á S. M. una diputación de l…</t>
  </si>
  <si>
    <t>Villamil, Juan Perez</t>
  </si>
  <si>
    <t>Juan Perez Villamil</t>
  </si>
  <si>
    <t>. * *°47 la audiencia de Sevilla á D. Juan Pedro Mótales: para otra de oidor de la de Galicia á D. Juan Perez Villamil, ministro de la de Asturias: para una de ministro del consejo Real á D. Francisco Marin y Sánchez: para la re gencia de la audiencia de Galicia á D. Manuel de León Santos de S. Pedro: para la de Canarias á D. Manuel Delgado: para una plaza de la sala de al ca…</t>
  </si>
  <si>
    <t>Villanova, Jacobo</t>
  </si>
  <si>
    <t>Jacobo Villanova</t>
  </si>
  <si>
    <t>…atisfacción que gustasen, salvando su honor á los oficiales que se creyeran ofendidos. El P. Fr. José de la Canal declaro, que estando en el aposento de la redacción, su compañero D. Jacobo Villanova, después de haber conver sado con un sugeto á quien no conoce, le entregó una carta para que hicie se un extracto. Habiendo preguntado el declarante si era fidedigna, y resipondídosele que sí, se puso á hacer el extracto, moderando algunas de las expresiones…</t>
  </si>
  <si>
    <t>Villanueva, Antonio</t>
  </si>
  <si>
    <t>Antonio Villanueva</t>
  </si>
  <si>
    <t>…e del supremo consejo real de Castilla al señor duque del Infantado, y ministros del mis mo tribunal á D. Gonzalo José de Vilches, D. José Joaquin Colon, Don Manuel de Lardizabal¿ D. Antonio Villanueva , D. Bernardo de Riega, Conde dél Pinar, D. José María Puig, D. Sebastian de Torres, D. Domin go Fernandez Campománes, D. Andrés Lasauca, D. Antonio Alvarez de Contreras, D. Antonio Ignacio de Cortabarría, D. Ignacio Martínez dé Villelá, D. Francisco Arjona,…</t>
  </si>
  <si>
    <t>Villanueva, Bernabé</t>
  </si>
  <si>
    <t>Bernabé Villanueva</t>
  </si>
  <si>
    <t>…tes, del batallón del Sur; el de la misma clase de fusileros D. Manuel Gordiano, el comandante de patriotas de Huizuco D. Manuel Castrejon, los subtenientes del expresado batallón D. Bernabé Villanueva y D. Justo Romero, el de patriotas de dicho pueblo D, Francisco Carrion; y se han singularizado de un modo distinguido los cabos de patriotas Ma tías Carranco y Josef María Ramírez, y del batallón del Sur los sargentos Josef Angel y Josef Antonio Molina, los cabos Antonio Pach…</t>
  </si>
  <si>
    <t>Villanueva, José</t>
  </si>
  <si>
    <t>José Villanueva</t>
  </si>
  <si>
    <t>…e Campeche se ha servido la Regencia del Reyno conferir los empleos siguientes: * «Compañía de granaderos al capitán de fusileros D. José Rafael Caraveo; esta resulta. aL ayudante D. José Villanueva ; la ayudantía que este dexa al teniente de granaderos D. José Luis de Medina; esta vacante al de fusile ros D, Narciso Arascct; tenencia de fusileros ai subteniente de granaderos ' D. Francisco Rodríguez; esta resulta al subteniente de fusileros D. José Oiru…</t>
  </si>
  <si>
    <t>Villanueva, Juan Marra</t>
  </si>
  <si>
    <t>Juan Marra Villanueva</t>
  </si>
  <si>
    <t>…ntar á S. M. una diputación de las ocho deio^ridad del quartel de Afligidos de esta corte, com puesta de los Sres. D;. José-Blazquez, diputado eclesiástico del barrio de Monterey, D. Juan Marra Villanueva, presbítero, D. Lucas María Alonso, diputado y alcalde del de S Marcos, y D. Manuel García, alcalde del barrip del Rosario ; delps ^qu^esel primero dixo¿ ,. Señor: las ocho diputaciones de caridad .reunidas del quartel de Afli-, gidosv, al mismo tiempo ,qu§ t…</t>
  </si>
  <si>
    <t>Villanueva, Pedro</t>
  </si>
  <si>
    <t>Pedro Villanueva</t>
  </si>
  <si>
    <t>…añon, capitán del i.° Cántabro D. Bernardo Alvarez Vega, capitán del idé Laredo. D. &lt;3ábriel González Llanos , capitán de id. D. Alberto Rozas, teniente dé tiradores de Cantabria. D. Pedro Villanueva, subteniente de id. Quártef general de Croix-Dorade 11 de Abril de 1814. = Estanislao Salvador; ' ■ * * ir - i I ■ ' I ‘ : ■ * .1 MADRID EN LA IMPRENTA NACIONAL.</t>
  </si>
  <si>
    <t>Villapor, Juan de</t>
  </si>
  <si>
    <t>Juan de Villapor</t>
  </si>
  <si>
    <t>…en efecto el limo. Sr. obispo de aquella santa iglesia dio 20 pares de zapatos; D. Miguel de Salazar, dignidad de maestrescuela de la misma, 3 iden?; Han Antonio Villapar, 2 idem; D. Juan de Villapor, síndico, 12 ideih$ B. Jpr sé María Luaces, 5 idem; D. Ramón Peña, B. Juan Vjüamonte, 0. Ramon Seixas, D. Blas Vidal y D. Bernardo Lauro, 2 pares cada.uno; con cuyo auxíiio pudieron llegar á esta ciudad provistos de calzado. 1 , f Creemos que debe decirse que…</t>
  </si>
  <si>
    <t>Villar, Matías del</t>
  </si>
  <si>
    <t>Matías del Villar</t>
  </si>
  <si>
    <t>…anuel £7 eyrt\-=z Excmo. Sr. se^reurio de Estado y del despacho de la Guerra.” El mismo general ha remitido otro del tenar siguiente:.' . ,, Excmo. Sr.: pl conde de Villagonzalo y D. Matías del Villar , veci nos de la ciudad de Salamanca, y testamentarios del difunto D. Francisco de la Ehoz, con fecha 8 del corriente me participan que este en su -última dispo siciou nombró por heredero del remanente de sus bienes al exército de mi mando. Este rasgo de afec…</t>
  </si>
  <si>
    <t>Villariño, Francisco</t>
  </si>
  <si>
    <t>Francisco Villariño</t>
  </si>
  <si>
    <t>…e Castro, capitán de id. D. Pedro Neyra, teniente de id. XX Ruperto Otero, id. de id. D. José Sousa, subteniente de id. D. Mi guel Santos, id. de id. D. Tomas Nogueyra, id. de id. D. Francisco Villariño, id. de id. D&gt; Francisco Rúa, teniente del de Oviedo. D. Ramón Gastellá; id. de id. D. Ramón Collast, subteniente de id. D. José Ordoñez, id. de id. D. Pedro Mateo Olorn, sargento mayor del i.° Cántabro. Don Juan Suarez, capitán de id. D. Vicente Carvajal, id…</t>
  </si>
  <si>
    <t>Villavicen, Juan María</t>
  </si>
  <si>
    <t>Juan María Villavicen</t>
  </si>
  <si>
    <t>…l bayiío Fr. D. Antonio Valdés y D. Félix de Texada, para que asis tan á las sesiones quando el estado de su salud se lo permita: á ios tenientes generales D. Ignacio María Aiava, D. Juan María Villavicen^io , Don</t>
  </si>
  <si>
    <t>Villavicencio</t>
  </si>
  <si>
    <t>…al ayuntamiento, y le hice entender quanto sabia y podía cimentar en los ánimos'de esta ciudad unas noticias tan de seadas como satisfactoria^: se acordó, visto que se hallaba el Sr. Villavicencio autorizado con Real orden, que inmediatamente se publicase al son de los instrumentos militares, y que sucesivamente, presidiendo al ayuntamien?to y concurso del pueblo el retrato de S. M. el Sr. D. Fernando vil, se di rigiesen todós á la iglesia catedral á d…</t>
  </si>
  <si>
    <t>Villavicencio, Juan María de</t>
  </si>
  <si>
    <t>Juan María de Villavicencio</t>
  </si>
  <si>
    <t>5S2 vitoreaban á su deseado Soberano. Dirigiese desde aquí á las casas capitula res, según previno el Excmo. Sr. D. Juan María de Villavicencio , capitán general de la provincia, que con su presencia autorizaba este plausible acto. * Llegada la comitiva á la plaza de S. Juan de Dios, sanó con músi cas y ¡naceros el Excmo. ayuntamiento, cuyos individuos iban vestidos de rigorosa ceremonia, presidido p…</t>
  </si>
  <si>
    <t>Villegas, Francisco</t>
  </si>
  <si>
    <t>Francisco Villegas</t>
  </si>
  <si>
    <t>…ron el honor de ser'admitidos á besar la Real ma¿ o y las de los Sermos. Sres. Infantes el presbítero D. Casimiro Mendez, racionero de la metropolitana iglesia de Burgos, y el Dr. D. Francisco Villegas, dipu tados por la villa y ayuntamiento de Villafranca del Bierzo; y tomando el primero la palabra dixo asi: „Señor: la villa de Villafranca del Bierzo, en vuestro reyno de León,</t>
  </si>
  <si>
    <t>Villela, Ignacio Martínez de</t>
  </si>
  <si>
    <t>Ignacio Martínez de Villela</t>
  </si>
  <si>
    <t>…Diez, D. Nicolás María Sierra, Don José Amonio Larrümbide y D. Luis Melendez Bruna. El Rey nuestro Señor se ha servido nombrar gobernador de la sala de alcaldes de Casa y Corte á D. Ignacio Martínez de Villela, y ministros de ía misma á D. Manuel María Junco, D. Diego María Vadillos, D. José Salvador del Pan, D. José Cavanillas, D. José García de la Torre, Don Vicente Fita* D. Joaquin Sistemes, D. Francisco Allomó de Tuero, Don José Manuel Arjona, D. Andrés Oller,…</t>
  </si>
  <si>
    <t>…fección digno del augusto Soberano que tan señaladamente le dispensa su augusta protección. El día 2c del mes próximo pasado la universidad de Zaragoza represen tada por los Sres. D. Ignacio Martínez de Villela, del consejo supremo de</t>
  </si>
  <si>
    <t>Villodas, José María de</t>
  </si>
  <si>
    <t>José María de Villodas</t>
  </si>
  <si>
    <t>…mplace por los papeles públicos de diario y gaceta a los pa rientes y.demas personas que presuman tener derecho a los bienes que; hayan quedado por ei fallecimiento abintestato de D. José María de Villodas v Leal del Cas tillo, cadete;que fué en el colegio de la Isla de León, a fin;de que ep el termino de go días, contados desde, i&gt;° del corriente, acudan ante -5. S. y escribjnía de pro vincia de D. Juan Garrido á usar de su derecho; con apercibimiento de que p…</t>
  </si>
  <si>
    <t>Villota, Cipriano</t>
  </si>
  <si>
    <t>Cipriano Villota</t>
  </si>
  <si>
    <t>…z y Mina, mariscal de ampo. El Dr D. Saturnino García de Arazuri-, deán de esta santa iglesia, 500 pesos: el Dr. D. Francisco Xavier Echeverría, arcediano de la misma, too: el Dr. D. Cipriano Villota, chantre de ídem-, 200: el Dr. D. Juan Felipe Portu, prebendado de ídem, 25 : el Dr. D. Francisco Pantaleon Uztariz, cura ré'tor del sagrario de ídem, 24: D. Juan José de Cáceres, teniente de ídem, 4: D. Mariano Rodríguez, capellán de coro de idem, 6: el Lie.…</t>
  </si>
  <si>
    <t>Villota, Santiago Chaves y</t>
  </si>
  <si>
    <t>Santiago Chaves y Villota</t>
  </si>
  <si>
    <t>…el capitán D. Francisco Valdes de Velasco 10: D. Manuel Ages ta y Otamendi 40: D. Diego Ovanguren 12 : D. Juan Baptista Echegaray,, administrador de tabacos, 6: D. José Ncdar 12: D. Santiago Chaves y Villota 6: D. Tomas Castillo 6; y D. José Antonio Salamanca, cura vi cario de Puquina, 12. Total 1126 pesos. Real cédula de S. M. y señores del Consejo, por la qual se sinre aprobar el re glamento propuesto y formadlo para el reintegro de los bienes confiscados per e…</t>
  </si>
  <si>
    <t>Villuela, Benito</t>
  </si>
  <si>
    <t>Benito Villuela</t>
  </si>
  <si>
    <t>…al brigadier D. Alonso Rodríguez Valdés, que la servia in terinamente : la de la de Madrid al coronel J¡¡&gt;« Manuel Villalba, sargento mayor de la misma : esta resulta al teniente coronel D. Benito Villuela, te niente coronel del regimiento de infantería 2.0 de Soria"; y la secretaría de U capitanía general de Castilla la Nueva al capitán retirado D. Josef María González , que la servia interinamente. Sistema ó curso completo de Cirugía, por el.célebre Benjamín…</t>
  </si>
  <si>
    <t>Vilomara, Juan</t>
  </si>
  <si>
    <t>Juan Vilomara</t>
  </si>
  <si>
    <t>…pell para una canongía de la iglesia catedral de Barcelona, vacante por muerte de D. Luis Gomar: á D. Juan Dagas para otra dlaconil de la catedral de Gerona, vacante por muerte de D. Juan Vilomara : á Don Narciso Gobern para otra también diaconil de la misma catedral, vacante por muerte de D. Ignacio Sastre: á D. José Ferrer Aymeri para otra tam bién diaconil de la misma catedral, vacante por muerte de D. Antonio Se gura: á D. Mariano Bataller para otr…</t>
  </si>
  <si>
    <t>Viltamil, Juan Peréz</t>
  </si>
  <si>
    <t>Juan Peréz Viltamil</t>
  </si>
  <si>
    <t>…dimisión que tiempo hace tiene hecha de la Secretaría de aquel Despacho, he veni do en acceder á ellas; y he nombrado para que la desempeñe interinamen te á mi Consejero de Estado D. Juan Peréz Viltamil. Tendréis!© entendido, y dispondréis lo conveniente á su cumplimiento. =r Está rubricado de la Real mano. =: En Palacio á 23 de Setiembre de 1814. = Ai Duque de S. Carlos.” „Para dar un testimonio del aprecio que me merecen las circunstancias y servicios de D…</t>
  </si>
  <si>
    <t>Vincem</t>
  </si>
  <si>
    <t>…rmados, y degüellan á quantos enemigos encuentran. Los enemigos rezagados y los prisioneros se. presentan voluntariamente á los gendarmas, á quienes miran como sus protectores. El general Vincem escribe desde Chateau-Tierry el 22 que habiendo intentado el enemigo exigir contribuciones de los pueblos de Bazzi, Passi y Vincelle, se reunieron las guardias nacionales, y rechazaron al enemigo, después de herirle muchos hombres, y hacerle otros prisioneros…</t>
  </si>
  <si>
    <t>Vincent</t>
  </si>
  <si>
    <t>…ecesaria. Las diferentes co lumnas de tropas suecas, que por algunos días han estado pagando con di rección al Rhin, han recibido orden de apresurar su marcha. El teniente general barón Vincent, nombrado por los aliados goberna dor general de la Bélgica y del país dé Lieja, ha publicado una proclama, en la qual dice: „Pueblos de la Bélgica, vuestras provincias, después de haber sufrido las calamidades comunes á la Francia, han llegado ya á fixarse e…</t>
  </si>
  <si>
    <t>Vindel, José Tavira y</t>
  </si>
  <si>
    <t>José Tavira y Vindel</t>
  </si>
  <si>
    <t>…meses del sitio de Cádiz arrojaban los franceses á aquella plaza» que el mismo Vallejo le pre sentó. ; i 7 _ • Asimismo en este dia se presentaron á S. M. y AA. D. José Martínez, D. José Tavira y Vindel y D. Manuel Ortega, regidores y procurador sín dico de la ciudad de Molina, comisionados por su ilustre ayuntamiento para felicitar á S. M. ; y después de haber tenido la honra de besar su real mano, pronuncio el primero el discurso siguiente: „ Señor: la ciudad de Molina, capi…</t>
  </si>
  <si>
    <t>Vinot, J.</t>
  </si>
  <si>
    <t>J. Vinot</t>
  </si>
  <si>
    <t>…ador de la 15.a división militar. = Charmout, ayudante co mandante. = Beauzel, coronel subinspector de revistas. = Frebert, comisa rio de guerra. =Tousain,-capitán agregado. z= El barón J. Vinot, coman dante de las tropas movibles del curso del Oisa. = J. Grumxny, general co mandante de la caballería ligera de la 4.a división de caballería. =,De Coularé de la Fontaine, mayor de la guardia nacional. = Lamberty, mayor del 7.0 regimiento de coraceros. =…</t>
  </si>
  <si>
    <t>Virey</t>
  </si>
  <si>
    <t>…ecucion del presente decreto, que se insertará en ei boletín de las leyes. ESPAÑA. Aléxico z de Enero. . i • ; . ‘ ** i' : !. i , . * Adas tres de esta tarde ha recibido el Excmo. Sr. Virey partes del bri gadier D. Ciríaco de ¡Llano, comandante general del exército del Norte» can fecha de 25 y 28 de Diciembre á las once y media de la noche, en que participa la completa derrota de Morelos y de todos los caudillos reunidos en aquella provincia, qu…</t>
  </si>
  <si>
    <t>…haber pasado el Maulé, y establecido su quartel general en Talca, desde donde ofi cio con el gobierno de la capital, ofreciéndole, con arreglo á las ordenes que llevaba del Excmo. Sr. Virey, olvido de todo lo sucedido, si juraban de nuevo á nuestro Monarca Fernando vil, y obediencia á las autoridades le gítimamente constituidas; de cuyas resultas había comisionado dicho gobier no al Sr. D. Santiago Hyliiar, capitán de la fragata de S. M. Británi…</t>
  </si>
  <si>
    <t>Virto, Santiago</t>
  </si>
  <si>
    <t>Santiago Virto</t>
  </si>
  <si>
    <t>…n América D. Blas Bebo, natural de la ciudad de Tudela , reyrío de Navarra , se?avisa *á todos aquellos qué1 consideren tener derecho á los bienes que ha dexado, para que acudan á D. Santiago Virto, del comercio de Cá diz, quien Ies instruirá sobre e1 particular: el expresado Belio estuvo casado en la villa de Argucdds, merindad de Tudela. Se desea saber el paradero de D. Julián Quintanilla, natural de esta corte , rnú-; sico que fue del regimiento de O…</t>
  </si>
  <si>
    <t>Vista-Florida, Antonio Salcédon Conde de</t>
  </si>
  <si>
    <t>Antonio Salcédon Conde de Vista-Florida</t>
  </si>
  <si>
    <t>…f Aycinena. = D. Antonio Cal derón , Fiscal. = D. Silvestre Collar, Secretario. = Sala tercera de Justician D. Ramón de Posada.s= Di Francisco Josef Viaña. =D. Joaquín Mosque ra, =D. Antonio Salcédon Conde de Vista-Florida. Contador general* que no ha de ser Ministro de la tabla, D- Josef Manuel de Aparici y Prado. = Madrid 2 de Julio de 1814. = Señalado de la Real mano de S. M. 2.0 Por mi Real decreto de esta fecha he venido en restablecer el Real y Supremo Consejo de las Indi…</t>
  </si>
  <si>
    <t>Visuada, Manuel</t>
  </si>
  <si>
    <t>Manuel Visuada</t>
  </si>
  <si>
    <t>…l alcalde constitucional. Se desea saber el paradero de las hermanas del Lie, D. Juan Perez, natural de Ribera del Miño, que falleció en la Concepción de Chile; é igualmente el de Don Manuel Visuada y de Dona Isabel Padilla. Los interesados podrán dirigirse á Don José Calvo y López, del comercio de Cádiz, calle del Sacramento, tienda baxo de la torre de Tavira. Los cosacos en París. Juego de la óptica del mund®, que el maquinista filósofo ofrece al mayor…</t>
  </si>
  <si>
    <t>ViT, Marques de</t>
  </si>
  <si>
    <t>Marques de ViT</t>
  </si>
  <si>
    <t>…á bien determinar que se restablezcan en la Peninsu'a los regimientos Provinciales, y por consiguiente la Inspección gene ral de Mifi ia&lt;, se ha dignado S. M. nombrar al Teniente general Marques de ViT nueva de Duero, Conde de Villariezo, para este importante encar go, en at ncion á su acreditado zek) por el bien del servicio y demas reco mendables circunstanciás.</t>
  </si>
  <si>
    <t>Viton, José</t>
  </si>
  <si>
    <t>José Viton</t>
  </si>
  <si>
    <t>…rmendi. El Rey ha tenido á bien promover á subtenientes en el Rea! cuerpo de Artillería á los caballeros cadetes del mismo D. Manuel Irazabal, D. Ra fael Navafíis, D. Félix Román, D. José Viton, D. Francisco Elorza, Don Gregorio Blake, D. Salvador González, D. Rafael Arjona, D. Carlos Na va, D. Miguel Socies, D. Ramón Salazar, D. Francisco Ferrer, D. Juan Puig, D. Inocente Mercadillo, D. Francisco Zarracina, D. Francisco Trovano, y á los soldados de…</t>
  </si>
  <si>
    <t>Víttgenstein</t>
  </si>
  <si>
    <t>…que es te cuerpo pasase á retaguardia ae la posición que ocupaba el general Wre de para atacar al cuerpo enemigo que se movía hácia Levigni, por la dere cha del general Wrede. El general Víttgenstein llegó á dichas alturas á eso de las n, y tuvo que sostener un combate muy reñido por la posesión de ellas. El príncipe Schwartzenberg en persona dirigió várias veces los ataques de las tropas rusas, y en uno de ellos fue herido, aunque creo levemente; como qu…</t>
  </si>
  <si>
    <t>Vivanco, Donato de</t>
  </si>
  <si>
    <t>Donato de Vivanco</t>
  </si>
  <si>
    <t>…titucional hará obser var el mejor orden á los coñeurrentes, y proporcionará las comodidades po sibles para el tráfico. En 20 dé noviembre de 18*12 remitió por el correo una carta D. Donato de Vivanco,con ei sobre á Doña Muía Antonia Alvarez, residente, en la Isla de León; en dicha carta se indltiiar» 4rés yáiés reales de a l 50 pesos, de la creación de i.° dé'efietó de ¥808 el uno;, nómero; 243585, y los dbí Testantes dé i,° de’ en*ro¡ dé ft&amp;a^tbsí 3ob^¿^…</t>
  </si>
  <si>
    <t>Vives, Francisco Dionisio</t>
  </si>
  <si>
    <t>Francisco Dionisio Vives</t>
  </si>
  <si>
    <t>…Octubre de 1812 se ha formado al Teniente general y Coronel de Artillería D. Josef Worster, acusado de haber faltado á la subordinación al Gobernador de la plaza de Ciudad-Rodrigo D. Francisco Dionisio Vives, y al segundo Co mandante general de Castilla la Viej*a D. Carlos España siendo Comandan te de Artillería de aquella Plaza; se ha servido S. M. declarar, conformán dose con el parecer del Consejo Supremo de la Guerra, que no hubo moti vo justo para h formació…</t>
  </si>
  <si>
    <t>Vivían</t>
  </si>
  <si>
    <t>…,' que quedó con sir Rolando Hill quando las demas tropas españolas pasaron á acantonarse, se colocó en Orcuray, teniendo la brigada de dragones ligeros británicos, del mando del coronel Vivían, en Hasperen, con el fin de que observasen los movimientos de la división del general París, que se había retirado á St. Palais-quando efectuamos el paso del Nivé..! En la misina" mañana del io se puso en marcha-todo eL exército enemi go, á excepción dé las t…</t>
  </si>
  <si>
    <t>Viviane</t>
  </si>
  <si>
    <t>…formó el blo queo de la ,pláza. El mariscal Beresford, que desde los movimien tos del 14 y del había permanecido con las divisiones quarta y séptima y la brigada de caballería del coronel Viviane, observando el baxo Bidousse, atacó el mismo día al enemigo en sus puestos for tificados de Hastiengues y Oyerhave sobre la izquierda del Gave de Pau, y le obligó á retirarse dentro de ia cabeza del puente de Peyrornade. Luego que sir Rowland HUI y sir. Henry…</t>
  </si>
  <si>
    <t>…ocaron cerca del puente destruido de Berens; y el mariscal Beresford con las divisiones quarta y sépti ma, mandadas por el general Colé y el mayor general Walker, y la brigada del coronel Viviane hácia el confluente del Gave de Oleron con la de Pau. Habiéndose marchado el 2 5 las tropas ene migas que se hallaban situadas delante del mariscal Beresford, pasó este el dia 26 et Gave dé Pau por mas abaxo de su unión con el de Oleron, y marchó inmediatamen…</t>
  </si>
  <si>
    <t>Viviané</t>
  </si>
  <si>
    <t>…ros^ y haciéndonos dueños del importante puente que hay allí sobre el rio. Ers, por donde necesariamente se había de pasar pai?a atacar la posición delenemigo.'Desgraciadamente el coronel Viviané fue herido- en^‘ esta ocasipñ, y rezeíó mucho de que por-algún5 tiémpo me veré: privado de ¿su asisten* cía. A la ciudad de Tólosa la rodean po«? tres lados el -Canal de íLangnedoc y el rio Gárona En lá izquierda de este rio habiam formado rIosi enemigos una…</t>
  </si>
  <si>
    <t>Vivó, Juan</t>
  </si>
  <si>
    <t>Juan Vivó</t>
  </si>
  <si>
    <t>…nte del esquadron de Ubrique D. Francisco Saliqueti , y al capitán del regimiento primero de infantería de Cataluña D. Juan Piñeyro, y la de plata al soldado del propio regimiento D. Juan Vivó, mandando al mismo tiempo S. M. que al capitán del mismo regimiento D. Vicente Sánchez se le tenga presente para suS ascensos. En consideración á las circunstancias, méritos y servicios de D. Manuel Fernando Ruiz del Burgo, vocal auditor ¿general del consejo…</t>
  </si>
  <si>
    <t>Vizcaíno, Félix González</t>
  </si>
  <si>
    <t>Félix González Vizcaíno</t>
  </si>
  <si>
    <t>…onsejo de las Ordenes, nombrar para las varas de alcalde mayor, de las villas de Fuente del Maestre á D. Leonardo Botella; de U.ciés á D. José Mari s de Eguizabal; de Manzanares á D. Félix González Vizcaíno; de Brozas á Don Agu.tin Lozano; de Ceclavin á D. José Potes y Puig; de Pedro Muñoz á D. León González del Camino y Estefanía; de la Mota del Cuervo á</t>
  </si>
  <si>
    <t>Vizmanos, Antonio Saenz de</t>
  </si>
  <si>
    <t>Antonio Saenz de Vizmanos</t>
  </si>
  <si>
    <t>…bunal especial creado por las Cor tes generales y extraordinarias. SEÑORES DEL TRIBUNAL ESPECIAL. D. Toribio Sánchez Monasterio. D. Juan Pedro Morales. D. Pascual Boláños y Novoa. D. Antonio Saenz de Vizmanos. D. J uan Nicolás de Undaveitia. En la ciudad de Cádiz á 14 de Agosto de 1812, los señores ministros que componen el tribunal especial creado por las Cortes generales y extraor dinarias del reyno, habiendo visto la causa formada contra el autor del im preso t…</t>
  </si>
  <si>
    <t>Vizoso, Francisco Xavier</t>
  </si>
  <si>
    <t>Francisco Xavier Vizoso</t>
  </si>
  <si>
    <t>…Pablo Antonia de Tarsis, á instancia de este, por la escribanía de provincia va cante que sirvió últimamente D. Juan Antonio Zamácola, se cita, llama y empla za á los herederos de D. Francisco Xavier Vizoso y su difunta muger Doña María Antonia Bardaxí, que parece fuá heredera de aquel, acreedor que era á dicho con curso de no9 rs. de vn., para que en el preciso término de 20 dias comparezcan por dicha audiencia y citada escribanía á deducir las acciones que les…</t>
  </si>
  <si>
    <t>Vminski</t>
  </si>
  <si>
    <t>…ya la Europa* Concluí lo este discurso la cámara de i s pares decretó, por unanimidad de votos, que se diesen las gracias á S. M. POLONIA. - ■ ■ ..s ’ ' - ' Posen 2&lt;T de Julio. El general Vminski salió ayer de Kargapara recibir ea la frontera de</t>
  </si>
  <si>
    <t>Vulnes, Juan de Dios</t>
  </si>
  <si>
    <t>Juan de Dios Vulnes</t>
  </si>
  <si>
    <t>…to á ella, en el rio. Carampangui, creí de mi obligación manifeítaries eí reconocimiento de tan acendrada lealtad: para esto les pasé recado, po-r medio del señor cura comisionado D. Juan de Dios Vulnes, suplicándoles pasasen á este bergantin, donde les obsequíaria. En efecto, llegaron la ma ñana del 22 ultimo á las playas de Arauco Viilacura, Lincopichum, Aatinaguel, Reugucante, Antimangul, Naguelpanc y Necuíneri, donde los re cibieron dos oficiales que com…</t>
  </si>
  <si>
    <t>Walhstadt, Blucher de</t>
  </si>
  <si>
    <t>Blucher de Walhstadt</t>
  </si>
  <si>
    <t>…cito ruso; y el ge neral Miloradowitch, después de haber hecho un corto pero lisonjero elo^gio del exército prusiano, brindó por la gloria de este. Después de Una cor? ta pausa el príncipe Blucher de Walhstadt se acercó á S. M , habló con elogio del modo heroyco con que el exérciro ruso había soportado las penar lidades de la campaña en.t&amp;n terrible y gloriosa lucha, y añadió que se creía obligado á dar un testimonio público de gratitud á todos los gefes y oficiale…</t>
  </si>
  <si>
    <t>Walker</t>
  </si>
  <si>
    <t>…man do del general Picton, se colocaron cerca del puente destruido de Berens; y el mariscal Beresford con las divisiones quarta y sépti ma, mandadas por el general Colé y el mayor general Walker, y la brigada del coronel Viviane hácia el confluente del Gave de Oleron con la de Pau. Habiéndose marchado el 2 5 las tropas ene migas que se hallaban situadas delante del mariscal Beresford, pasó este el dia 26 et Gave dé Pau por mas abaxo de su unión con e…</t>
  </si>
  <si>
    <t>…isiones tercera, sexta y ligera-, al mando de los generales Picton , Clinton y Alten , en fes ataques de las i alturas de la posición enemiga; y estas y la séptima, al man do del. general Walker, durante la'retirada del enemigo. La carga executada por el regimiento 7.0 de húsares, al mando del lord Gi Somerset, es sumamente meritoria; y la conducta de la artillería durante este dia merece toda mi aprobación. Estoy igualmente re-conocido al quartelmae…</t>
  </si>
  <si>
    <t>Walmoden</t>
  </si>
  <si>
    <t>…hizo algunos prisioneros. El general Tettenborn avanzó contra Ámfelde, y reuniéndose con la caba llería del conde Woronzow, cortó Ja comunicación entre Hamburgo y Lubeck. El 4 el general Walmoden pasó el Stecknitz, y reunió la m^yor parte de so cuerpo en Kinklader. Su vanguardia encontró al enemigo eo la aldea de Sievenbaum, y le arrojó de ella despúes de hacer álgonos prisioneros. - El exército sueco marchó entre el Wacknttz y el Stecknitz; arrolló l…</t>
  </si>
  <si>
    <t>…iníorme de los in genieros se necesitaban 24 horas para echar uno. , Las tropas eotraton en el pueblo á Es diez de la noche. El enemigo se retiró á Segeberg, adonde se encamina e; general Walmoden : el general Skiolde; rand empezó esta mañana á las seis á perseguir al enemigo con su caba.l ría. Ya se han h cho algunos centen res de prisioneros. , Los. habitantes de Luheck estaban determinados á auxiliar con las armas los esfuerzos del exército que veni…</t>
  </si>
  <si>
    <t>…de Rendsburg, donde se refugió el exército dinamar qués, después de haber sido cortado el cuerpo del mariscal DavouSt, y ha ber sufrido dos derrotas por las tropas suecas y por el general Walmoden. La citada plaza de Rendsburg se halla completamente cercada, y asi el exér cito danés, refugiado en ella, no podía recibir socorro alguno. „ El mariscal Davoust se retiró á Hamburgo, y por esta retirada dexó ía derecha del exército dinamarqués expuesta á los…</t>
  </si>
  <si>
    <t>…re S. A. R. el príncipe regente de Inglater ra y el rey de Prusia se reunió el principado de Hildesheim á los estados de S. A. R. en Alemania, y fue encargado de tomar posesión el conde Walmoden, cuya ceremonia se executo el 3 del mes pasado, y en este día se publicó b siguiente proclama. ,,Jorge príncipe regente, en nombre de S. M. Jorge m Scc. „ Habitantes del principado de Hildesheim: después de varias vicisitu des estáis sujetos á mi gobierno. Es…</t>
  </si>
  <si>
    <t>…inamarca en cambio de la Noruega. Stralsund con tinuará siendo depósito de las mercancías inglesas. La Inglaterra será media nera entre Dinamarca y los demas aliados. Idem 2 C. El general Walmoden marchó á Hannóver y Brunswick para completar el alistamiento en aquellos países. El general Tettenharn debe pasar el Elba en Gluckstadt: el exército sueco se unirá en Mmden&gt; y de allí marchará á Dusseldorf: el conde de Mecklenburgo seguirájal exército sueco.…</t>
  </si>
  <si>
    <t>Walpole</t>
  </si>
  <si>
    <t>…de Holanda, y determina que se les substituya la lengua holandesa. GRAN BRETAÑA. r " Londres 4 de diciembre. Las-cartas de Petersburgo de 3 de noviembre anunciaban la llegada del lord Walpole á aquella capital, y añadían que había decIarado*en respuesta á la segunda oferta de mediación hecha por el gabinete ruso, que la Ingla terra no necesitaba de mediación alguna con los Estados-Unidos de Amé rica. Ha llegado á Douvres un barco procedente de Cal…</t>
  </si>
  <si>
    <t>Warren</t>
  </si>
  <si>
    <t>…Mr, Gerard, uno de los oficiales de la Clorinda, la pérdida del enemigo es de 120 hombres. Mr. Byron, capitán de la Belvidera, escribe haber temado el beque americano el Vixen. El almirante Warren ha dado cuenta que las chalupas de guerra el Recrecit y el Dotterell obligaron al corsario americano ei Inca á que encalla se en Román Shoals. El vice-almiraate Peliew avisa la presa de tres buques franceses en el Mediterráneo. ■ ESPAÑA. Cádiz 27 de Marzo. En…</t>
  </si>
  <si>
    <t>Warrington</t>
  </si>
  <si>
    <t>…ha apresado también dos buques pequeños in feriores á los apresadores, lo que es suficiente para salvar la reputación de sus capitanes. Dos de nuestros buques, uno mandado por el capitán Warrington,y otro por el de igual grado Blakely, han apresado dos buques in gleses de la misma fuerza que los suyos, con un valor y una habilidad que les da justos derechos á los elogios de su patria.__ En desquite de las fuer zas navales que el enemigo ha acumulado en…</t>
  </si>
  <si>
    <t>Warthausen, Juan Felipe de Stadiorí Thannhausen y</t>
  </si>
  <si>
    <t>Juan Felipe de Stadiorí Thannhausen y Warthausen</t>
  </si>
  <si>
    <t>…de Wirtemberg, y de otras muchas; gentilhombre, consejero írttr-i rao actual, ministro de Estado, de las Conferencias y de Negocios extran jeros de S. M. I. y R. Apostólica; y el conde Juan Felipe de Stadiorí Thannhausen y Warthausen, caballero del Toyson de oro, gran cruz de la orden de S. Esteban, caballero de las órdenes de S. Andrés, de S. AJexandro Newsky y de Sta. Ana de la primera clase, caballero gran cruz de las órdenes del Aguila Negra y del Aguila Roxa de Prusia; gentilhombre*…</t>
  </si>
  <si>
    <t>Waterstorff</t>
  </si>
  <si>
    <t>…con la mayor satisfacción, que estaban restablecidas las relaciones de paz y de buena amistad entre los dos estados y gobiernos; y en consecuencia ha mandado entregar al veniente general Waterstorff ¡as cre denciales necesarias en calidad de su ministro cerca de la corte de Francia. Ademas ha mandado S. M. que las disposiciones tomadas "según orden de 24 de Febrero contra los súbditos franceses y sus pr.opiedades .se tengampor revocadas, y que desde ahor…</t>
  </si>
  <si>
    <t>Wattenwill</t>
  </si>
  <si>
    <t>…ue el exército aliado de 160® hombres entraría en la Suiza en la noche del 20 al 24 por Basilea, Rheinfelden y Stein. Herrenschwand pidió tiempo para comunicarlo al landamman y al general Wattenwill, Los batallones suizos se retiraron los unos cer ca de Soleure, y los otros sobre Lentzburgo, adonde desde Arau se había replegado el quartel general. El 25 llegaron á Berna 10$ aliados, la ma yor parte de caballería austríaca, y otras dos columnas se dirigía…</t>
  </si>
  <si>
    <t>Watzdorf'ayo</t>
  </si>
  <si>
    <t>…Viena pidiendo á su Rey. E* principe Maximiliano, que es el hermano mas joven del rey de Sa xonia , permanece en Praga con su esposa. El rey de Saxonia ha nombrado últimamente al general Watzdorf'ayo de los hijos del príncipe Maximiliano. ' El general Bismark, nuevo comandante de Leipsick, hace quanto está de su parte para ser estimado de aquel vecindario; no solo ha mandado que toddS las tropas prusianas que forin.n en ei dia la guarnición de Leipsick fu…</t>
  </si>
  <si>
    <t>Weiiingtpn</t>
  </si>
  <si>
    <t>…ado de Fulda, y que hará una permuta de él con el elector de Hesse por el condado de tíanau. GRAN BRETAÑA. Londres 25 de Junio. • ' » * • ' • ■ - V l ' ) Al momento que desembarcó lord Weiiingtpn se.propuso, entre la mu-; chedumbre que se hallaba presente llevarle en triunfo á la posada *. ?efectiva-** mente los marineros tomaron en hombros á S» E., y le condüxerón en me-, dio de las mas vivas aclamaciones de un inmenso gentío.- ■ . k . Mr. Wynne, not…</t>
  </si>
  <si>
    <t>Weílington</t>
  </si>
  <si>
    <t>…dos de 300 españoles que vienen del Norte, y se les ha destinado, según dicen, á Galicia. El dia 8 hizo Soult un pequeño movimiento con las tropas de la línea, al mismo tiempo que lord Weílington lo executó con las suyas: Arispe se halla en los contornos de S. Juan de Luz, hacia donde hay continuamente fuego, por lo mucho que se arriman los Voluntarios de Navarra á ecáramucear c&lt; n el paisanage. El 9 y aun el 10 por la mañana hubo algún fue go hacia O…</t>
  </si>
  <si>
    <t>Weilington</t>
  </si>
  <si>
    <t>…e Lisboa con 330 personas, naufragó ei* la barra de Falmouth, y soló se libertaron no personas. Todos los oficiales que hay en Inglaterra con licencia, y pertenecen al exército de lord Weilington, tienen orden de trasladarse inmediatamente á dicho exército. Hablase de que el general GzernicheíF se resolvía á atravesar con 3® cosacos los departamentos meridionales de Francia para ir á reunirse con los exércitos de la Península; pero es de presumir que…</t>
  </si>
  <si>
    <t>…a fecha lo que sigue: ,,Por resultas de las providencias tomadas en los puertos de Vizcaya y Guipúzcoa para precaver el contagio que se supone hay en Santander, ha representado el lord Weílington, por medio del señor embaxador de S. M. británica, que se halla en el caso preciso de retirar el ejército aliado de la posición que ocupa, si no se levanta la quarentena que se ha impuesto á to dos los buques procedentes de Santander. Efectivamente siendo San…</t>
  </si>
  <si>
    <t>Welb, Juan</t>
  </si>
  <si>
    <t>Juan Welb</t>
  </si>
  <si>
    <t>…odos mis de seos * pues eñ la noche las dignas compañías de minadores y* primera de za padores del sexto batallón, dirigidos por el capitán de ingenieros de estado mayor británico D. Juan Welb , cuya intrepidez está en paralelo con su¿ conocimieijtos, trabajaron á la zapa volante los dos ramales tan&lt;dilatados co mo precisos para llegar á la estacada y cresta del camino cubierto} lo que nos proporcionó cubrir nuestras tropas en trinchera, y acallar…</t>
  </si>
  <si>
    <t>Welíin</t>
  </si>
  <si>
    <t>…tidas veces por la salud del Rey, por el Sto. Padre y la religión; por la patria; por los dignos defensores de ella; por los Soberanos aliados y su perpetua unión; por el inmortal lord Welíin gton y nuestros generales y exércitos &amp;c., y se dio fin á tan dicho so día c/oa un bayJe particular en la casa del mismo intendente. Madrid 13 de Jimio. E! día i.® del corriente mes de Junio el Rey nuestro Señor, acompa ñado de SS. A A. los Sres. Infantes, de…</t>
  </si>
  <si>
    <t>Weliington</t>
  </si>
  <si>
    <t>…y me moria de otra iluminación ojie haya sido ni mas general ni mas ostentosa que esta. Entre la multitud de edificios ricamente adornados é iluminados, sobre saltan las casas dei lord Weliington y del embaxador de Rusia. En la del marques Wellesley competían el número prodigioso de luces con el buen gusto con que estaba adornada. En medio de la fachada se veia formado de luces un templo* en cuyo centro estaban las armas de Francia. Idem 79. S. M. Lui…</t>
  </si>
  <si>
    <t>Welíington</t>
  </si>
  <si>
    <t>…dos, y juntamente un nuevo siste— tna- de gobierno, en virtud del qual se dice á continuación que el duque de Dalaiacia ha comisionado á su gefe de estado mayor para tratar con el lord Welíington, y al general Lamarque para tratar con el general Copóns. Estas grandes noticias han excitado en tddo el pueblo una general ale gría y las mas alhagüeñas satisfacciones. Taragoza j de Mayo. Ayer se solemnizo el aniversario de las victimas del Dos de Mayo en e…</t>
  </si>
  <si>
    <t>Welling</t>
  </si>
  <si>
    <t>…nto tan deseado, en que todas las naciones de «Europa han recobrado su independencia: la Inglaterra se complace en re« conocer que os debe su prosperidad , su gloria y la paz.” El lord Welling ton contestó: estoy tan agradecido á las honras que me dispensa la Cáma«ra, que me faltan palabras con que expresar mi reconocimiento. Quando «considero las inmensas fuerzas que el Príncipe Regente ha puesto át mi dis«posieion, el valor y los conocimientos de…</t>
  </si>
  <si>
    <t>Wellington</t>
  </si>
  <si>
    <t>…milia cesa remos de hacer los mayores esfuerzos para obtener y asegurar vuestra inde&gt;endencia, y promover vuestro bien y prosperidad. Mi hijo mayor, que á fas órdenes del inmortal lord Wellington ha probado que no desmerece el renombre de sus antepasados , se halla ya en camino para venir á mi Jado. Queridos compatriotas: unios de corazón conmigo, y nuestro país volverá á florecer como en otro tiempo , y podremos trasmitir intacta á la posteri dad aqu…</t>
  </si>
  <si>
    <t>…(Siguen las firmas.) ^RANCIA. Samppé 26 de Enero. De Bayona se han dirigido dos divisiones á París, y se ignora con qué objeto. Se asegura que de resultas de esia novedad ha hecho lord Wellington movimiento hacia Bayona. Desde el 24 se ha oido mucho fuego de canon cerca de esta plaza, y se espera que á estas horas ocupen las tropas aliadas parte 6 el todo de las líneas enemigas que se comunicaban con el pueblo. ESPAÑA. México 27 de Agosto de 18 jg. La…</t>
  </si>
  <si>
    <t>…en destacar partidas al camino de Gex á S. Claudio para asegu rar el paso del Jura, y también patrullas desde Martigny al Simplón y á las montañas de S. Bernardo.” El exército de lord Wellington recibirá antes de un mes un refuerzo de 15® hombres de tropas inglesas, y el de sir Tomas Gsaham se-aumentará con 5©. i. S. A. R. el duque de Angulema partió dias pasados para el contenente. El duque de Berri debía partir el 25, y el ilustre padre de estos do…</t>
  </si>
  <si>
    <t>…allería, de los quales 14® son conscrip tos.-En Bayona se calculan sobre 6® hombres: Reylle es gobernador de la plaza , y Thouvenot manda las tropas que se hallan fuera de ella. &gt; lord Wellington y las tropas inglesas se han puesto en movimiento, di rigiéndose por Uztariz: su objeto se cree ser el arrojar á Arispe de Baygorri, desde cuyo punto no dexa de incomodar bastante. Se están esperando dos divisiones españolas, y se conjetura que tanto dichas d…</t>
  </si>
  <si>
    <t>…para colocar la art Hería luego que el tiempo permita su llegada. Entonces nos apoderaremos pronto de la plaza , que es muy débil. Idem 28. El exército combinado, á las órdenes de lord Wellington, se puso en mo vimiento desde Ay re y Barcelonne, dirigiéndose por el camino de Toiosa., sin saberse hasta ahora el objeto ni el término de dicho movimiento. Se asegura que han desembarcado en Burdeos algunos rusos. ARTICULO DE OFICIO. Habiendo determinado S.…</t>
  </si>
  <si>
    <t>…dad.’ Soult había ido abandonando el terreno sin disputarlo mucho; ,pero se creía que sin exponer una batalla no abandonaría á Tolosa, de donde el dia i.° de Abril solo distaba el lord Wellington una legua. De Bayona no se sabe cosa alguna particular mas que se continuaba trabajando en la trinchera con mucha actividad, y que de quando en quando se esca paban de la plaza algunos desertores. - , 1 • - 1 ' . Oyarzung de Abr iL 30 Carece que el lord Welli…</t>
  </si>
  <si>
    <t>…cia. = P. D. La sus pensión de hostilidades que se propone será también común al señor duque dé la Albufera y Á las* tropas que están baxo sus órdenes. == A S. E. el feld mariscal lord Wellington. Condiciones baxo de las quales tendrá lugar la suspensión de armas én tre •’l exército aliadu que manda el s ñor marques de WHUngt m y las tropa r francesas que ocupan el departamento jdel Tarn y Garona á las ; Órdenes dei general, Loberdó. Articulo i.° El l…</t>
  </si>
  <si>
    <t>…les se repetían las aclamaciones de viva el Rey% vivan los Morlones y viva el lordCWellington. A las 10 de la noche se dió principio al baylé en el Capitolio. A las 11 se presentó lord Wellington con todo su estado mayor, y multitud de generales y oficiales de los exercitos aliados. Fue recibido, entre mif vivas, por el maire y por la diputa ción de la municipalidad. Principió un brillante concierto, siguió la cena y después el bayle, que concluyó á l…</t>
  </si>
  <si>
    <t>…ara siempre de la memoria las discordias civiles, y exclamemos todos con voz unánime viva el rey, viva Luis xvm. Idem 2 j. Hoy han sido admitidos á una audiencia del feld-mariscal lord Wellington, el rector y demás individuos de la academia de Tolosa, y aquel le di rigióla, siguiente arenga.' . ; ,, El rector y miembros principales de la academia vienen á pagar á’ V. É. el tributo de sus respetos y veneración. „No os molestaremos con la narración de v…</t>
  </si>
  <si>
    <t>…ento y admiración. - *■ , Levántóse la sesión entre los gritos repetidos de viva el Rey, viva la familia real. -.i: Los festejos que esta ciudad hizo el sábado último en honor del lord Wellington ofreció á sus habitantes una ocasión oportuna de manifestar los sentimientos que le animan hacia su ilustre libertador, y hacia la augusta familia, cuyo triunfo ha auxiliado tan poderosamente e5.te¡ilustre guerrero. En ninguna ocasión tal vez se ha manifestad…</t>
  </si>
  <si>
    <t>…por el Maire , los asesores é ind ividuos del ayuntamiento fué conducido á la sala del trono entre los aplausos de los concurrentes, y las aclamaciones mil veces repetidas de viva lord Wellington, viva el Rey. La presencia del Turena británico, el gozo y complacencia que estaban representados en su semblante, los afectos de que se je veía poseído, y que expresaba con las mas afectuosas demostracio nes, excitaron por largo tiempo en todos los concurren…</t>
  </si>
  <si>
    <t>…s. Se están equipando en Portsmouth muchas embarcaciones de transporte, que han de ir á Burdeos para conducir, de allí á Améripa un número consi derable de tropas de) exército del lord Wellington. Los ministros de S. M. entregaron ayer á lás dos^ cámaras del parlamen to copias de los tratados de unión y de subsidios concluidos á principios del mes de Marzo entre S. M. B., y SS. MM, los emperadores de, Rusia y Aus tria y eí Rey de Prusia, así como el c…</t>
  </si>
  <si>
    <t>…4. A las diez de la noche. = Excmo. Sr.=Ciriace de Ltanv.zz, Excmo. Sr. virey D. Félix María Calleja del Rey. Madrid 2£ de May, Ayer tarde entró en esta capital el héroe británico lord Wellington en tre los vivas y aclamaciones de un pueblo reconocido, que jamas olvidará los inestimables beneficios que debe al ilustre vencedor de los Arapiles y de Vitoria. Desde fuera de la puerta de Alcalá por donde debia entrar S. E. hasta la plaza de Palacio estaba…</t>
  </si>
  <si>
    <t>…rle una caxa de medallas acuñadas en perpetua memoria del señalado triunfo conse guido en los campos de Vitoria el 21 de Junio de-1813 , y en testimonio de la gratitud española al lord Wellington, duque de Ciudad^Rodrigo, di■ciéndoíe: '¡■■■■'*.■ ■ V’ „ Señor : llegó finalmente el para mí tan "deseado día en que tengo el ho nor de poner en las benéficas manos de V. M. las medallas que recuerdan el glorioso triunfo á que debemos la dulce libertad de V.…</t>
  </si>
  <si>
    <t>…llegar á esta capital el rey de Prusia: viene como un particular, y todo el tiempo que permanezca aquí se titulará conde de Reppin, Calais 23 de Junto. Ayer mañana llegó á Boloña lord Wellington, é inmediatamente se fcí zo á la vela para trasladarse á Inglaterra en un buque armado, que le es peraba eñ la rada. Ayer salieron de este puerto para Douvres tres paquebotes, que con ducen gran numero de pasageros, entre los quales se cuentan muchos ofi cial…</t>
  </si>
  <si>
    <t>…a-** mente los marineros tomaron en hombros á S» E., y le condüxerón en me-, dio de las mas vivas aclamaciones de un inmenso gentío.- ■ . k . Mr. Wynne, noticioso de la llegada de lord Wellington, dixo en la Cá mara de los Comunes que deseaba saber de los ministros lo que pensaban proponer á la Cámara- para hacer á ^ste gran jgéneríal lqs honores, que le "son debidos: igualmente deseaba saber si conforme al uso adoptado en todos tiempos aíconcluirse i…</t>
  </si>
  <si>
    <t>…lo había elevado á la dignidad de Par. Leyéronse por su» orden todos sus títulos, empezando por el de ba rón del Duero y de vizconde de Talavera, y llegando por su orden á los de lord Wellington, marques de-Duero, marques de Wellington y du.jue de Wellington: después de esto, habiendo prestado el juramento prescripto, tomó Sv E. asiento entre sus ilustres colegas en ej banco ducal; y en se guida el lord canciller le dirigió la acción de gracias dé la…</t>
  </si>
  <si>
    <t>…ombre de la Rey na madre unas 200 esquelas de convite para asistir al palacio de S. M. el dia en q.ue después de su llegada á Inglaterra debía presentarse en éí por primera vez el lord Wellington. Tanto la Reyna como los demas individuos de ía real familia recibieron al ilustre lord con las1 muestras mas expresivas de afecto. Los generales Btucber y Plátow lo abrazaron estrechamente. El sábado último estuvo este ilustre general á visitar al mariscal p…</t>
  </si>
  <si>
    <t>…compras y ventas habían puesto en circulación pedazos de estaño, á los quales habían fixado un valor nominal y arbitrario. / La gaceta ministerial publicó ayer el nombramiento del lord Wellington para la embaxada de Francia, y el del honorable lord Fitzroy Somerset para secretario de esta misma embaxada. La comida que esta ciudad piensa dar al lord Wellington será igual á la que esta misma corporación dió en estos últimos dias á los soberanos extrange…</t>
  </si>
  <si>
    <t>…eros días de Julio. La coronación de SS. MM. se verificará, según se dice, el 3 de Agosto en Friedrichsberg. GRAN BRETAÑA. Londres C de Julio. Una parte del exército del mando del lord Wellington debe acantonar se en los Plises Baxos; y en el dia hay aquí das comisionados que han ve nido á tratar con nuestro gobierno sobre la organización de la fuerza arma da que ha de haber en aquel pais. Se acaba de publicar aqui una razón de las municiones de guerr…</t>
  </si>
  <si>
    <t>…e los Estados-Unidos hasta 19 fragatas. Un número considerable de señoras, amantes de las glorias de su patria, han abierto una subscripción con el objeto de erigir una estatua al lord Wellington. Este monumento, que la gratitud y reconocimiento del bello se xo erige á la memoria del héroe británico, debe colocarse en el lugar mas elevado de Green-Park. Lady Spencer es la ilustre dama á quien se debe el primer pensamiento de este proyecto. Acabamos de…</t>
  </si>
  <si>
    <t>…de sus parientes ó amigos. Solo se sabe que se volaron mas de 140 quintales de pólvora. GRAN BRETAÑA. Londres 18 de Julio. El o del corriente fué el día en que esta ciudad dio al lord Wellington el magnífico banquete á que le habla convidado. La comida fué muy esplén dida, abundante y delicada, y se sirvió con el. mismo aPa™t°y magnifícen la que la que anteriormente se dio en obsequio de S. A, R. el Principe Re gente y de SS. MM. el emperador de Rusi…</t>
  </si>
  <si>
    <t>Welliogtcn</t>
  </si>
  <si>
    <t>…s respectivos le han firmado y se llado. Fecho en París á 23 de Abril de 1814. Tolos a 24 de Abril. El 21 de este mes se dio en esta ciudad una magnífica función para ob sequiar á lord Welliogtcn , en la qual manifestaron aquellos habitantes su alegría con una exaltación y entusiasmo de que no hay exemplo. Por la pri mera vez se han visto reunidos al rededor del edificio denominado el Capi tolio, individuos de quatro diferentes naciones, armados antes…</t>
  </si>
  <si>
    <t>Welliugtoa-cfia</t>
  </si>
  <si>
    <t>…tinuaba trabajando en la trinchera con mucha actividad, y que de quando en quando se esca paban de la plaza algunos desertores. - , 1 • - 1 ' . Oyarzung de Abr iL 30 Carece que el lord Welliugtoa-cfia ^escrito á S. A; el duque de Angule</t>
  </si>
  <si>
    <t>Wells, Juan</t>
  </si>
  <si>
    <t>Juan Wells</t>
  </si>
  <si>
    <t>…tarios de Leou el teniente D. Eusebio Rodríguez», muer te sentida,por su coronel y todos sus compañeros de la brigada, é igual mente fue contuso el capitán de ingenieros británico D. Juan Wells, oficial cuya asistencia tne es muy útil por los conocimientos de su profesión y de este terreno. „ Durante todas estas ocurrencias los comandantes generales de la iz quierda y derecha del bloqueo D. Juan José San Llórente y D.. Manuel Gamindez han sabido con…</t>
  </si>
  <si>
    <t>Welzaminojj</t>
  </si>
  <si>
    <t>…a cedido á la superioridad delnumero. = Alexandro Macdonaid , mayor generai de ia artillería A caballo.” Capitulación firmada entre SS. EE. el teniente general Berozdin , el mayor general Welzaminojj y los coroneUs ingenieros Monfredi y Pitllet, autorizados con los correspondientes poderes por S. A. R. el du que de Wurtemberg, comandante en gefe de lasf tropas empleadas en el sitio de Dantzick por una parte, y por la otra el conde de lleúde le? , general…</t>
  </si>
  <si>
    <t>Wemmer</t>
  </si>
  <si>
    <t>…del mismo modo-----Tengo la honra &amp;c. Friburgo (en el Brisgau) 6 de Enero de 1814.= Cathcarti TRADUCCION DEL BOLETIN. Quartel general de Altlkirch 4 de Enero de 1814. ,,El'capitán barón Wemmer llegó ayer con oficios del teniente feld-marifcal conde de Bubna anunciando la;toma de la ciudad de Ginebra. Quando las tropas llegaron á tiro «de canon, el conde de Bubna fue sabedor de que tenían ánimo de entregar la plaza. Sin^embargo,, las columnas estaba…</t>
  </si>
  <si>
    <t>Wetterstedt, Gustavo do</t>
  </si>
  <si>
    <t>Gustavo do Wetterstedt</t>
  </si>
  <si>
    <t>…entre sus estados, nombraron á este fin, y pa ra que esta paz se establezca sobre bases de segura duración, á los siguien tes plenipotenciarios, á saber: S. M. el rey de Suecia al barón Gustavo do Wetterstedt, canciller de la corte, comendador de ja orden de la Estrella Polar, caballero del Aguila roxa prusiana dé la primera clase, y socio de U academia de.Suecia; y S. M. el rey de Dinamarca á Mr. Edmundo de Bourke, gran cruz de la orden de Dannebrog y caballero d…</t>
  </si>
  <si>
    <t>Whitinghan, Santiago</t>
  </si>
  <si>
    <t>Santiago Whitinghan</t>
  </si>
  <si>
    <t>…iciembre. Observamos con gusto que se reúnen en esta capital diferentes cuerpos de hermosa caballería, que hacen parte de lá numerosa división'de brpropiaarma, á las órdenes de su general D. Santiago Whitinghan. El lucimiento y arro gancia de los caballos, la bizarría de las tropas, su aspecto marcial y guer rero , y la excelente disciplina, baxo la qual están formadas, nos dan las mas lisonjeras esperanzas de que, qu árido la oportunidad las traslade al campo de ba…</t>
  </si>
  <si>
    <t>Whyte</t>
  </si>
  <si>
    <t>…la isla de Thoulen, la qual hubiera impedido que los buques subiesen hasta Keelan. El enemigo no se empeñó en su defensa, sino que huyó; pero esto no desmerece al valor con que el teniente Whyte, los oficiales y soldados se encaminaron al ataque. Tengo el honor &amp;c. — Young. A bordo del Horacio, delante de Zuider-zee, d 10 de diciembre de i8rg. ,, Una densa niebla, que impidió ayer dar la vela al Tickler, me pro porciona la ocasión de comunicar á V. l…</t>
  </si>
  <si>
    <t>Wiikinson</t>
  </si>
  <si>
    <t>…jEl teniente general sir Jorge Prevost ha remitido al (onde Bathurst el ofi cio siguiente desde s-w aitar til general de da China á ií de Noviembre %¡ í timo. jjVílord7: el mayor general Wiikinson partió de ía isla Grenadier en el lago Ontario el 30 del mes pasado ; se embarcó con 10© hombres en buques pequeños, ybaxó á S. Lorenzo con el fin de cooperar con el mayor general</t>
  </si>
  <si>
    <t>…s el dia 13» y atra vesaron los ríos S. Regis y Salmón, no dexando un solo hombre en nuestro territorio, excepto los que quedaron prisioneros. „No está determinado aun si el mayor general Wiikinson resuelve seguir su primitiva intención de ir en las embarcaciones pequeuas, desae el río Sal* mon á Montreal, ó unir sus tropas á las del mayor general Harapton, y avanzar á la provincia por ei camino de Chateaugay o de Odel. ^ „ El mayor general Hampton reci…</t>
  </si>
  <si>
    <t>…rado á Harburgo , Burlington y Plasttburgo. La retaguardia enemiga su frió una pérdida considerable, y se le tomaron muchas municiones, víveres 8cc.; sin embargo ei 30 de Marzo el general Wiikinson se adelantó nuevamente coa bastantes fuerzas para tomar las posiciones de nuestras tra pas: después de muchos ataques infructuosos el enemigo se retiró, habiendo sufrido una pérdida considerable; asi (añade sir Jorge Prevost) la quarta tentativa del enemigo p…</t>
  </si>
  <si>
    <t>Wiitgenstein</t>
  </si>
  <si>
    <t>…n por su parte ha apoyado este llamamiento, recor dando á los saboyanos el ejemplo de España, de Alemania y de Holanda». SUIZA. Bii site a 2 &amp; de Enero,. Orden del dia del general conde Wiitgenstein. d su exército desde Rasrtadt el 1? de Enero. * Soldados: el Todopoderoso ha hecho que se cumplan nuestros: ardien tes votos. La Alemania está ya libre : nuestras banderas tremolan ya en territorio francés; y el enemigo * acosado por todos lados* busca asilo…</t>
  </si>
  <si>
    <t>Wimpffen, Luis</t>
  </si>
  <si>
    <t>Luis Wimpffen</t>
  </si>
  <si>
    <t>…isco An tonio González, bibliotecario de S. M., tuvo el honor de felicitar á S. A. la Regencia de las Españas el domingo 16 del corriente. ARTICULO DE OFICIO. El mariscal de campo D. Luis Wimpffen, gefe del estado mayor gene ral de campaña, comunicó en 18 de Abril de 181*3 á los exércitos naciona les lo siguiente: Orden general de los exércitos nacionales del 18 de Abril de 1815. vEl Excmo.'Sr. general en gefe de los exércitos españoles ha sabido que e…</t>
  </si>
  <si>
    <t>…des motivos de estar satisfecho del auxilio que me han prestado el quartelmaestre general, el ayudante general y oficiales de ambos departamentos , del de los mariscales de campo D. Luis Wimpffen y D. Miguel de Alava, y de los oficiales del Estado mayor español. Remito áV. E. este parte por medio del teniente coronel D. Juan Morales, del Estado mayor de campaña, á quien ruego á V. E. lo recomiende á la protección del Gobierno. Acompa so á V. E. el parte que me ha pasado e…</t>
  </si>
  <si>
    <t>WimpfFen, Luis</t>
  </si>
  <si>
    <t>Luis WimpfFen</t>
  </si>
  <si>
    <t>…upa todavía en.España, han nombrado á Jos infrascritos para dicho efecto, á saber: por parte del marques de Wellington al mayor ge neral sir George Murray*, y al mariscal de campo.D. Luis WimpfFen ; y por pane del duque de la Albufera al coronel Ricard, ayudante comandan^ te. Estos oficiales', después de haber: cangeado mutuamente sus, respectivos poderes, han convenido en los siguientes artículos:; articulo i.° La báse establecida en el convenio de ay…</t>
  </si>
  <si>
    <t>Wimpifen, Luis</t>
  </si>
  <si>
    <t>Luis Wimpifen</t>
  </si>
  <si>
    <t>…éla Albufera al teniente general conde de Gazan, a cíe de estado mayor ge-* neral del exército de E paña; y S. E. el marque de vVellinaton á lo maris cales de campo Dw J. Murray y D. Luis Wimpifen , los que después de haber cangeado sus respectivos apoderes, han c- nvenido en los artículos sigi:ienfes:^ artigvlo i.° Desde el dia de hoy habrá suspensión de armas v d, hos tilidades entre los exércitos franceses mandados por SS. EE. los m«n c^les duque de…</t>
  </si>
  <si>
    <t>Wimpífen, Luis</t>
  </si>
  <si>
    <t>Luis Wimpífen</t>
  </si>
  <si>
    <t>…s efe los exércitos, formación de planos, descripciones topográficas y demas con cerniente á estos puntos; para cuya operación nombra S„ M. por la infan tería al mariscal de campo D. Luis Wimpífen, segundo gefe que ha sido del estado mayor general abolido : por la caballería al brigadier D. Anto nio Cea: por ingenieros al de igual clase D. Antonio Eenayides; y por arti llería al mariscal de campo conde de Casasarria; y finalmente que en los exércitos p…</t>
  </si>
  <si>
    <t>Winder</t>
  </si>
  <si>
    <t>…eron tiempo para salvar algunos de sus papeles particulares, viéndose obligados á abandonar á la suerte ios de las oficinas publicas, y refugiarse precipitadamente al exército del general Winder, en el qual se hallan. ESPAÑA. Bilbao jo de Setiembre. Deseando el ayuntamiento de esta villa honrar la memoria de los ilus tres españoles que por defenderla de las armas francesas perdieron sus vidas el 16 de Agosto de 1808, y especialmente la del valeroso o…</t>
  </si>
  <si>
    <t>Winzingerodc</t>
  </si>
  <si>
    <t>…generales Sachen y York. Parte del cuerpo del general Winzingerode había tomado por asalto á Soissons (18 leguas de París) , cogien do á dos generales con cerca de 3© hombres. El general Winzingerodc es taba en Rheiins: los condes Langeron y St. Priest avanzaban rápidamente para unirse al mariscal Blucher, cuyo exército debía reunirse prontamente en Chalons para volver á tomar la ofensiva. Lord Burgersh participa desde Troyes, con.fecha de 13 y 16 de este…</t>
  </si>
  <si>
    <t>Winzingerode</t>
  </si>
  <si>
    <t>…Emperadores tenían su quartel general en Francfort. El Príncipe Real de Suecia, con 49® rusos, prusianos y suecos, había salido de B remen con dirección á Holanda. El. cuerpo del general Winzingerode había entrado ya en Holanda. El general Bulow estaba entre Munster y Arnhein. El cuerpo del general Bennigsen, y el general \Valmoden con los hanlioverianos, y el general Adlerkreuth con los suecos marchaban á Hamburgo contra Davoust y los dinamarqueses. Las…</t>
  </si>
  <si>
    <t>…as con grandes muestras de contento. La fortaleza de Zutphen ha sido tomada por los destacamentos de los mayores Standart y Muller. En ella se hicieron 300 prisioneros. El general barón Winzingerode tiene su quartel general en Bremen: una parte de Holanda está ya ocupada por los destacamentos de su exército. Apenas supieron su llegada los habitantes de Amsterdam, formaron una Regencia, compuesta de hombres conocidos por su energía y patriotismo___ El paí…</t>
  </si>
  <si>
    <t>'5'8 ' El mayor Márklay, con Tin destacamento perteneciente á la vanguardia del general Winzingerode, entro en Amsterdam el 24 de noviembre entre Jas aclamaciones de los habitantes, y !e siguió el general Benkendorf. El 27 de noviembre el general Gagarin con 300 cosacos desmontados atacó la guarnición1 de Deventer, que había salido de la plaza con el objeto…</t>
  </si>
  <si>
    <t>…otal de fuerzas á disposición del príncipe real de Suecia, incluso el cuerpo del general Bennigsen de 25® hombres, asciende á 100®; de éstos 18® están ya en Holanda: el cuerpo del;general Winzingerode de 35® se halla distribuido del modo siguiente: 18® en Holanda, 9®, al mando del conde Strogonof, delante de Harburgo,vy 8® del conde Woronzoff en el Hplstein. Los saxones ya armados llegan á 10©: los mandad general Thielman, y van á Bremen. Se están discipli…</t>
  </si>
  <si>
    <t>…f: el conde de Mecklenburgo seguirájal exército sueco. Luego que el conde Strogonoff sea reemplazado en Harburgo por la legión germanofusáj deberá marchar al Rhin para reunirse al general Winzingerode. El conde</t>
  </si>
  <si>
    <t>…sarias, esperarnos ver alli tremolar la bandera de Orange. Arnheim 23 de Diciembre. La vanguardia del cuerpo ruso que está en nuestras fronteras, y que se cree será mandada por el general Winzingerode, llegó ya á estas inmedia ciones. Entre Rees y Westervoot, á lo largo de la orilla del Rhin, hay va rios regimientos de cosacos; y en Enmerick está el quartel general del prín cipe Narischkin, á. cuy as órdenes se hallan algunos de^cam.entqs. Los franceses ha…</t>
  </si>
  <si>
    <t>…la artiHería, en que Blucher le era superior. El feld-mariscal Blueher se retiró después á Chalons ¿ donde se le reunie ron el 16 los generales Sachen y York. Parte del cuerpo del general Winzingerode había tomado por asalto á Soissons (18 leguas de París) , cogien do á dos generales con cerca de 3© hombres. El general Winzingerodc es taba en Rheiins: los condes Langeron y St. Priest avanzaban rápidamente para unirse al mariscal Blucher, cuyo exército debí…</t>
  </si>
  <si>
    <t>Winzingerodé</t>
  </si>
  <si>
    <t>…ARZO DE 1814. HOLANDA. • I ' Amsterdan 24 de Febrero. El barón de Bousshe, teniente coronel al servicio dél emperador de Ru sia, pasó el ri de este mes por Líeja despachado por el general Winzingerodé para llevar al príneipe de Suecia las llaves de Mons, de Rhéiins y de la' fortaleza de Avennes. Se han encóntrado en esta última plaza 16 cañones de bronce ¿ y muchas armas y municiones. En todos los pueblos reciben a las tropas aliadas Gon mucho regocijo, ll…</t>
  </si>
  <si>
    <t>…iesa. Hemos oido que el mariscal Macdonald va retirándose con unas 100 piezas de artillería, tiradas en la mayor parte por caballos de labranza, y hay esperanzas de alcanzarle. El general Winzingerode que, según oímos, avanzaban esta dirección hace algunos dias, ha retrocedido hacia el Bra bante: es probable que haya recibido órdenes para reunirse con el príncipe real de Suecia , quien, según los últimos periódicos de Francfort, venia mar chando hacia el R…</t>
  </si>
  <si>
    <t>…estos movimientos en el ala derecha y el centro del exército, sé supone que el príncipe real marchará á Charleville y G vet para internarse desde allí; en Champaña. El cuerpo dél general Winzingerode r que forma parte del exército del príncipe real y I ésta ya en las inmediaciones de Séissoris, y destaca d&amp;i cosácoS llastá- el palacio de Villers-Coterets, que pertenecía antes al diiqúé de Orleans. ■ &gt;' ; ' Un destacamento del tercer cuerpo aleman/ córiipu…</t>
  </si>
  <si>
    <t>…os del exército, el feld-mariscal Blucher resolvió marchar allá , habiendo recibido avLo durante la batalla de que los generales York y Saken habían durado en ftheims, y dé que el general Winzingerode esta ba á una ó dos marchas de aquella ciudad Reunido de este modo todo el exército de Silesia, podrá en breve avanzar contra el enemigo con aquella ccnfiarza de buen éxito, que da la superioridad y la unión. Quaitel general de Chalons 15 de Febrero. Quedo &amp;c…</t>
  </si>
  <si>
    <t>…echó á la otra parte del Marne; y habiendo enviado sus tropas ligeras á Meaux, ^Marmont rezeloso abandonó á Ferte-sous-Jouarre. El mariscal Blucher esta ba en comunicación con el general Winzingerode, y el general Bulow avan zaba á reunírsele. El mariscal Mortier se había reunido á Marmont, y sus fuerzas juntas formaban un total de 16 á 20® hombres. Durante estas operaciones, Bonaparte habia intentado forzar las posicio nes del Aube: sus tropas habían ocu…</t>
  </si>
  <si>
    <t>…4 65© caballos, y una cantidad considerable de artillería. Por carta de un oficial de una partida residente en Moráis, escrita ayer, se sabe que el general Nariskin del cuerpo del general Winzingerode ocu pa á Epernay, y ha extendido algunas patrullas hasta Dormans. La misma carta dice que se esperaba en Rheims aquel dia ó el siguiente el cuerpo del general Woronzoflf, y que también se creía que estuviese cerca el general Bulow. La ciudad de Soissons fue o…</t>
  </si>
  <si>
    <t>…visos que se reciban esta noche. Entre tanto se ha sabido que los generales Wihzingerode y Bulow estaban para reunirse, y es regular que lo hayan verifi cado cerca de Sóissons. El general Winzingerode ha destacado 2© caballos hácia Arcis del Aube. „La vangua/día del general Sacken ha ocupado los arrabales de Meaux en la orilla izquierda del rio. Se dice que el enemigo ha abandonado la ori lla opuesta, y que el general Sacken tiene ahora su quartei general…</t>
  </si>
  <si>
    <t>…rno ha recibido noticias de oficio de Laon el 28 de Febrero, y de Soissons el 4 de Mtrzo. El cuerpo del mariscal Marmont fué atacado y re chazado el 25 de Febrero. El exército del general Winzingerode se puso en marcha desde Rheims siguiendo la orilla del Aisnet el general Bulow entró én Laon el i.° de este mes, y ocupó á Soissons el 3. La guarnición,francesa de 1400 hombres capituló, y se le ha permitido retirarse a Villers Cotteretsj los prusianos han co…</t>
  </si>
  <si>
    <t>…to grande con el del maris cal Blucher quedó cortada la comunicación entre el exército francés y Pa rís. Los movimientos de Bonaparte fueron seguidos de cerca, y observados por el general Winzingerode al frente de 40® caballos." Idem 1 z. Esperamos aquí al rey de Francia, que debe embarcarse en Deptford. para dirigirse á Dunkerque. S. A. R. la duquesa de Angulema, hija de Luis xvi, viene en compañía del rey. Los condes Bosort de Perigord y Carlos de NoaiHe…</t>
  </si>
  <si>
    <t>Winziogerode</t>
  </si>
  <si>
    <t>…s. El mi nistro del rey de Wurtemberg había cedido el paso al del nuevo rey dé Hannóver, por lo qual el ministro wurtembergues fue reprendido por su Soberano, y reemplazado por el conde Winziogerode, el qual en la primer reunión quiso tomar el paso antes9que el ipinistro de Hannóver, quien pre tendió conservarle. Con este motivo se suscitó inmediatamente una contes tación muy animada; y como cada uno tieríe orden de defender sus dere chos, no ha habido s…</t>
  </si>
  <si>
    <t>Winzlngerode</t>
  </si>
  <si>
    <t>…envió al príncipe real, y este las remitió al emperador Alexandro. El cuerpo del conde Woronzow, que pasó pbc aquí, el Rhin, se dirige igualmente á'Narour para comunicarse con el general Winzlngerode. El. general StrogonolT está pronto á seguirle. La. vanguardia del exército sueco estará el dia 21 en el Rhin, de manera que todo el exército deberá haber pasada este rio antes de concluirse el mes. Las tropas dinamarquesa* siguen eL camino de Dusseldorf, pas…</t>
  </si>
  <si>
    <t>Witingham</t>
  </si>
  <si>
    <t>…diferentes compañías de escopeteros paisanos formadas de los defensores de esta ciu dad, y le acompañaban el gobernador militar, el teniente de rey y demas .gefes de la plaza, el general Witingham con su estado mayor, y otros mu chos personages distinguidos , todos á caballo. S. M. venia acompañado, en el carro triunfal, de S. A. el $r. Infante D. Cárlos y de los generales duque de San Cárlos y D. José de Palatox. . Los triunfos de ios emperadores roma…</t>
  </si>
  <si>
    <t>Witrgenstein</t>
  </si>
  <si>
    <t>…nviado partidas hacia León.__ Se ha destacado un cuerpo de 1© cosacos desde Altkirch á Remirmont, Epinal y Nancy. Es tas tropas llevan orden de reconocer ei valle del Mosela.__ El general Witrgenstein tuvo orden de pasar el Rhin hoy en las inmediaciones de Strasburgo, y marchar con su vanguardia sobre Saverne ; se ha de comuni car por su derecha con el general Blucher, quien habrá pasado aquel rio con una parte de su cuerpo en Oppenheim, y con el resto de…</t>
  </si>
  <si>
    <t>Wittgefiistein</t>
  </si>
  <si>
    <t>general Wittgefiistein dexó las posiciones de Nogent y de Pont del Sena. El enemigp, aprovechándose del aoandono de dichos puntos, avanzó sus cuer pos á St. Hüaire, donde estuvo en posición durante aquel dia. También ha ocupado á Trainel. ¿ En consecuencia de estos movimientos el p…</t>
  </si>
  <si>
    <t>Wittgenstein</t>
  </si>
  <si>
    <t>…l quartel general del feld-maris cal príncipe de Schwartzenberg está en marcha de Alkirchen hacia Montbeiliard con todo el exército austríaco: un destacamento observa á Befort. El conde Wittgenstein pasó ei Rhin cerca del antiguo Fort Luis, y ocupo los dos fuertes de Vauban y Abacia, los quales estaban evacuados. El general Blucher también pasó el Rhin, y está en posesión de Cobíentza. Ei cuerpo rmo de Langeron está enfrente de Maguncia en la ori lla izq…</t>
  </si>
  <si>
    <t>…las tropas del príncipe de Wurtemberg puedan emplearse al frente de esta parte de Langres, y encargar la defensa de su derecha al cuerpo del general Wrede. Lo cosacos que lleva el general Wittgenstein, desde que pasaron el Rhin han tenido bastantes encuentros ventajosos con el enemigo. AI general Rudiger se le encargó que el 7 se apoderase de Wauzenau. El enemigo abandonó la ciudad luego que vio que se aproximaba; pero se situó con 1© infantes y 500 caball…</t>
  </si>
  <si>
    <t>…Wurtemberg, quien inmediatamente marchó á*Bray por Pont del Yone. El dia 9 el conde Plardeg acometió la retaguardia del enemigo en Romilly y Sr. Hilaire; y habiéndosele reunido el general Wittgenstein, in mediatamente la acometió segunda vez cerca de St. Aubin y JVlarnay , y la arrobó hacia Nogent, que fué ocupada en parte por el conde Hardeg. £1 conde Wittgenstein habiendo avanzado hacia el pyehte del Sena, y el general Wrede hacia Bray, el enemigo abando…</t>
  </si>
  <si>
    <t>…os, y los puestos avanzados.de los aliados se dirigieron sobre París. El 18 Bonaparte acometió en Nangis, con un grueso cuerpo de caballería, al cuerpo avanzado de la división del conde Wittgenstein, mandado por el conde Pab len , y le rechazó con una pérdida considerable , tanto en hombres como en artillería. Entonces el príncipe Schwartzenberg hizo retirar su exército al otro lado del Sena. El dia 19 acometió el enemigo por tres veces y furiosamente at…</t>
  </si>
  <si>
    <t>…&amp;c. Quartel general del exército de Silesia en Arcis del Aube 20 de Febrero. =s Loivs. 9.0 Este exército verificó ayer su marcha á Mery. El pueblo estaba ya ocupado por el general conde Wittgenstein , quien había ya observado que el enemigo estaba con algunas fuerzas enfrente de él, entre Charres y Merigni. A b llegada del feld-mariscal Blucher se retiró aquel cuerpo , y esta mañana temprano tomó la dirección de Chandrigny. Apenas habían sido relevados s…</t>
  </si>
  <si>
    <t>…on, donde se reunirá con el cuerpo del genera! Bianchi. Tengo la honra &amp;c. Colombé 26 de Febrero. == Burghersh. P. Z&gt;. El cuerpo del general WVede está hoy en Bar del Aube: el del general Wittgenstein enfrente de Colombé: el general Giulay en Arcembarois, y el cuerpo del príncipe real de Wurtemberg en Montsaons. 3.0 A'yer tuve la honra de participar á V. E. que después de haberse apoderado el enemigo de Bar del Aube, fué reconquistado este, pueblo por el c…</t>
  </si>
  <si>
    <t>El cuerpo del general Wittgenstein estaba reunido enfrente de. Cotombé, según informé á V. E. El príncipe de Schwartzenberg dispuso que es te cuerpo pasase á retaguardia ae la posición que ocupaba el general Wre de para atacar al cuerpo enemigo que se movía hácia Levigni, por la dere cha del g…</t>
  </si>
  <si>
    <t>…den. Los multiplicados ataques de la caballería aumentaron la confusión. Las tropas aliadas entraron en Troyes mezcladas con los enemigos. El cuerpo de exército, á las órdenes del general Wittgenstein, cogió mas de 1© prisio nero?, entre los quales hay 800 hombres de caballería veterana. No sabemos todavía qué trofeos ha cogido al enemigó el general W^rede. Se esperan de esta jornada grandes resultados. El mismo dia 3 en Amadrugada la caballería del conde…</t>
  </si>
  <si>
    <t>…lver la, izquierda del enemigo en la aldea dé Laubressel, y amenazar .su tíomunicacjort con Troyes, dirigiéndose hácia St. Parre. El general Wrede debía aguardar e! movimiento del general Wittgenstein, atacar luego el jpuente de la jGuillotiere, y marchar contra el frente del enemigo.; El principe real-de. Wuttemberg debia atacar al propio tiempo la posición que el enemigo ocupaba en la Maison- Blanche. El rodeo que el cuerpo del general Wittgenstein te ni…</t>
  </si>
  <si>
    <t>…ó de él al enemigo con pérdida, y ganó asi toda la posición. Amenazado por todas partes, hizo el mariscal Oudinot retirar su exér cito sobre el camino de Troyes. La caballería del general Wittgenstein le dió en su retirada varias cargas pon buen éxito. Diez piezas de artillería, &lt;4 oficiales y a® prisioneros son los resultados de la acción. El enemigo fué perseguido hasta la aldea de St. Parre; únicamente su retaguardia se detu vo en ella, y el resto de su…</t>
  </si>
  <si>
    <t>Witthingam, Santiago</t>
  </si>
  <si>
    <t>Santiago Witthingam</t>
  </si>
  <si>
    <t>…nos, ha concurrido en las dos catedrales á solemni zar nuestros adorables misterios. El dia 9 por la tarde la brillante división de caballería, á las órdenes del mariscal de campo D. Santiago Witthingam, tuvo la honra de maniobrar delante de S. M , y este quedó muy complacido no solo de la destreza con que ejecutaron las evoluciones, sino de ver lo hermoso de los cuerpos que la componen:,á pesar de la distancia de una legua que hay hasta las llanu ras de S.…</t>
  </si>
  <si>
    <t>Wittingham, Santiago</t>
  </si>
  <si>
    <t>Santiago Wittingham</t>
  </si>
  <si>
    <t>544</t>
  </si>
  <si>
    <t>…ropia de la inocencia. Continuó en sefuidaalacio,S. dondeM. porestabala calleformadade la laAlmudena,división dearcocaballeríade la Armeríaal mandoá ladelplazamarisde cal de campo D. Santiago Wittingham. Es inconcebible cómo pudo reunirse tanta y tan varía muchedumbre de gentes de todas clases y edades, que ocuparon todas las calles del tránsito: la lengua no tiene expresiones capaces de explicar el gozo y satisfacción que se miraba retratada en los semblant…</t>
  </si>
  <si>
    <t>…s demostraciones tanto S. M. co mo SS. A A. RR. correspondieron con aquella afabilidad que l;s es carac terística. En seguida la bizarra caballería del mando del mariscal de campo Don Santiago Wittingham, que estaba formada en el costado derecho de la plaza de palacio, desfiló toda delante del balcón de S. M. y AA., que admiraron la buena disciplina y ay re marcial que la distingue. Por la noche se iluminaron todos los edificios públicos y todas las casas del…</t>
  </si>
  <si>
    <t>Wood</t>
  </si>
  <si>
    <t>…dirle. El servicio de conducir las columnas fue bien executado por el teniente coronel de ingenieros Carmichael Smith , quien acompañó al mayor general Cooke, asi como el teniente coronel Wood, comandante de artillería, ha biendo agregado á las columnas á varios oficiales de.su cuerpo, á saber ; al capitán sir George y al teniente Abbey á la izquierdaal teniente Sparling á la de la derecha , y al capitán Eduardo Mitcheli, de artillería, que ofre ci…</t>
  </si>
  <si>
    <t>Woronzoff</t>
  </si>
  <si>
    <t>…n ya en Holanda: el cuerpo del;general Winzingerode de 35® se halla distribuido del modo siguiente: 18® en Holanda, 9®, al mando del conde Strogonof, delante de Harburgo,vy 8® del conde Woronzoff en el Hplstein. Los saxones ya armados llegan á 10©: los mandad general Thielman, y van á Bremen. Se están disciplinando otros 10® saxones. .. Los dinamarqueses no pasan-de 12© hombres. Los franceses en Ham burgo llegarán á 15®, ademas de los enfermos, herido…</t>
  </si>
  <si>
    <t>Woronzoflf</t>
  </si>
  <si>
    <t>…rpo del general Winzingerode ocu pa á Epernay, y ha extendido algunas patrullas hasta Dormans. La misma carta dice que se esperaba en Rheims aquel dia ó el siguiente el cuerpo del general Woronzoflf, y que también se creía que estuviese cerca el general Bulow. La ciudad de Soissons fue ocupada de nuevo por el enemigo, ha biéndola abandonado el general Winzingerode. Tiene ademas el enemigo un? cuerpo en Chateau-Tierry para observar al general Winzingerode…</t>
  </si>
  <si>
    <t>Woronzotv</t>
  </si>
  <si>
    <t>…ronel del 2° regimiento de cazadores, á un oficial subalterno y á algunos soldados. Parte del exército del general en gefe conde Bennigsen reemplazó al cuerpo del teniente general conde Woronzotv, que se hallaba de lante de Hamburgo. La ocupación de Ochsenwerder por las tropas de aquel inquieta mucho,á Davoust, quien ha procurado varias veces transportar allá tropas en barcos; pero estas han sido constantemente rechazadas por los cazadores rusos. Las…</t>
  </si>
  <si>
    <t>Woronzow</t>
  </si>
  <si>
    <t>…en el pueblo , donde halló tres cañones y un gran nú mero de muertos y heridos. Su pérdida ascendería á unos 200 hombres; la del enemigo fue muy considerable. El teniente general conde Woronzow, que tenia su quartel general en Winsen desde el 22, ha bloqueado á Harburgo. No obstante la superioridad numérica de las tropas enemigas que pasa ron el Elba en Zollenspicker, el teniente coronel Lowenstern con sus tro pas, pertenecientes a] cuerpo del conde…</t>
  </si>
  <si>
    <t>Worónzow</t>
  </si>
  <si>
    <t>…llos de frisa, en términos que pudieran haber detenido por muchos, áias los progresos de las tropas mas intrépidas y guerreras. ' El exército hizo un movimiento por su derecha: el general Worónzow avanzó hácia Nauembúrgo , y el exército sueco¿á Mollen y Ratzeburgo. El dia3 el general Woronzow-marchó á Schwartzenbeck, y tomó á Bergedorf por asalto. La caballería hizo algunos prisioneros. El general Tettenborn avanzó contra Ámfelde, y reuniéndose con la…</t>
  </si>
  <si>
    <t>…„ El mariscal Davoust se retiró á Hamburgo, y por esta retirada dexó ía derecha del exército dinamarqués expuesta á los males que ha sufrido. Durrante esta marcha la división de.l general Woronzow alcanzó y derrotó, después de una viva acción, la caballería francesa. „ Después de estos triunfos las tropas aliadas pasaron el Eyder, y ya es taban bastante internadas en el ducado de Sleswig, quando el gobierno di namarqués pidió una suspensión de armas, q…</t>
  </si>
  <si>
    <t>…TIN DEL PRINCIPE REAL DE SUECIA. Habiéndose aproximado á Blackeftsée algunas' cañoneras de Hamburgo, con intención, sin duda ^ de •toniarcalguiioS'barco&amp;vdejlDS que allí había, el general Woronzow envió un destacamento de ,tropas con una pieza de ar tillería á la orilla del Elba, en donde hubo una acción con las barcas france sas, que tenían ocho piezas. Se embarcaron éu‘ bofes 40 soldados'jUísqs de infantería ligera para dar un abordage á los enemigos…</t>
  </si>
  <si>
    <t>…ue está animado este cuerpo. Las operaciones de la artillería las dirigió con tanto talento como valor el capitán Higrall. La artillería sueca é inglesa, y el cuerpo destacado del conde Woronzow se han distinguido extraordina riamente. El general barón de Boye elogia el talento de los capitanes Thersner y Melander, ingenieros. El capitán ingles Farquhar con la esquadriila de su mando ha tomado una parte activa y honrosa en el ataque de la pla za, y h…</t>
  </si>
  <si>
    <t>…centro. Este general se ha apoderado ya de las ciuda des de. Mons, Avennes y Rbejms, cuyas llaves envió al príncipe real, y este las remitió al emperador Alexandro. El cuerpo del conde Woronzow, que pasó pbc aquí, el Rhin, se dirige igualmente á'Narour para comunicarse con el general Winzlngerode. El. general StrogonolT está pronto á seguirle. La. vanguardia del exército sueco estará el dia 21 en el Rhin, de manera que todo el exército deberá haber…</t>
  </si>
  <si>
    <t>€fí GRAN BRETAÑA. Londres 28 de Mayo. El conde Woronzow, gentilhombre de S. M. el Emperador de Rusia, ha llegado aquí, para dar disposiciones relativas al recibimiento dé su augus to amo. Los soberanos aliados desembarcarán en Deal, y no en Douvres, á menos que el tiempo na lo impida. El destacamento de tropas qpe…</t>
  </si>
  <si>
    <t>Woronzow-marchó</t>
  </si>
  <si>
    <t>…as mas intrépidas y guerreras. ' El exército hizo un movimiento por su derecha: el general Worónzow avanzó hácia Nauembúrgo , y el exército sueco¿á Mollen y Ratzeburgo. El dia3 el general Woronzow-marchó á Schwartzenbeck, y tomó á Bergedorf por asalto. La caballería hizo algunos prisioneros. El general Tettenborn avanzó contra Ámfelde, y reuniéndose con la caba llería del conde Woronzow, cortó Ja comunicación entre Hamburgo y Lubeck. El 4 el general Walmoden…</t>
  </si>
  <si>
    <t>Worster, Josef</t>
  </si>
  <si>
    <t>Josef Worster</t>
  </si>
  <si>
    <t>…uerra se ha comunicado la orden siguiente: - „ i ,,Enterado el Rey de la causa que por Real orden de 7 de Octubre de 1812 se ha formado al Teniente general y Coronel de Artillería D. Josef Worster, acusado de haber faltado á la subordinación al Gobernador de la plaza de Ciudad-Rodrigo D. Francisco Dionisio Vives, y al segundo Co mandante general de Castilla la Viej*a D. Carlos España siendo Comandan te de Artillería de aquella Plaza; se ha servido S. M…</t>
  </si>
  <si>
    <t>Wratisia, Manuel</t>
  </si>
  <si>
    <t>Manuel Wratisia</t>
  </si>
  <si>
    <t>…cio de Lichrenstein, y le acompañaban su gran chambelán, el conde Bubna, su escudero mayor; el conde Juan dé Traúttmansdorf; los generales barón Duka; Kutschera, primer edecán del conde Manuel Wratisia; el príncipe Luis de Rohan y el príncipe Pablo Ester3zi. Tres destacamentos de las guar dias de los nobles de' Alemania, de Hungría y de Bohemia formaban tam bién parte del ostentoso acompañamiento. El concurso de gentes en toda la extensión de Un camino tan…</t>
  </si>
  <si>
    <t>Wre</t>
  </si>
  <si>
    <t>…l Wittgenstein estaba reunido enfrente de. Cotombé, según informé á V. E. El príncipe de Schwartzenberg dispuso que es te cuerpo pasase á retaguardia ae la posición que ocupaba el general Wre de para atacar al cuerpo enemigo que se movía hácia Levigni, por la dere cha del general Wrede. El general Víttgenstein llegó á dichas alturas á eso de las n, y tuvo que sostener un combate muy reñido por la posesión de ellas. El príncipe Schwartzenberg en pe…</t>
  </si>
  <si>
    <t>Wrede</t>
  </si>
  <si>
    <t>Núm. i o. [ f qnartos. ] 69 n GACETA DE LA REGENCIA DE LAS ESP AÑAS DEL JUEVES 20 DE ENERO DE 1814. ALEMANIA. Hanau 75 de Noviembre de rS 1y. Orden del día en el exército del general Wrede, que este gefe dirigió d sus tropas austro-bavaras después de herido, „Una grave herida me obliga á dexar el mando del exército que hast* ahora tuve á mis órdenes, y entregarle al teniente feld-mariscal Fresnel. ,,Soldados: vosotros me habéis amado: habéis mo…</t>
  </si>
  <si>
    <t>…o, consiguiendo al linda mas gloriosa victoria. . .» . El emperador Alexandro ha regalado al príncipe Schwartzenberg una espada en señal del alto aprecio que hace de su mérito. El general Wrede y el príncipe real de Wurtemberg han sido condecorados en el campo de batalla con la segunda clase del orden de S. Jorge • Nunca se ha manifestado mejor que en la batalla de Brienne el valor m-t trépido del feld-mariscal Blucher. También se han distinguido pa…</t>
  </si>
  <si>
    <t>…todavía la posición de Brienne al amanecer. El general Giulay marchó por la orilla del Áube á ía derecha del ene migo; el príncipe real de Wurtemberg se encaminó á Brienne , y el general Wrede avanzó á la derecha d i príncipe real. El enemigo se retiró en dos columnas, apoyando su derecha en Lesmont, y su izquierda en Lasicóur y Ronay. El príncipe real de Wurtemberg dió un bizarra carga á la caballe ría qué cubría la retirada del enemigó cerca dé S…</t>
  </si>
  <si>
    <t>…de Platoíf, sostenido por el príncipe real de Wurtemberg, ha tenido una acción entre Epinal y Nancy , en la que tuvo el enemigo un numero consi derable de muertos y pasioneros. Ei general Wrede tuvo también otra , en la que se dice que el enemigo sufrió una pérdida considerable ; pero los partes oficiales de estas acciones no han llegado todavía. = Tengo el honor de ser &amp;c.= Cathcart.^a Al viz conde Castlereagh. Basilea 14 de Enero. Milord: las colu…</t>
  </si>
  <si>
    <t>…recha con el general Blucher, quien habrá pasado aquel rio con una parte de su cuerpo en Oppenheim, y con el resto de ella por baxo de Maguncia. S11 izquierda se comunicará con el general Wrede, el qual ha de avanzar desde Colmar á Sohlestat, y desde aquella plaza á unirse con aquel oficia!. No se sabe que los franceses hayan h^sta ahora reunido fuerza alguna considerable en Colmar. El general Wrede debe atacar mañana á quien se halle allí; pero se…</t>
  </si>
  <si>
    <t>…abiendo variado la dirección de su marcha , se ha encaminado hacia León. Desde el último oficio que dirigí á V. E. ha ha bido acciones importantes entre las tropas mandadas por el general Wrede y el príncipe de Wurtemberg contra las fuerzas francesas. El general De-Roí, que mandaba la vanguardia del cuerpo de Wrede, fué acometido el 10 en S. Diez por la del general Milhaud, que ocupaba hace poco á Colmar. De-Roi se vió precisado á retirarse á espald…</t>
  </si>
  <si>
    <t>…go muchos muertos, he ridos y 500 prisioneros: se le tomaron muchos bagages , armas y pertre chos, y se le persiguió hasta Charmes. De las ventaja-s conseguidas por las tropas del general Wrede y el príncipe de Wurtemberg ha resultado, que el enemigo evacúe todo el país á la derecha del príncipe de Schwartzenberg. y que las tropas del príncipe de Wurtemberg puedan emplearse al frente de esta parte de Langres, y encargar la defensa de su derecha al c…</t>
  </si>
  <si>
    <t>…ería; se hicieron unos i® prisioneros, y la pérdida en muertos y he ridos fue muy grande. El príncipe real de Wurtemberg avanzó á Chau menil, y. verificó sú reunión con el general conde Wrede. Ei. primero co gió 6 cañones, y el último 17* De este modo fue completa la victoria en todos los puntos. Asi que se empezó la batalla vinieron al campo el emperador de Rusia, él rey de Prusia y el feld-mariscal príncipe Schwartzenberg. El féld-mariscal Bluch…</t>
  </si>
  <si>
    <t>…Eclan ce á Chaumenil, dexando á la derecha de nuestra posición un bosquecillo ocupado por la izquierda del enemigo; y tomando la Vuelta de aquel, de bía comunicarse con el general conde Wrede¡ que había de avanzar desde Doulevent á Chaumenil. El ataque empezó á las 12 en punto. El enemigo estaba en posición en •Dienville y La-Rothiere, teniendo su izquierda en el pueblo de La-Gibrie. Su caballería y la de los aliados estaban formadas-en la llanura…</t>
  </si>
  <si>
    <t>…mpañías. La reunión con el exército grande se verificó el 15 dei corriente, y el 17 estaba en Nancy el quariel general del feld-mariscal, y en Charmes el del general de caballería conde Wrede. El enemigo se retiró pasando el Mossa, pero se detuvo en Toul, pueblo defendido con murallas y guarnecido con</t>
  </si>
  <si>
    <t>…na ocupa gran porción de terreno desde Grenoble por su izquierda, teniendo en Bourg «1 centro, y 'extendiendo su derecha ¡des-* de aquí á las cercanías de Macón. La vanguardia del general Wrede siguió hoy al enemigo en su retirada hasta Les-Granges en el camino de Nogent. Después que el enemigo eva cuó á Troyes se han cogido algunps centenares de prisioneros» ESPAÑA. Vich 20 de Febrero. Según relación de algunos oficiales recien llegados de Francia,…</t>
  </si>
  <si>
    <t>…vez cerca de St. Aubin y JVlarnay , y la arrobó hacia Nogent, que fué ocupada en parte por el conde Hardeg. £1 conde Wittgenstein habiendo avanzado hacia el pyehte del Sena, y el general Wrede hacia Bray, el enemigo abandonó la izquierda del Sena, y destruyó los puentes, que fueron restablecidos por los aliados, y el gene ral Wrede se avanzó á Provins. Habiendo pasado el rio e! general Wittgenstein en el puente del Sena, los generales Bianchi y Gíu…</t>
  </si>
  <si>
    <t>…eal de Wurtemberg y del general Giulay por el caonino entre Bar del Sena y Chatillon. El enemigo avanzó anoche á Bar del Aube, y ocupó este pueblo, ha biéndole antes abandonado el general Wrede al acercarse el enemigo. Habiendo después recibido el mismo general Wrede orden del príncipe Schwartzenberg para volver á tomar el pueblo, lo efectuó sin pérdida de parte de Jos bávaros. El enemigo fué arrojado del pueblo á la bayoneta con pérdida considerabl…</t>
  </si>
  <si>
    <t>…artzenberg dispuso que es te cuerpo pasase á retaguardia ae la posición que ocupaba el general Wre de para atacar al cuerpo enemigo que se movía hácia Levigni, por la dere cha del general Wrede. El general Víttgenstein llegó á dichas alturas á eso de las n, y tuvo que sostener un combate muy reñido por la posesión de ellas. El príncipe Schwartzenberg en persona dirigió várias veces los ataques de las tropas rusas, y en uno de ellos fue herido, aunqu…</t>
  </si>
  <si>
    <t>…ttgenstein tomó la dirección de Piney para envolver la, izquierda del enemigo en la aldea dé Laubressel, y amenazar .su tíomunicacjort con Troyes, dirigiéndose hácia St. Parre. El general Wrede debía aguardar e! movimiento del general Wittgenstein, atacar luego el jpuente de la jGuillotiere, y marchar contra el frente del enemigo.; El principe real-de. Wuttemberg debia atacar al propio tiempo la posición que el enemigo ocupaba en la Maison- Blanche.…</t>
  </si>
  <si>
    <t>…sta la aldea de St. Parre; únicamente su retaguardia se detu vo en ella, y el resto de su cuerpo desfiló durante la noche con dirección á Troyes. Esta mañana á Ia$ nueve marchó el general Wrede contra el enemigo, que se ha retirado; y habiéndosele intimado la rendición de aquella ciudad, ¿a capitulado , y obtenido media hora de término para evacuarla. El príncipe Schwartzemberg, asi que concluyó el tiempo estipulado, ba Lecho perseguir al enemigo co…</t>
  </si>
  <si>
    <t>…ntro muy empeñado cerca de Claye , bas ta que logró arrojar al enemigo con gran pérdida de los bosques inmediatos á aquel sitio. Ayer todo el exército , menos los cuerpos del feld mariscal Wrede y del general Sackeo, colocados en .posición háeia Meaux, avanzó sobre París. En el intermedio, las escaramuzas fueron incesantes, pero el enemigo se fue re tirando dexándonos á Pantin sobre su derecha , y todo el terreno que hay delante de Montmartre por su…</t>
  </si>
  <si>
    <t>Wreue</t>
  </si>
  <si>
    <t>…erca de Courcerange, establecerse en los bosques de la derecha de este rio, y ponerse en comunicación con los rusos en Láubressel. Este movimiento fué executado en el instante. El general Wreue tomo entonces por asalto el puente de la Guillotitre, echó de él al enemigo con pérdida, y ganó asi toda la posición. Amenazado por todas partes, hizo el mariscal Oudinot retirar su exér cito sobre el camino de Troyes. La caballería del general Wittgenstein l…</t>
  </si>
  <si>
    <t>Wtmemherg, Eugenio de</t>
  </si>
  <si>
    <t>Eugenio de Wtmemherg</t>
  </si>
  <si>
    <t>…go ocupaba en la Maison- Blanche. El rodeo que el cuerpo del general Wittgenstein te nia que dar ie impidió lleguesobre el flanco de! enemigo antes de las tres de la tarde. . h El príncipe Eugenio de Wtmemherg, que manda urta de sus divisiones, dió inmediatamente principio al ataque, costeando las alturas de hacía Laubresset, llevándose al enemigo por delante, y concluyendo con tomar la al dea por asalto., , ~ v ... t. El general Wittgenstein sostuvo este ataque co…</t>
  </si>
  <si>
    <t>Wurtemberg, Eugenio de</t>
  </si>
  <si>
    <t>Eugenio de Wurtemberg</t>
  </si>
  <si>
    <t>…ias. -Ha dado particularmente las gracias al general Wittgenstein y al general Wréde: El principé SciVwártzemberg ha manifestado cordialmente su gran recoñocimíemo-y'admiración ai príncipe Eugenio de Wurtemberg, no solo pb¥ su conducta en estas últimas»ocasiones, sino también por su audacia in trépida en todas las acciones en que le ha visto á las manos con el enemigo. V. E. sabe yá que él quartel- general del mariscal Biucher estaba en la Ferté el aS de Éebrero ; n…</t>
  </si>
  <si>
    <t>WVede</t>
  </si>
  <si>
    <t>…cipe Mauricio de Lichenstein se ha movido á Dijon, donde se reunirá con el cuerpo del genera! Bianchi. Tengo la honra &amp;c. Colombé 26 de Febrero. == Burghersh. P. Z&gt;. El cuerpo del general WVede está hoy en Bar del Aube: el del general Wittgenstein enfrente de Colombé: el general Giulay en Arcembarois, y el cuerpo del príncipe real de Wurtemberg en Montsaons. 3.0 A'yer tuve la honra de participar á V. E. que después de haberse apoderado el enemigo de…</t>
  </si>
  <si>
    <t>Xa, Francisco</t>
  </si>
  <si>
    <t>Francisco Xa</t>
  </si>
  <si>
    <t>…ibrería de Sojo, calle de las Carretas. Tratado histórico y práctico de la vacuna; por J. L. Moreau de la Sarre, pro fesor de medicina en París; traducido al castellano por el Dr. D. Francisco Xa vier de Balinis: segunda edición, adornada con el retrato del célebre ingles descu bridor efe la vacunación , y con una estampa que manifiesta toda la progresión de los granos vacunales en su tamaño y color natural, con los caracteres que distinguen los de la…</t>
  </si>
  <si>
    <t>…nombrado por individuos de ella á los Sres. D. Anto nio Aivarez de Contreras y D. Antonio Ignacio de Cortabarría, del coa¿se jo Real; D. Franchco Ibaáez de Ley va, dei de Indias; D. Francisco Xa vier Adeü, del de Ordenes, y D. Jayme Aivarez de Mer.dieta, del de Ha cienda; y para fiscal al Sr. D. M muel Vicente de Torres Cónsul , que ío es mas antiguo de dicho consejo Real. Y habiéndose instilado la citada jun ta suprema, y señalado por ahora para sus…</t>
  </si>
  <si>
    <t>Xara, Marcos</t>
  </si>
  <si>
    <t>Marcos Xara</t>
  </si>
  <si>
    <t>…sus ^fervorosos ruegos al cielo para que conceda á V. M. todos los dones necesarios para regir dig namente sus pueblos y hacerlos felices/' Igual honor tuvo el 24 del mismo el Dr. D. Marcos Xara, dignidad de tesorero y canónigo de la santa iglesia de Coria, quien en nombre de ella cumplimentó á S. M. en los términos siguientes: ,, Señor: el cabildo de vuestra iglesia catedral de Coria, al paso que ha sufrido con resignación todos los males consiguien…</t>
  </si>
  <si>
    <t>Xavier, Estanislao</t>
  </si>
  <si>
    <t>Estanislao Xavier</t>
  </si>
  <si>
    <t>…los exercitos. Este monarca os concederá el galar dón que habéis merecido por vuestros largos servicios, por vuestras heridas y proezas. . Juremos, pues, obediencia y fidelidad al rey Estanislao Xavier, y ponr gámonos ia escarapela blanca, en señal de adhesión á una mudanza que evi ta el derramamiento de sangre, nos da ia paz, y salva nuestra-patria. La presente orden será leída por los ge fes de los cuerpos, hallándose es tos formados. Quartel general de R…</t>
  </si>
  <si>
    <t>Xavier, Francisco</t>
  </si>
  <si>
    <t>Francisco Xavier</t>
  </si>
  <si>
    <t>…romoción siguiente: Ascendidos á tenientes generales ios gefes de esquadra D. Sebastian Ruiz de Apodaca, D. José Adorno, D. Francisco de Montes, D. Francisco Vázquez dé Mondrngon, D. Francisco Xavier de triarte, D. José de Espinosa Teiío, D. Diego González Guiral, y D. Pedro Ristory. A g 'f s dé esqu tdra les brigadieres D. Salvador Mairía Chacón, D. Agustín de Figueroa, D. Juan Darrac, D. Bernardo Muñoz, D. José de Gardoqui, D. Ignacio María de Olaera, D…</t>
  </si>
  <si>
    <t>Xavier, Franéisco</t>
  </si>
  <si>
    <t>Franéisco Xavier</t>
  </si>
  <si>
    <t>…an Bonilla y D. Juan Saborído: el segundo á D. Ch ínente González, D. Ramón Gascón, D. Patricio Agüádó, D. JosefLacarirera, D Tomas Beni.tez y D. Josef Éorbiu y Góngora; y el Vo á D. Franéisco Xavier tara, D. Andrés Ortega, D. Juan ;Q'ues'adá y Vial, D. Juan Quesada Alaminos, D. Salvador Boner, D. Bruno Valiente, D. Josef Cá—; nal, D. Juan Antonio Godinez, D. Francisco Cañete y D. Agustín Lanuza. Asi la escuela militar de Jaén, á expelas del infatigable z…</t>
  </si>
  <si>
    <t>Ximenez, Amonio</t>
  </si>
  <si>
    <t>Amonio Ximenez</t>
  </si>
  <si>
    <t>…do es la que manifiesta el estado adjunto. No puedo menos de recomendar otra vez á V. E., para que se digne hacerlo con S. A., al valiente y dignísimo capitán de cazadores de Jaén D. Amonio Ximenez, que roto un muslo de un balazo, quedará inútil, si es que no mue re: este bizarro oficial, cargado de familia, miró siempre su deber para con la patria como su primer objeto, y sen ya muchas las veces que lo he visto distinguirse: el de la Victoria D. Juan v…</t>
  </si>
  <si>
    <t>Ximenez, Antonio</t>
  </si>
  <si>
    <t>Antonio Ximenez</t>
  </si>
  <si>
    <t>…ridos: total j. Total; un soldado* muerto, 3 oficiales y 23 soldados heridos y 2 prisioneros. Nota, Los oficiales heridos son el Capitán de la Victoria D. Juan Vi vas, el ,de Jaén D. Antonio Ximenez. y el subteniente del propio cuerpo í). Cristóbal M^ñoztodos tres ,gravemente..= QuarteJ genyral de Lohuossa 26 de Enero de i8i4.=El gefe de estado mayor Joséfde Agüado.=V".° 13.'"= Pablo Morillo. El brigadier gefe de escuela de artillería D. Ignaéíó Muñ®*vde…</t>
  </si>
  <si>
    <t>Ximenez, Fráñcisco Xavier Martínez</t>
  </si>
  <si>
    <t>Fráñcisco Xavier Martínez Ximenez</t>
  </si>
  <si>
    <t>…r la cantidad correspondiente á los números de sus subscripciones que nó se han publicado. : ' Se desea saber él paradero del teniente dé granaderos del regirtúento de Guadafáíara D. Fráñcisco Xavier Martínez Ximenez, que quedó prisionero en el Nor te a la salida del marques de la Romana para España. La persona que supiese sú paradero se servirá cómun icario áf su hermano D. Joaquín, abogado y fiscal de Ja reaf justicia en la ciudad de Almería. - Las figuras de la biblia,…</t>
  </si>
  <si>
    <t>Ximenez, José</t>
  </si>
  <si>
    <t>José Ximenez</t>
  </si>
  <si>
    <t>militares, los Individuos de los cabildos eclesiástico y secular, los curas pár rocos, reverendos prelados y personas de distinción, entre las quales se sir vió asistir el limo. Sr. D. José Ximenez, digno prelado de esta diócesis, á quien Ja sociedad se complace en. tener por uno de sus individuos. Se dio» principio á la función cantando con la asistencia de una orquesta de 34 mú sicos un magnífico Te Deum» al qual se siguió la misa, que celebró el Sr.…</t>
  </si>
  <si>
    <t>Ximenez, Manuel</t>
  </si>
  <si>
    <t>Manuel Ximenez</t>
  </si>
  <si>
    <t>…. El Rey se ha servido «nombrar* para el corregimiento de Torrijas ¿ Don Manuel Perez Aransolo*; para kpvara.de Saldada i!D. José Benito Gutiér rez Bustamante: para la de Tavara á D. Manuel Ximenez: para el corregi miento dé Afstójfga á D. Babiüa/Gircía:MaQrtqiue : para la vara de Santilla-</t>
  </si>
  <si>
    <t>Ximenez, Pedro</t>
  </si>
  <si>
    <t>Pedro Ximenez</t>
  </si>
  <si>
    <t>…, vacante por fallecimiento de D. Remigio Navamuel, á D. Joaquín M&lt;: rtin Renayas \ y para una capellanía de la Real carilla de Sres. Reyes nuevos de Toledo, vacante por muerte de D. Pedro Ximenez, a i). Manuel Antonio Acacio, cura de la iglesia parroquial de Yepes. Habiendo hecho á S. M. la vi la de Hinojcsa del Duque, en la provincia de Extremadura, el donativo de 15623 rs. vn., ha logrado no íoo el qu£ fuese admitido como una prueba de su patriotism…</t>
  </si>
  <si>
    <t>Ximenez, Ramón García</t>
  </si>
  <si>
    <t>Ramón García Ximenez</t>
  </si>
  <si>
    <t>…dos en sus respectivas capitales. En virtud de providencia de! Sr. D. Manuel Gamboa, juez letrado en primera instancia de esta villa de Madrid, refrendada del escribano del número D. Ramón García Ximenez, se convoca, cita y emplaza á todos los acreedores de la espera so licitada por el señor conde de los Corbos , para que al término de ocho dias, que principiarán á correr y contarse desde el 2 2 del corriente, para con los qae existan en esta corte, concurran…</t>
  </si>
  <si>
    <t>Ximenez, Santiago</t>
  </si>
  <si>
    <t>Santiago Ximenez</t>
  </si>
  <si>
    <t>…menez, que se extravió en el último atajo que sube al león de Guadarrama en i'.** de Noviem bre de 181 2 en la retirada de los cxércitos aliados, que yendo en compañía de su padre D. Santiago Ximenez, guardia que era en aqueftiempo de la Real compañía de Alabarderos, y en el dia subteniente dí inválidos én Araqjuez, suplica al sugeto que'tuviese noticia del paradero de dicho niño se lo comuniqué en Aranjtiez,i quien satisfará los gastos que pueda haber ca…</t>
  </si>
  <si>
    <t>Ximer.ez, Vicente</t>
  </si>
  <si>
    <t>Vicente Ximer.ez</t>
  </si>
  <si>
    <t>…as, á 5 rs. Resumen histórico del viage y cautiverio de Pío vn desde stt partida de Ro ma hasta su regresa á esta ciudad, ó sea hasta su entera libertad: traducido del francés por D. Vicente Ximer.ez, canónigo de Gerona, y adornado con el verda dero retrato de S. S. Véndese en Madrid en la librería de Matute, calle de las Car retas, y en la de Barco, carrera de S. Gerónimo; en Toledo en la de Hernández; en Barcelona en la de Sierra; en Gerona en la de Oli…</t>
  </si>
  <si>
    <t>Xinienez, Ramón García</t>
  </si>
  <si>
    <t>Ramón García Xinienez</t>
  </si>
  <si>
    <t>…bre próximo: io que se avisa al público para su inteligencia. ' Por el juzgado del Sr. teniente de'cOrregidor de esta villa D. Manuel Fernan dez Gamboa, y escribanía del número de D. Ramón García Xinienez, se vende, en virtud de Real facultadf una casa sita én esta corte, calle de la Cruz, que dá á Ja delGato, núm. 3 , manzana 213, valuada eri 291420 rs. vn. Lo que se anun cia al público para que en ei término de 30 dias contados desde 23 de Setiembre, acudan…</t>
  </si>
  <si>
    <t>Xipell, Ignacio</t>
  </si>
  <si>
    <t>Ignacio Xipell</t>
  </si>
  <si>
    <t>…srberiego, en la misma catedral, á D. Matías Antonio Gómez, examinador sinodal, y prebendado de la cate dral de Popayan, y actual confesor de número de la Real familia de S. M.s á D. Ignacio Xipell para una canongía de la iglesia catedral de Barcelona, vacante por muerte de D. Luis Gomar: á D. Juan Dagas para otra dlaconil de la catedral de Gerona, vacante por muerte de D. Juan Vilomara : á Don Narciso Gobern para otra también diaconil de la misma cated…</t>
  </si>
  <si>
    <t>Xlmenez, Manuel</t>
  </si>
  <si>
    <t>Manuel Xlmenez</t>
  </si>
  <si>
    <t>…Perez Aransoro; para la vara de lá villa de Elche á D. Ignacio Sauca; para la de Almazañ á D. Gregorio Bárraycoa; para la de SantULua i d J oaquin Paz Merino; para la de Tabara á D. Manuel Xlmenez , y par ra ia dé Sald ña á D. José Benito Gutiérrez Bustamante. En atención á los distinguidos méritos y servicios del brigadier de los Reales exér itos D. Manuel de Ena, coronel del regimiento de infantería de la, Princesa, ha venido en conferirle S. M. el g…</t>
  </si>
  <si>
    <t>Yandamme</t>
  </si>
  <si>
    <t>…poleón con el conde Merfeldt. Los siguientes vienen por conducto auténtico. Napoleón dixo al conde que esperaba que las potencias aliadas tuvie sen la generosidad de entregarle al general Yandamme en cange del mismo conde Merfeldt. "Sé, continuó, que Vandamme no goza de la mejor reputa ción ; pero no entiendo qual sea el motivo de tenerle en tan mal estado. Ver dad es que yo quisiera tener dos Vandammes, en cuyo caso me seria forzo so matar uno de ello…</t>
  </si>
  <si>
    <t>Yañez</t>
  </si>
  <si>
    <t>…solo lograron escapar, capitaneados por Alda©, unos 60 hombres de los 1100 que eran.__ Cevallos entró en Barquisimeto a sangre y fuego, y se dirigía á Carácas á marchas dobles. El señor Yañez, después de conquistar á Barinas, dicen marchaba tam bién sobre Caracas. Cagigal en la villa de Calabozo aguardaba el movimien to de los demas para obrar de acuerdo; ,í r Las tropas de Puerto-Cabello., eh número de 1300 á 1500 hombre», salieron el 17 y 18 de…</t>
  </si>
  <si>
    <t>Yañez, Josef María</t>
  </si>
  <si>
    <t>Josef María Yañez</t>
  </si>
  <si>
    <t>…ecomiendo á V. -toda esta corta pero valiente división , suspendien do ei particularizar á los que mas se hayan distinguido, que son muchos, y entre ellos el porta de mi esquadron D. Josef María Yañez, que se apo deró de un canon; pero lo verificaré luego que me lo permitan las circuns tancias, detallando á V. por menor quanto ha ocurrido en ésta acción me morable para los insurgentes orgullosos: suplicando á V. ahora que con lá brevedad posible eleve este…</t>
  </si>
  <si>
    <t>Yarmouth</t>
  </si>
  <si>
    <t>…cicio de les reclutas: des pués fué á ver la abadía de Westminster.----A la una pasó al palacio de Cumberland en un coche del Príncipe Regente, escoltado por una guardia de honor: lord Yarmouth acompañaba á S. M. como gentilhombre. Allí re cibió el emperador, por espacio de más de tres horas, los cumplimientos de las personas mas ilustres de la capital. A la hora y media llegó el Príncipe Regente acompañado del duque de Yorck y del lord Castlereagh,…</t>
  </si>
  <si>
    <t>…ual entró después el Príncipe Regente con los adornos ricos de la orden, llevando á la derecha al emperador, también cubierto con el magnífico manto de la órden, cuya cola llevaba lord Yarmouth. Sentóse el Príncipe en una silla al pie del trono, á su derecha en otra igual el emperador, y á la izquierda e taba preparada otra silla para el rey de Prusia. El , obispo de Salisbury, como canciller de la órden, leyó un estatuto, por el qual era declarado…</t>
  </si>
  <si>
    <t>…facen úni camente con el producto de contribuciones voluntarias. Todos estos niños estaban vestidos de nuevo. A vista de un objeto de tanto interes el empera dor Alexandro dixo al lord Yarmouth, que nada había hallado aun en In glaterra que le hubiese causado mayor placer, ni que le hubiese dado una idea mas grande del carácter ingles. El banquete que el gremio de mercaderes debe dar hoy' á SS. MM. el emperador de Rusia y el rey de Prusia en la sala…</t>
  </si>
  <si>
    <t>Ybimg</t>
  </si>
  <si>
    <t>vigilancia rdel almirante Ybimg eh su tránsito á algún puerto mas seguro du rante algún fuerte viento leste. Sin embargo, se supone que el enemigo querrá mas bien quemar su esquadra en el Escalda , siempre que las circunstancias amenacen á su seguridad; puesto que no hay, según se cree, núm…</t>
  </si>
  <si>
    <t>Yébcnes, Alfonso de</t>
  </si>
  <si>
    <t>Alfonso de Yébcnes</t>
  </si>
  <si>
    <t>…d de Xerez de la Frontera, su fecha 3 del corriente,’ cumplimentado en esta corte por el Sr. D. José Martínez Moscoso, juez de letras de ella, y escribanía numeraria ¡del cargo de D. Alfonso de Yébcnes , se manda ci-; tar, llamar y emplazar á Doña Ignacia y Doña Ramona Bahamonde y&gt; demas hi jos y herederos' de D. Carlos Bahamonde, comisario de guerra, y vecino que fué. de la ciudad del Puerto de Santa María, y Doña María del Carmen Tobal, para que comparezc…</t>
  </si>
  <si>
    <t>Yiilscampa, Pedro</t>
  </si>
  <si>
    <t>Pedro Yiilscampa</t>
  </si>
  <si>
    <t>…las Carretas. , Retrato de D. Francisco Xavier Mina á caballo en medio pliego, que hace co lección con los de D. Juan Martin (el Empecinado), el barón de Eróles, D. Juan de Tapia, D. Pedro Yiilscampa, D. Julián Sánchez, D. Juan Palarea (el Médi co) y D. Francisco Abad y Moreno. Se continúa grabando los demas patriotas que mas se han distinguido en defensa de la patria. Se venden en ¡a librería de Quiroga, calle de las Carretas, fonda del Angel, y en el al…</t>
  </si>
  <si>
    <t>Yorck</t>
  </si>
  <si>
    <t>…h, enfrente de Ingleheim. ,, El feld-mariscal Blucher se ha adelantado, a pesar de todas las dificul tades de la estación y de los malos caminos, á Kreuznach., y las avanzadas d j general Yorck se han encaminado á Lautern. El cuerdo d&lt;l general barón de'' Sachen forzó los atrincheramientos del enemigo, cerca re Mañheim, después’ de pasar el Rhin, y se dirige á Altzey. Se dice que el rey de Prusia estaba Í&gt;resente en Manheim , inspirando esfuerzo con…</t>
  </si>
  <si>
    <t>…El cuerpo del general Sacken se pone mañana en movimien to para arrojar al enemigo del Mossa, y el cuerpo del general Langeron se dirige á Toul formando la reserva. El cuerpo del general Yorck bloquea las fortalezas de Saar-louis , Luxénburgo, Thionviile y Metz: su caballería está delante de Verdun. El cuerpo del general Kleist está de marcha contra Metz. En vano pro cura el enemigo levantar al pueblo, é inspirarle desconfianza hacia las, po tencia…</t>
  </si>
  <si>
    <t>York</t>
  </si>
  <si>
    <t>…y ei dia 5- Dicho general;, como ya insinué á V. E. atacó y derrotó laj retaguardia del cuerpo de exército del mariscal Macdonaid en Ta-Chaussée el 5. En el mismo día persiguió el general York al enemigo hasta las puertas de Chalons, y bombardea la ciudad. Ei ma riscal Macdonaid entró en convenios de evacuarla; lo que efectuó en ía ma ñana del 6, retirándose con su exército, compuesto del cuerpo de su man— do inmediato y los de los generales Sebast…</t>
  </si>
  <si>
    <t>…fecho en Chatillon á 12 de éste mes, envía los partes del coronel Lowe sobre las operaciones anteriores del feld-mariscal Blucher hasta el día 12 inclusive. ,,E1 5 de este mes el general York aco metió á Chalons, que se rindió por capitulación, después de haberse reti rado el mariscal Macdonald con dirección á Meaux, llevando consigo los cuerpos de Sebastiani y Arrigi, ademas del suyo propio. Él dia 6 el quartel general del feld-mariscal Bíucher e…</t>
  </si>
  <si>
    <t>…H. Ls'we” 2.0 „E1 feld-mariscal Blucher traslada hoy su quartel general á Etoges. El general barón Saken está en Montmirail, teniendo sus puestos avanzados dos leguas mas allá. El general York es de suponer que estará ya en Chateau-Tierry : el general Kieist se halla en Chalons; y el general Kapsiewitz, con las divisiones del cuerpo del conde de Langeron, viene marchando á teda priesa. Hemos oido que el mariscal Macdonald va retirándose con unas 10…</t>
  </si>
  <si>
    <t>…de llegar aquí , ha traído al feld mariscal Blucher las llaves de los pueblos de Chalons y Vitry con el águila y la bandera de la guardia nacional del departamento del Marne. „E1 general York atacó ayer á Chalons, y después de algún fuego por ambas partes, envió un oficial intimando la rendición. El mariscal Mucao— nald, que mandaba las tropas enemigas en el pueblo, respondió que tratase con los magistrados; pero no habiéndose accedido ¿ esto, con…</t>
  </si>
  <si>
    <t>…o muertos, heridos y dispersos; aun que hay esperanzas de que muchos da estos últimos se reúnan con sus cuer pos. Hasta ahora no ha habido tiempo para tener noticia de ellos. i,El general York está en Chateau-Tierry; el general barón Saken en Ferté-Sous-Jouarre: el general Kieist , que se dirigió ayer con el general Kapsiewitz á Ferté-Champenoise, ha tomado posición en este pueblo. El feld-mariscal Blucher está con ellos esperando mas noticias acer…</t>
  </si>
  <si>
    <t>…e nuestro amado Monarca/* GRAN BRETAÑA. Londres 11 de Junio. Apenas desembarcó en Douvres el rey.de Prusia, nombró príncipe de Wagstadt al mariscal Bíubherj conde de Wurténburg al general York; conde ‘ de DeUterwitz al general Búlow, y príncipe de Hardenberg al barón de ' este íítulo. " El corregidor y áytnitamiéntó dé Douvres presentaron su arenga deíélicitacion al emperador de Rusia, quien contestó en ingles lo siguiente: ¿,Sirt bmbargo, Señores,…</t>
  </si>
  <si>
    <t>Young</t>
  </si>
  <si>
    <t>…menacen á su seguridad; puesto que no hay, según se cree, número sufi ciente de marineros franceses para la náveeacon dé aquellos estrechos cana-, les eii la presente estación. El almirante Young hizo últimamente una ten tativa para ocupar de nuevo las bocas del Escalda con su esquadra; pero fueron tan fuertes los temporales, señaladamente en el dia 15 de noviembre, que se vio toda la esquadra en el riesgo inminente de dar en la costa 6 de irse á piqu…</t>
  </si>
  <si>
    <t>GRAN BRETAÑA. ' Londres 20 de diciembre, SECRETARIA DEL ALMIRANTAZGO. Oficio del almirante Young\ comandante engefe de los navios de S. M. en el mar del Norte, d J. VVilson Croker, d bordo del Inconquistable de lante del Escalda, á u de este mes. „Para que se instruyan los lores comisarios del almirantazgo remito co pia de una carta del lord Jorge Stuart…</t>
  </si>
  <si>
    <t>…berano de las Pro vincias-Unidas de los Países-Baxos, y le acompaña el caballero Roberto Gordon, como primer secretario de la embaxada. Extracto de varios oficios remitidos por el almirante Young d bordo del Invencible en el Roompot d ip de diciembre de 1813. Habiendo desembarcado el capitán Owen con las tropas de marina en la parte meridional de la isla de Beveland, remito la relación del modo con que ha sido recibido por los habitantes. Ter-Goes 17…</t>
  </si>
  <si>
    <t>…encargados de examinar los documentos oficiales que debe presentar al cuer po legislativo el ministerio de relaciones exteriores. GRAN BRETAÑA. Londres 24 de diciembre, Oficio del almirante Young á J. Wiison Crokerf d bordo del Invencible, delante del Escalda, d 11 de este mes. Remito para instrucción de los lores comisarios del Almirantazgo copia de un parte del capitán lord Jorge Stuart, del navio de S. M. el Horacio, en que da cuenta de la destrucc…</t>
  </si>
  <si>
    <t>104</t>
  </si>
  <si>
    <t>…s restan, los teneis ya superados; en fin, de vuestra bizarría y perseverancia espera vuestra patria V el mundo entero una gloriosa y duradera paz. = Schivartzenberg." Continua el almirante Young con su esquadra de 20 navios y varias fragatas en el Rcompot, observando el Escalda; y la esquadrilia coadyu vando á la conquista del fuerte de Batz, que ya ha sido atacado, y no tar dará en rendirse. A este efecto han subido el Escalda el conmódoro Owen, con…</t>
  </si>
  <si>
    <t>YU, Fernando</t>
  </si>
  <si>
    <t>Fernando YU</t>
  </si>
  <si>
    <t>…lce emoción y ternura, que solo es hija de las acciones virtuosas. Taragoza $ de Abril* Ayer de madrugada se recibid en esta ciudad la plausible noticia de que S. M. ebrey nuestro Sr. D. Fernando YU el deseado, condescendiendo á la re verente súplica de la diputación provincial de Aragón, ha resuelto pasar por esta ciudad, deteniéndose en ella los dias jueves y viernes santo. La alegría y demostraciones de regocijo ,que con tan deseada nueva han dado los…</t>
  </si>
  <si>
    <t>Yubero, Gregorio</t>
  </si>
  <si>
    <t>Gregorio Yubero</t>
  </si>
  <si>
    <t>…&gt;. •• .oí-;/ • * .. " : t 1 &lt; ■ ? * &gt; ' ' ‘ •• , ; y ■ - - : Ert él dia 2 5 de A gostb ultimo los procuradores del clero de Sigiienza D;-Francisco Gómez, cura de Taroda, y el Dr. D. Gregorio Yubero, cura de Cabreriza, habiendo tenido el honon de besar la mano á S. Mv y AA.» dixo él primero de ellos: ’ ^ j í 5, Señor: el clero dei obispado dejfiigiienza'ipor. medio «de; sus procurado res generales manifiesta á V. M. la grande alegría'.que recibió quando…</t>
  </si>
  <si>
    <t>Yupanguy, Manuel de Inca</t>
  </si>
  <si>
    <t>Manuel de Inca Yupanguy</t>
  </si>
  <si>
    <t>…nte de León D. Juan de •Modenes, y la de la provincia de León al de Córdoba D. Joaquín Peralta. Y por decreto de ti del propio mes, atendiendo á las circunstancias y servi cios de D. Manuel de Inca Yupanguy, ha venido en conferirle la intendea— cia de la provincia de Granada. Por otro decreto de 22 del mismo mes, en consideración á la decidi da adhesión que D. José María Tineo y U¡!oa ha manifestado á su causa, á los saciiñcios que ha hecho por la misma, y á las…</t>
  </si>
  <si>
    <t>Yus, Joaquina</t>
  </si>
  <si>
    <t>Joaquina Yus</t>
  </si>
  <si>
    <t>…o de Gerónimo Torres , músico del regi miento de infantería de voluntarios de Castilla, que con su regimiento se halló al primer sitio de Zaragoza, se servirá avisarlo en Madrid á Doña Joaquina Yus te, calle de Atocha, núm. 3 , frente á las beatas de S. José, quarto principal. ! ■ / .------------ '--------------:--------------------------------------------------:-------------- ------------- '--------- :—.rr-------------------------- —1■EN LA IMPRENTA RE…</t>
  </si>
  <si>
    <t>YValmoden</t>
  </si>
  <si>
    <t>…ste convoy venía cargado de géneros de mucho valor, y entre otras cosas de fusiles y vestuarios. “Quaridó principió ét armisticio, un ólicial ruso con pliegos de Francfort para el conde YValmoden, se perdió en el camino, y vino á parar á las mu rallas de Rendsburgo; y habiéndole conducido ante el comandante de la fortaleza, le quitó los pliegos, los abrió, y los leyó: dos cartas que iban di rigidas al ministro ingles, quedaron en poder del comandante.…</t>
  </si>
  <si>
    <t>YVhite, Henrique</t>
  </si>
  <si>
    <t>Henrique YVhite</t>
  </si>
  <si>
    <t>…llan radicados los autos de abititestato, á dedu cir su derecho; con apercibimiento que pasado que sea dicho término, les parará el perjuicio que haya lugar. Habiendo fallecido el brigadier D. Henrique YVhite siendo gobernador de S. Agustín de la Florida, y dexado un legado de i® pesos al coronel D. Pedro O-Daly, capitán de granaderos del regimiento de Hibernia, y 500 pesos á D. Gui llermo Q-Cancanen, teniente retirado á la plaza de Tuy, se hace saber á ios inte r…</t>
  </si>
  <si>
    <t>Zabaleguí, Martin</t>
  </si>
  <si>
    <t>Martin Zabaleguí</t>
  </si>
  <si>
    <t>…nun cia al público para que en ei término de 30 dias contados desde 23 de Setiembre, acudan á dicha escribanía á hacer las posturas que tuvieren por conveniente. Se desea saber de D. Martin Zabaleguí, mariscal mayor del Real cuerpo de Guardias de Corps: las personas que tuvieren noticias de él de fecha posterior á la batalla de Ocaña, se servirán comunicarlas á su muger Doña Mariana Rus, que vi ve en esta corte, calle del Norte, núm. 15. Se halla vacante…</t>
  </si>
  <si>
    <t>Zamácola, Juan Antonio</t>
  </si>
  <si>
    <t>Juan Antonio Zamácola</t>
  </si>
  <si>
    <t>…u fecha 17 del corriente mes y año, dada en ei concurso formado por D. Pablo Antonia de Tarsis, á instancia de este, por la escribanía de provincia va cante que sirvió últimamente D. Juan Antonio Zamácola, se cita, llama y empla za á los herederos de D. Francisco Xavier Vizoso y su difunta muger Doña María Antonia Bardaxí, que parece fuá heredera de aquel, acreedor que era á dicho con curso de no9 rs. de vn., para que en el preciso término de 20 dias comparezc…</t>
  </si>
  <si>
    <t>Zamora, José</t>
  </si>
  <si>
    <t>José Zamora</t>
  </si>
  <si>
    <t>…ra la canongía que ha vacado en la catedral de Barbastro por muerte de D. Silvestre Pueyo á D. Pedro Peralta y Balda ; para otra ca nongía de la de Cartagena, por fallecimiento de D. José Zamora, á Don Juan López Pelegrin , con retención de la capellanía de honor que sirve en la Real capilla; para otra canongía de la iglesia catedral de Tarazona, por muerte de D. Gregorio López de Castro, á D. Policarpo Romea ; para uní ración de la catedral de Sigíi…</t>
  </si>
  <si>
    <t>Zamora, José Leandro</t>
  </si>
  <si>
    <t>José Leandro Zamora</t>
  </si>
  <si>
    <t>…: y tenencias á los alféreces D. Juan Crisóstomo Altamirano, D. Eusebio Arandia, D. Silverio Antonio del Pdao y D. José Sarmiento. En el esquadron de Pacasmayo tenencia al alférez D. José Leandro Zamora. En ei de Amotape compañía al teiliente D. Joaquín de Helguero y Albo. Y en el esquadron de milicias disciplinadas de dragones de Guayaquil compañías á los tenientes D. Sebastian Baquerizó y D. José Joaquín AviíéS; El cabildo de Toledo, deseoso de contribuir…</t>
  </si>
  <si>
    <t>Zapata, Hilario</t>
  </si>
  <si>
    <t>Hilario Zapata</t>
  </si>
  <si>
    <t>…e fue del regimiento infantería de Africa, de quien nada se ha sabido desde el 19 de Noviembre de 1809, en cuyo dia se halló en la batalla de Ocaña, tendrá la bondad de avisarlo á D. Hilario Zapata, subteniente del regimiento infantería de línea de la Corona, que se halla en.Madrid de guarnición. Se desea seber el paradero de D. Martin Ignacio de Insausti, cadete del regi miento de Murcia, en el qual tomó los cordones el año de 1808: el que lo supiere s…</t>
  </si>
  <si>
    <t>Zappino, Manuel</t>
  </si>
  <si>
    <t>Manuel Zappino</t>
  </si>
  <si>
    <t>…rrea. . ¡; í/ . .-y ^ r 77. ^ fAl Teniente general D. Francisco de Horcasitas. Por la Caballería..^ de i?ual cfase D Ju;m de H,nestrosa&gt; Por Ingenieros....... Al Mariscal de^Campo D. Manuel Zappino. Par Artillería,....... Al Tejiente general D. José Cienfuegos. Por Intendente...... D. Anselmo de Rivas. Por Togado..i........ D. Esteban Antonio de Orellana. Por Político........... Ai Coronel D. Francisco Antonio Diz. Fiscal militar........ Al Mariscal de…</t>
  </si>
  <si>
    <t>Zarate, Joaquín</t>
  </si>
  <si>
    <t>Joaquín Zarate</t>
  </si>
  <si>
    <t>…e mas de 50 bocas de cañón y obús, el pasar en sus lanchas como unos 600 hombres: en vista de este paso tan protegido, y sin poder ser contenido, el coronel de Voluntarios de León D. Joaquín Zarate» como gefe de día que se hallaba, dispuso la retirada de las tropas de servi cio, que fue executada con orden: los enemigos no salieron en su avance de la protección de su artillería, que proporciona ser mucho por la de sus fuerzas sutiles de un lado y de otr…</t>
  </si>
  <si>
    <t>Zarate, Joaquín Ortiz de</t>
  </si>
  <si>
    <t>Joaquín Ortiz de Zarate</t>
  </si>
  <si>
    <t>…= Excmo. Sr. ministro de la Guerra. — Es copia** La Regencia del Reyno se ha servido promover á teniente coronel en el cuerpo de ingenieros del exército al de infantería graduado D. Joaquín Ortiz de Zarate, sargento mayor de brigada del mismo. La Regencia del Reyno ha tenido á bien nombrar ayudante del regi miento provincial dé la Orotaba á D. Fernando Calimaao, teniente del regi miento de infantería de granaderos de Canarias. A consecuencia de lo acordado por…</t>
  </si>
  <si>
    <t>Zarate, Lorenzo Ortiz de</t>
  </si>
  <si>
    <t>Lorenzo Ortiz de Zarate</t>
  </si>
  <si>
    <t>toS teniente D. Lorenzo Ortiz de Zarate. Todo dispuesto así, siguió el brigadier S.anz su marcha hasta la torre de Corde con el regimiento de Rioja, manda do por su coronel D. Juan Antonio Tabuenca , y dos obuses que dirigía el capitán de artillería D; Luis García Peñ \: en el momento hizo adelanta…</t>
  </si>
  <si>
    <t>Zarate, Pedro Ortiz de</t>
  </si>
  <si>
    <t>Pedro Ortiz de Zarate</t>
  </si>
  <si>
    <t>Por el juzgado del Sr. Vicente Gervasio López, alcalde segundo constitucional efe la villa de Chinchón, y escribanía del número que exerce D. Pedro Ortiz de Zarate, hay autos pendientes por haber hallad® muerta violentamente á María Váz quez, conocida por la Andaluza, con residencia en Aranjuez. La persona que ten ga derecho á sus bienes acudirá ante dicho señor alcalde, donde se le administrara justicia. Los albaceas t…</t>
  </si>
  <si>
    <t>Zarauz, José de</t>
  </si>
  <si>
    <t>José de Zarauz</t>
  </si>
  <si>
    <t>…Reales exércitos'al teniente general marques de San Simón. &gt; A tenientes generales á los mariscales de campo marques de Casa-Cagi— gal, D.. Rámon de Alós, D Pedro Ignacio Correa, D. José de Zarauz* D. Francisco Salinas de Moñino, D. José del Pozo y Sucre, conde de Bel— bedel , D. Cárlos O’Doneli, D. Bernardo de Acuña , D. José Marta de Carvajal, el marques de Zayas, D. José María de Alós , D. Felipe de Paz, Príncipe de Anglona, D. Juan Senen de Coimera…</t>
  </si>
  <si>
    <t>Zarracina, Francisco</t>
  </si>
  <si>
    <t>Francisco Zarracina</t>
  </si>
  <si>
    <t>…Elorza, Don Gregorio Blake, D. Salvador González, D. Rafael Arjona, D. Carlos Na va, D. Miguel Socies, D. Ramón Salazar, D. Francisco Ferrer, D. Juan Puig, D. Inocente Mercadillo, D. Francisco Zarracina, D. Francisco Trovano, y á los soldados del f.° regimiento de la propia arma í). Joaquín; Irizar, D. Pablo López, D. Pedro Pagóla, D. Pedro Larrumbé y D. Ca yetano Ortega, en atención á su constante aplicación al estudio , aprove chamiento y buena conducta. S…</t>
  </si>
  <si>
    <t>Zarráélná, Joaquín</t>
  </si>
  <si>
    <t>Joaquín Zarráélná</t>
  </si>
  <si>
    <t>…Ramón Castell, id. de id. D. An drés Gayoso,, subteniente de id. D. Pedro Cid, id. de id. D. Lorenzo As ease) ¿ teniente coronel del de Ribero. D. Bartolomé Sotelo, capitán de id. D. Joaquín Zarráélná ¿-subteniente de id. D. Ramón de Muniz, sargento mayor ac Oviedo. D. Alberto Rodríguez, capitán de id. D. Fermín Rol dan^ teniente de id. D. José Morrillo, subteniente de id. D. Vicente Castañon, capitán del i.° Cántabro D. Bernardo Alvarez Vega, capitán del…</t>
  </si>
  <si>
    <t>Zauner</t>
  </si>
  <si>
    <t>…re los individuos qué hayan concurrido á ella, tanto del estado militar como del civil. Las 90® medallas serán pequeñas, 6® medianas ,y las 4® restan tes algo" mayores. El célebre profesor Zauner está ya trabajando para pre sentarlas lo mas pronto posible* Idem 2&lt;Z, ! i Antes de ayer se celebro por orden de nuestro piadoso monarca el feliz rescate del,Padre Santo en la iglesia metropolitana de S. Estéban con un solemne Te Deum, al que asistió S. M. la…</t>
  </si>
  <si>
    <t>Zavala</t>
  </si>
  <si>
    <t>…creación de i.° de Enero de 1808, con los núme ros 8809 t j 95675 , 109189 y 112810, y dos de 6oo, de la misma creación, nú meros 369332 y 369559, lodos endosados á favor de dicho Sr. Zavala; y no ha biendo llegado dicho pliego, se suplica á quien le haya recogido lo entregue en dicha ciudad al expresado D. Julián de Buruaga, ó en esta corte á D. Pedro An gel de Zavala. Para pago de un crédito se venden judicialmente 383 libras de tramas finas de…</t>
  </si>
  <si>
    <t>Zavala, Francisco de</t>
  </si>
  <si>
    <t>Francisco de Zavala</t>
  </si>
  <si>
    <t>…ano y Tío, donde con este motivo asistió igual mente un numeroso y lucido concurso. Se empeñaron en este partido los jugadores D. Ramón de Zuloaga , Don Julián Francisco delbarra, D. Francisco de Zavala y D. José Joaquín Hermoso. Sostuviéronla contra D. Juan Cruz delrigoyen, D. Manuel delturralde, p. Miguel Barcaiztegui, D. Juan Francisco de Elizalde. Hicieron de jueces para la decisión el teniente general D. Pedro Agustin Girón, el con de de Torre-Alta y D. Bernardino Evaña. S. M. m…</t>
  </si>
  <si>
    <t>Zavala, Juan</t>
  </si>
  <si>
    <t>Juan Zavala</t>
  </si>
  <si>
    <t>…ado de la otra parte del rio, opuesta á nuestro frente, le fué fácil huir con parte de su gente. Ent e los muertos hay dos ó tres sacerdotes; pero solo se ha podido conocer al Br. D. Juan Zavala, y ademas hay prisioneros varios fray les de diferentes religiones. Nuestra pérdida consiste en f muertos y 36 heridos. El detall circunstanciado lo remitiré á V. E. en la primera ocasión segura, y en el ínterin adelanto este parte para que V. E. tenga la not…</t>
  </si>
  <si>
    <t>Zavala, Pedro Angel de</t>
  </si>
  <si>
    <t>Pedro Angel de Zavala</t>
  </si>
  <si>
    <t>…arrales , al gunas pulmonías nerviosas............ Bueno. Guipúzcoa D. Julián de Buruaga, del comercio de Vitoria, remitió el 16 del corriente por el correo franqueado un pliego á D. Pedro Angel de Zavala, de esta corte, quatro vales de 300 pesos, de la creación de i.° de Enero de 1808, con los núme ros 8809 t j 95675 , 109189 y 112810, y dos de 6oo, de la misma creación, nú meros 369332 y 369559, lodos endosados á favor de dicho Sr. Zavala; y no ha biendo lle…</t>
  </si>
  <si>
    <t>Zayas, José de</t>
  </si>
  <si>
    <t>José de Zayas</t>
  </si>
  <si>
    <t>…consecuencia la Regencia tomará las me didas que juzgue necesarias, después de haber oido sobre to do lo que puede hacer relación á mi viage al dador de esta el mariscal de campo D. José de Zayas. En quanto al restablecimiento de las Cortes, de que me habla la Regencia, como á todo lo que puede haberse hecho durante mi ausencia que sea útil al rey ño, siempre merecerá mi aprobación, como conforme á mis reales intenciones. En Valencey á lo de Marzo de…</t>
  </si>
  <si>
    <t>Zayas, José Eugenio Garrido Reluz y</t>
  </si>
  <si>
    <t>José Eugenio Garrido Reluz y Zayas</t>
  </si>
  <si>
    <t>…particular complacencia sus edificios arruinados, sus campos talados &lt;&gt; yermos, porque le recuerdan lo que hizo por su Rey y Señor 0. Fernan do vil el deseado.” El día 7 del mismo D. José Eugenio Garrido Reluz y Zayas, vecino del pueblo de Víanos, tuvo el honor de felicitar y besar la mano á S. M\r arengando en los términos siguientes: Señor: el pueblo de Víanos, provincia-de la Mancha y partido de Ah— caraz, ansioso de felicitar á V. M. por su feliz advenimiento y regreso…</t>
  </si>
  <si>
    <t>Zendoquiz, Mateo</t>
  </si>
  <si>
    <t>Mateo Zendoquiz</t>
  </si>
  <si>
    <t>…e la Torre, Don Vicente Fita* D. Joaquin Sistemes, D. Francisco Allomó de Tuero, Don José Manuel Arjona, D. Andrés Oller, D. Alexandro Dolarea y D. Tadeo Soler y Cases, y fiscal á D. Mateo Zendoquiz. La persona que supiere del paradero de D. José Bueno, cirujano mayor de exército, se servirá avisarlo en esta corte en la calle de Santiago, casa núm. 10, quarto segundo, en donde darán rázon de un hijo que dexó este en ama durante el segundó .sitio de Zarag…</t>
  </si>
  <si>
    <t>Zeñur, José</t>
  </si>
  <si>
    <t>José Zeñur</t>
  </si>
  <si>
    <t>…ademas de su plan , por referir le revolución de Polonia , que tiene macha analogía con la de España, á 7 rs. en rústica.zz Paráfrasis de la epístola Ovidiana de Dido á Eneas, por D. José Zeñur*. papel que manifiesta la igualdad de la len gua castellana con la latina.zzLa crianza mugeril al uso, ó fábula original satíricojocosa de Danae, compuesta en octava rima por un semi~poeta del siglo xvni. Se dan en este opúsculo consejos muy interesantes á lo…</t>
  </si>
  <si>
    <t>Zenzano, Vicente Saenz de</t>
  </si>
  <si>
    <t>Vicente Saenz de Zenzano</t>
  </si>
  <si>
    <t>…o y Cerralbo , diócesis de Ciudad-Rodrigo, vacantes por muerte de D. Angel Tellez, y el de Sepulcro Hilario ,1 vacante en la misma diócesis por fallecimiento de D. Joaquín Uria, á D. Vicente Saenz de Zenzano; y para el préstamo de Gallegos dé Sobrinos, él de Horcajo dé las Tor res, :y él medio préstame» de Diego Alvaro;, todos tre$ en el obispado de Avila"qué resultan vácaHíes por renilnciaqüe de ellos ha hecho .Di Cárlós Gakiínartin,' á qyiéh $. M. sé'ha servido…</t>
  </si>
  <si>
    <t>Zepellin</t>
  </si>
  <si>
    <t>102</t>
  </si>
  <si>
    <t>…Noviembre de 1813. s Carlos” Stuttgardt 4 de Diciembre. El 2 del mes pasado se firmo en Fulda un tratado entre el principe dé Metternich., por parte del emperador de Austria, y el conde Zepellin, por parte del rey de W urtemberg, que en substancia es el siguiente: ,,La alianza entre las altas partes contratantes tendrá por objeto la coope ración mas activa para el restablecimiento de un orden de cosas en Europa, que pueda asegurar á todos su independ…</t>
  </si>
  <si>
    <t>Zieten</t>
  </si>
  <si>
    <t>292 ,, La vanguardia del cuerpo del general Kieist, a! mando del general Zieten, fué destacada para comenzar el ataque. El enemigo ocupaba el pue blo de Etoges y una altura arbolada de su izquierda, presentando un gran cuerpo de caballería y varias columnas de infantería. Su fuerza en todo se regulaba en unos 9 á 10® hombres. Según iba a…</t>
  </si>
  <si>
    <t>…ería,.: v, adelantado mundo ep el ardor, de 1 i persepueion se.isca$%. nes/dto el enemigo'una carga repentina , y se apodero de ellqsperoda c&amp;? baüería prusiana, á las órdenes del general Zieten y deí coronel Blucher, hijo del feld-mariscal, los recuperó inmediatamente. Cayeron en sus manos ajguqqs píiiioperos, y dp ellos se supo que se hallaba aUi Bonapaxte con to-</t>
  </si>
  <si>
    <t>Zieten-ry</t>
  </si>
  <si>
    <t>…ba present en los puntos de mas peligro.» y el de los generales Kleist, Kapsiewitz y del general Gniesenau, que dirigió: el'movimiento de la calzada ; y fin. Imente el exemplo del general Zieten-ry del príncipe Augu to de Píusia, que estuvo siempre al frente de su brigada, estimulándola á los mas h’eroycos esfuerzos, no han podido menos de inspirar á los solda dos una resolución tan firme, que debe llenar al enemigo de admiración y de sorpresa. . ■ „ Of…</t>
  </si>
  <si>
    <t>Zorrilla, Manuel</t>
  </si>
  <si>
    <t>Manuel Zorrilla</t>
  </si>
  <si>
    <t>…l, ó en Cádiz á D. Juan Antonio Uriarte, del comercio de ella. El Dr. D. José García de Linares, prebendado de la catedral de Tara zona de Aragón, dará noticia de un equipjrge que D. Manuel Zorrilla, teniente del regi miento de Teja, dexó en dicha ciudad en la precipitada retirada que hizo su cuerpo a fines de Noviembre de i3o8. Se desea tener noticL'.s de D. Francisco Sánchez Valladares, oficial que fue de la terrería mayor, y destinado por la Junta cen…</t>
  </si>
  <si>
    <t>Zorrilla, María Teresa</t>
  </si>
  <si>
    <t>María Teresa Zorrilla</t>
  </si>
  <si>
    <t>…a D. Antonio Amat de Tortosa para comunicarle un asunto que le interesa, y asi se suplica al que lo sepa que lo avise en Madrid en la confitería de la calle del Pez, y en Arenas á Doña María Teresa Zorrilla de la Rocha. EN LA IMPRENTA REAL.</t>
  </si>
  <si>
    <t>Zorrilla, Valentín</t>
  </si>
  <si>
    <t>Valentín Zorrilla</t>
  </si>
  <si>
    <t>…. D. Ramón de Roda, ex-cate— drático y penitenciario de la metropolitana de .Santiago; del Sr. D. Bonifa cio Tosamos , ex-catedrático y iectoral.de Sto. Domingo de la Calzada; del Sr. D. Valentín Zorrilla , ex-catedrático é inquisidor que fué de Santiago, Ír del R&lt; P. M. Fr. Manuel Martínez , catedrático de sagrada teología, de a merced calzada;, y después de haber tenido la honra de besar la mano á S. M,, el primero de ellos pronunció el dircurso siguiente: ,…</t>
  </si>
  <si>
    <t>…de su lealtad.** Igualmente en este dia tuvieron el honor de presentarse á cumplimentar á S. M. y AA. por la villa de Haro D. José Salamanca, tesorero de la pro vincia de Madrid, D. Valentín Zorrilla, ex-inquisidor de Santiago, y D. Antonio Blanco; y después de besar la mano á S. M., el primero le di rigió el discurso siguiente: ,,Señor; la villa de Haro, constante en los principios de amor, fidelidad y obediencia á V. M., que le han sido «-siempre' carac…</t>
  </si>
  <si>
    <t>Zuazagi, Domingo de</t>
  </si>
  <si>
    <t>Domingo de Zuazagi</t>
  </si>
  <si>
    <t>…Persona. D. Francisco Ameller, del comercio de Madrid, en 18 de Junio de este año remitió por el correo un vale de 600 pesos de la creación de Mayo, número 4; 0477 , encabezado á D. Domingo de Zuazagi, y con esta firma lo endosó á Don Francisco Planas y Casals, de Barcelona, que escribe no haberle recibido. Suplica á la persona á quien haya ido á parar lo entregue en Barcelona ai citado D. Fran cisco Planas y Casals, y en Madrid al citado Ameller. Segundo…</t>
  </si>
  <si>
    <t>Zubiaga, Pedro María de</t>
  </si>
  <si>
    <t>Pedro María de Zubiaga</t>
  </si>
  <si>
    <t>…rados de la audiencia. En virtud de providencia de*l Sr. D. Francisco Assin, teniente corregidor de esta villa, se cita, Fama y emplaza á los acreedores á los bienes dimitidos por D. Pedro María de Zubiaga, residente que fué en esta corte, para que en el tér mino de 30 dias , contados desdeño de Julio último, acudan ante dicho señor juez por la escribanía del número de D. Antonio López de Salazar, por sí ó personas que les represante con poder bastante, á deduc…</t>
  </si>
  <si>
    <t>Zuíoaga, Pedro</t>
  </si>
  <si>
    <t>Pedro Zuíoaga</t>
  </si>
  <si>
    <t>…nacio de Lardizabal; á pri mer ayudante mayor al segundo D. Ramón de Melgarejo; á primeros te nientes á D. Mariano López, de cazadores; y de fusileros á D. Manuel Menendez Vaídes, D. Pedro Zuíoaga y D. José González de Ribera; á segundo ayudante mayor á D. Antonio Romero; á segundos tenientes á D. José Joaquín de la Mata, de granaderos, al conde de Torrejon de ca zadores, y de fusileros á D. José de Osea, D. Andrés de Andrade, D. Ig nacio de Alava, D. Antonio María San Andrés y D.…</t>
  </si>
  <si>
    <t>Zulaybar, Pedro</t>
  </si>
  <si>
    <t>Pedro Zulaybar</t>
  </si>
  <si>
    <t>…ido: 4 Santander y Bayona con otros prisio nero*, yno habiendo tenido anas noticia desde aquella época, se suplica á la perso na que sepa si existe ó ha fallecido ,To manifieste á D. Pedro Zulaybar, vecino de Gijon , ó á D. Diego Crespo de Tejada", del comercio de Madrid, portales de Sra. Cruz. Man fie/to del arzobispo de Nicea D. Pedro Gravina, nuncio y legado de S. S., sobre las ocurrencias de su extrañamiento,^ se le agrega el apéndice de los documen…</t>
  </si>
  <si>
    <t>Zuloaga, Ramón de</t>
  </si>
  <si>
    <t>Ramón de Zuloaga</t>
  </si>
  <si>
    <t>…acompañado de SS. A A. los Se ñores Infantes su Hermano y Tío, donde con este motivo asistió igual mente un numeroso y lucido concurso. Se empeñaron en este partido los jugadores D. Ramón de Zuloaga , Don Julián Francisco delbarra, D. Francisco de Zavala y D. José Joaquín Hermoso. Sostuviéronla contra D. Juan Cruz delrigoyen, D. Manuel delturralde, p. Miguel Barcaiztegui, D. Juan Francisco de Elizalde. Hicieron de jueces para la decisión el teniente gene…</t>
  </si>
  <si>
    <t>Zúñiga, Nicolás</t>
  </si>
  <si>
    <t>Nicolás Zúñiga</t>
  </si>
  <si>
    <t>…Morales, D. José Nicolás de Lequona , D. Antonio de Ja Barrea da y D. Manuel Cabrera; y tenencias á los subtenientes D. Manuel Estéban Lason , D. Juan Escobar, D. Vicente Vaidés, D. Nicolás Zúñiga, D. Cárlos Ascona y D. Ramón del Pino. En el batallón de Piura el empleo de comandante á D. Juan Cristóbal de la Cruz, comandante del esquadron de dragones de Amotape. En las compañías sueltas de Truxillo empleo de capitán al teniente de granaderos D. Miguel…</t>
  </si>
  <si>
    <t>Zurbano, Félix María de</t>
  </si>
  <si>
    <t>Félix María de Zurbano</t>
  </si>
  <si>
    <t>…arrio, presbítero y coadjutor del ministro; D. José Pé rez Ochoa y Sevillano, presbítero y secretario de gobierno; D. Eusebio EU gueta Vigil de Quiñones, secretario de enfermería; D. Félix María de Zurbano, procurador general; D. Juan Agustín Lepez Moron, presbítero, vi cario del culto divino, y el conde de Alba Real de Tajo, vocal; el primero de los quales habló en ios términos siguientes: ,,Señor: la venerable orden tercera de S. Francisco de esta corte no ha…</t>
  </si>
  <si>
    <t>Fuentes oficiales y criterio de elaboración · 1814</t>
  </si>
  <si>
    <t>176 archivos · 1418 páginas · enlaces al facsímil oficial</t>
  </si>
  <si>
    <t>Archivo</t>
  </si>
  <si>
    <t>Páginas PDF</t>
  </si>
  <si>
    <t>Registros del índice</t>
  </si>
  <si>
    <t>Facsímil completo</t>
  </si>
  <si>
    <t>GRE-1814-1.pdf</t>
  </si>
  <si>
    <t>GRE-1814-2.pdf</t>
  </si>
  <si>
    <t>GRE-1814-5.pdf</t>
  </si>
  <si>
    <t>GRE-1814-3.pdf</t>
  </si>
  <si>
    <t>GRE-1814-4E.pdf</t>
  </si>
  <si>
    <t>GRE-1814-6.pdf</t>
  </si>
  <si>
    <t>GRE-1814-7.pdf</t>
  </si>
  <si>
    <t>GRE-1814-8.pdf</t>
  </si>
  <si>
    <t>GRE-1814-9.pdf</t>
  </si>
  <si>
    <t>GRE-1814-10.pdf</t>
  </si>
  <si>
    <t>GRE-1814-11.pdf</t>
  </si>
  <si>
    <t>GRE-1814-12.pdf</t>
  </si>
  <si>
    <t>GRE-1814-13.pdf</t>
  </si>
  <si>
    <t>GRE-1814-14.pdf</t>
  </si>
  <si>
    <t>GRE-1814-15.pdf</t>
  </si>
  <si>
    <t>GRE-1814-16.pdf</t>
  </si>
  <si>
    <t>GRE-1814-17.pdf</t>
  </si>
  <si>
    <t>GRE-1814-18.pdf</t>
  </si>
  <si>
    <t>GRE-1814-31.pdf</t>
  </si>
  <si>
    <t>GRE-1814-19.pdf</t>
  </si>
  <si>
    <t>GRE-1814-20.pdf</t>
  </si>
  <si>
    <t>GRE-1814-21.pdf</t>
  </si>
  <si>
    <t>GRE-1814-22.pdf</t>
  </si>
  <si>
    <t>GRE-1814-23.pdf</t>
  </si>
  <si>
    <t>GRE-1814-24E.pdf</t>
  </si>
  <si>
    <t>GRE-1814-25.pdf</t>
  </si>
  <si>
    <t>GRE-1814-26.pdf</t>
  </si>
  <si>
    <t>GRE-1814-27.pdf</t>
  </si>
  <si>
    <t>GRE-1814-28.pdf</t>
  </si>
  <si>
    <t>GRE-1814-29.pdf</t>
  </si>
  <si>
    <t>GRE-1814-30.pdf</t>
  </si>
  <si>
    <t>GRE-1814-32E.pdf</t>
  </si>
  <si>
    <t>GRE-1814-33.pdf</t>
  </si>
  <si>
    <t>GRE-1814-34E.pdf</t>
  </si>
  <si>
    <t>Gazeta de la Regencia de las Españas n.º 34 (archivo no disponible en BOE)</t>
  </si>
  <si>
    <t>GRE-1814-34.pdf</t>
  </si>
  <si>
    <t>GRE-1814-35.pdf</t>
  </si>
  <si>
    <t>GRE-1814-36.pdf</t>
  </si>
  <si>
    <t>GRE-1814-37.pdf</t>
  </si>
  <si>
    <t>GRE-1814-38.pdf</t>
  </si>
  <si>
    <t>GRE-1814-39.pdf</t>
  </si>
  <si>
    <t>GRE-1814-40E.pdf</t>
  </si>
  <si>
    <t>GRE-1814-41.pdf</t>
  </si>
  <si>
    <t>GRE-1814-42E.pdf</t>
  </si>
  <si>
    <t>GRE-1814-43.pdf</t>
  </si>
  <si>
    <t>GRE-1814-44.pdf</t>
  </si>
  <si>
    <t>GRE-1814-45E.pdf</t>
  </si>
  <si>
    <t>GRE-1814-46.pdf</t>
  </si>
  <si>
    <t>GRE-1814-47.pdf</t>
  </si>
  <si>
    <t>GRE-1814-48E.pdf</t>
  </si>
  <si>
    <t>GRE-1814-49.pdf</t>
  </si>
  <si>
    <t>GRE-1814-50.pdf</t>
  </si>
  <si>
    <t>GRE-1814-51.pdf</t>
  </si>
  <si>
    <t>GRE-1814-52.pdf</t>
  </si>
  <si>
    <t>GRE-1814-53.pdf</t>
  </si>
  <si>
    <t>GRE-1814-54E.pdf</t>
  </si>
  <si>
    <t>GRE-1814-55.pdf</t>
  </si>
  <si>
    <t>GRE-1814-56.pdf</t>
  </si>
  <si>
    <t>GRE-1814-57.pdf</t>
  </si>
  <si>
    <t>GRE-1814-58E.pdf</t>
  </si>
  <si>
    <t>GRE-1814-59.pdf</t>
  </si>
  <si>
    <t>GRE-1814-60E.pdf</t>
  </si>
  <si>
    <t>GRE-1814-61.pdf</t>
  </si>
  <si>
    <t>GRE-1814-62E.pdf</t>
  </si>
  <si>
    <t>GRE-1814-63.pdf</t>
  </si>
  <si>
    <t>GRE-1814-64.pdf</t>
  </si>
  <si>
    <t>GRE-1814-65.pdf</t>
  </si>
  <si>
    <t>GRE-1814-66.pdf</t>
  </si>
  <si>
    <t>GRE-1814-67.pdf</t>
  </si>
  <si>
    <t>GRE-1814-68.pdf</t>
  </si>
  <si>
    <t>GMD-1814-69.pdf</t>
  </si>
  <si>
    <t>GMD-1814-70E.pdf</t>
  </si>
  <si>
    <t>GMD-1814-71.pdf</t>
  </si>
  <si>
    <t>GMD-1814-72.pdf</t>
  </si>
  <si>
    <t>GMD-1814-73E.pdf</t>
  </si>
  <si>
    <t>GMD-1814-74.pdf</t>
  </si>
  <si>
    <t>GMD-1814-75.pdf</t>
  </si>
  <si>
    <t>GMD-1814-76.pdf</t>
  </si>
  <si>
    <t>GMD-1814-77.pdf</t>
  </si>
  <si>
    <t>GMD-1814-78.pdf</t>
  </si>
  <si>
    <t>GMD-1814-79.pdf</t>
  </si>
  <si>
    <t>GMD-1814-80.pdf</t>
  </si>
  <si>
    <t>GMD-1814-81.pdf</t>
  </si>
  <si>
    <t>GMD-1814-82.pdf</t>
  </si>
  <si>
    <t>GMD-1814-83.pdf</t>
  </si>
  <si>
    <t>GMD-1814-84.pdf</t>
  </si>
  <si>
    <t>GMD-1814-85.pdf</t>
  </si>
  <si>
    <t>GMD-1814-86.pdf</t>
  </si>
  <si>
    <t>GMD-1814-87.pdf</t>
  </si>
  <si>
    <t>GMD-1814-88.pdf</t>
  </si>
  <si>
    <t>GMD-1814-89.pdf</t>
  </si>
  <si>
    <t>GMD-1814-90.pdf</t>
  </si>
  <si>
    <t>GMD-1814-91.pdf</t>
  </si>
  <si>
    <t>GMD-1814-92.pdf</t>
  </si>
  <si>
    <t>GMD-1814-93.pdf</t>
  </si>
  <si>
    <t>GMD-1814-94.pdf</t>
  </si>
  <si>
    <t>GMD-1814-95.pdf</t>
  </si>
  <si>
    <t>GMD-1814-96.pdf</t>
  </si>
  <si>
    <t>GMD-1814-97.pdf</t>
  </si>
  <si>
    <t>GMD-1814-98.pdf</t>
  </si>
  <si>
    <t>GMD-1814-99.pdf</t>
  </si>
  <si>
    <t>GMD-1814-100.pdf</t>
  </si>
  <si>
    <t>GMD-1814-101.pdf</t>
  </si>
  <si>
    <t>GMD-1814-102.pdf</t>
  </si>
  <si>
    <t>GMD-1814-103.pdf</t>
  </si>
  <si>
    <t>GMD-1814-104.pdf</t>
  </si>
  <si>
    <t>GMD-1814-105.pdf</t>
  </si>
  <si>
    <t>GMD-1814-106.pdf</t>
  </si>
  <si>
    <t>GMD-1814-107.pdf</t>
  </si>
  <si>
    <t>GMD-1814-108.pdf</t>
  </si>
  <si>
    <t>GMD-1814-109.pdf</t>
  </si>
  <si>
    <t>GMD-1814-110.pdf</t>
  </si>
  <si>
    <t>GMD-1814-111.pdf</t>
  </si>
  <si>
    <t>GMD-1814-112.pdf</t>
  </si>
  <si>
    <t>GMD-1814-113.pdf</t>
  </si>
  <si>
    <t>GMD-1814-114.pdf</t>
  </si>
  <si>
    <t>GMD-1814-115.pdf</t>
  </si>
  <si>
    <t>GMD-1814-116.pdf</t>
  </si>
  <si>
    <t>GMD-1814-117.pdf</t>
  </si>
  <si>
    <t>GMD-1814-118.pdf</t>
  </si>
  <si>
    <t>GMD-1814-119.pdf</t>
  </si>
  <si>
    <t>GMD-1814-120E.pdf</t>
  </si>
  <si>
    <t>GMD-1814-121.pdf</t>
  </si>
  <si>
    <t>GMD-1814-122.pdf</t>
  </si>
  <si>
    <t>GMD-1814-123.pdf</t>
  </si>
  <si>
    <t>GMD-1814-124.pdf</t>
  </si>
  <si>
    <t>GMD-1814-125.pdf</t>
  </si>
  <si>
    <t>GMD-1814-126.pdf</t>
  </si>
  <si>
    <t>GMD-1814-127.pdf</t>
  </si>
  <si>
    <t>GMD-1814-128.pdf</t>
  </si>
  <si>
    <t>GMD-1814-129.pdf</t>
  </si>
  <si>
    <t>GMD-1814-130.pdf</t>
  </si>
  <si>
    <t>GMD-1814-131.pdf</t>
  </si>
  <si>
    <t>GMD-1814-132.pdf</t>
  </si>
  <si>
    <t>GMD-1814-133.pdf</t>
  </si>
  <si>
    <t>GMD-1814-134.pdf</t>
  </si>
  <si>
    <t>GMD-1814-135.pdf</t>
  </si>
  <si>
    <t>GMD-1814-136.pdf</t>
  </si>
  <si>
    <t>GMD-1814-137.pdf</t>
  </si>
  <si>
    <t>GMD-1814-138.pdf</t>
  </si>
  <si>
    <t>GMD-1814-139.pdf</t>
  </si>
  <si>
    <t>GMD-1814-140.pdf</t>
  </si>
  <si>
    <t>GMD-1814-141.pdf</t>
  </si>
  <si>
    <t>GMD-1814-142.pdf</t>
  </si>
  <si>
    <t>GMD-1814-143.pdf</t>
  </si>
  <si>
    <t>GMD-1814-144.pdf</t>
  </si>
  <si>
    <t>GMD-1814-145.pdf</t>
  </si>
  <si>
    <t>GMD-1814-146.pdf</t>
  </si>
  <si>
    <t>GMD-1814-147.pdf</t>
  </si>
  <si>
    <t>GMD-1814-148.pdf</t>
  </si>
  <si>
    <t>GMD-1814-149.pdf</t>
  </si>
  <si>
    <t>GMD-1814-150.pdf</t>
  </si>
  <si>
    <t>GMD-1814-151.pdf</t>
  </si>
  <si>
    <t>GMD-1814-152.pdf</t>
  </si>
  <si>
    <t>GMD-1814-153.pdf</t>
  </si>
  <si>
    <t>GMD-1814-154.pdf</t>
  </si>
  <si>
    <t>GMD-1814-155.pdf</t>
  </si>
  <si>
    <t>GMD-1814-156.pdf</t>
  </si>
  <si>
    <t>GMD-1814-157.pdf</t>
  </si>
  <si>
    <t>GMD-1814-158.pdf</t>
  </si>
  <si>
    <t>GMD-1814-159.pdf</t>
  </si>
  <si>
    <t>GMD-1814-160.pdf</t>
  </si>
  <si>
    <t>GMD-1814-161.pdf</t>
  </si>
  <si>
    <t>GMD-1814-162.pdf</t>
  </si>
  <si>
    <t>GMD-1814-163.pdf</t>
  </si>
  <si>
    <t>GMD-1814-164.pdf</t>
  </si>
  <si>
    <t>GMD-1814-165.pdf</t>
  </si>
  <si>
    <t>GMD-1814-166E.pdf</t>
  </si>
  <si>
    <t>GMD-1814-167.pdf</t>
  </si>
  <si>
    <t>GMD-1814-168.pdf</t>
  </si>
  <si>
    <t>GMD-1814-169.pdf</t>
  </si>
  <si>
    <t>GMD-1814-170.pdf</t>
  </si>
  <si>
    <t>GMD-1814-171.pdf</t>
  </si>
  <si>
    <t>GMD-1814-172.pdf</t>
  </si>
  <si>
    <t>GMD-1814-173.pdf</t>
  </si>
  <si>
    <t>Criterios, alcance y limitaciones</t>
  </si>
  <si>
    <t>Cobertura</t>
  </si>
  <si>
    <t>Se incluyen los 176 archivos localizados en la hemeroteca oficial entre el 1 de enero y el 31 de diciembre de 1814, incluidas las ediciones extraordinarias. El número GRE-1814-34 figura en la hoja de fuentes con 0 páginas porque el enlace oficial no estaba disponible durante la extracción.</t>
  </si>
  <si>
    <t>Cabeceras</t>
  </si>
  <si>
    <t>Gaceta de Madrid (105 archivos); Gazeta de la Regencia de las Españas (71 archivos).</t>
  </si>
  <si>
    <t>Numeración</t>
  </si>
  <si>
    <t>Los reinicios de numeración y las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</si>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</sst>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4" displayName="IndiceOnomasticoAnual1814" ref="A6:K5572" totalsRowShown="0">
  <autoFilter ref="A6:K5572"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4" displayName="FuentesGacetaAnual1814" ref="A4:F180" totalsRowShown="0">
  <autoFilter ref="A4:F180"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1.95" customHeight="1">
      <c r="A2" s="9" t="s">
        <v>1</v>
      </c>
      <c r="B2" s="9"/>
      <c r="C2" s="9"/>
      <c r="D2" s="9"/>
      <c r="E2" s="9"/>
      <c r="F2" s="9"/>
      <c r="G2" s="9"/>
      <c r="H2" s="9"/>
      <c r="I2" s="9"/>
      <c r="J2" s="9"/>
      <c r="K2" s="9"/>
    </row>
    <row r="3" spans="1:11" ht="33.950000000000003" customHeight="1">
      <c r="A3" s="10" t="s">
        <v>2</v>
      </c>
      <c r="B3" s="10"/>
      <c r="C3" s="10"/>
      <c r="D3" s="10"/>
      <c r="E3" s="10"/>
      <c r="F3" s="10"/>
      <c r="G3" s="10"/>
      <c r="H3" s="10"/>
      <c r="I3" s="10"/>
      <c r="J3" s="10"/>
      <c r="K3" s="10"/>
    </row>
    <row r="4" spans="1:11" ht="21.95" customHeight="1">
      <c r="A4" s="11" t="s">
        <v>3</v>
      </c>
      <c r="B4" s="11"/>
      <c r="C4" s="11"/>
      <c r="D4" s="11"/>
      <c r="E4" s="11"/>
      <c r="F4" s="11"/>
      <c r="G4" s="11"/>
      <c r="H4" s="11"/>
      <c r="I4" s="11"/>
      <c r="J4" s="11"/>
      <c r="K4" s="11"/>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-31182</v>
      </c>
      <c r="F7" s="3" t="s">
        <v>19</v>
      </c>
      <c r="G7" s="3" t="s">
        <v>20</v>
      </c>
      <c r="H7" s="2" t="s">
        <v>21</v>
      </c>
      <c r="I7" s="2" t="s">
        <v>22</v>
      </c>
      <c r="J7" s="3" t="str">
        <f>HYPERLINK("https://www.boe.es/gazeta/dias/1814/08/16/pdfs/GMD-1814-112.pdf#page=7","Abrir facsímil")</f>
        <v>Abrir facsímil</v>
      </c>
      <c r="K7" s="3" t="s">
        <v>23</v>
      </c>
    </row>
    <row r="8" spans="1:11" ht="42" customHeight="1">
      <c r="A8" s="2" t="s">
        <v>24</v>
      </c>
      <c r="B8" s="2" t="s">
        <v>25</v>
      </c>
      <c r="C8" s="2" t="s">
        <v>26</v>
      </c>
      <c r="D8" s="2" t="s">
        <v>27</v>
      </c>
      <c r="E8" s="5">
        <v>-31122</v>
      </c>
      <c r="F8" s="3" t="s">
        <v>28</v>
      </c>
      <c r="G8" s="3" t="s">
        <v>20</v>
      </c>
      <c r="H8" s="2" t="s">
        <v>21</v>
      </c>
      <c r="I8" s="2" t="s">
        <v>29</v>
      </c>
      <c r="J8" s="3" t="str">
        <f>HYPERLINK("https://www.boe.es/gazeta/dias/1814/10/15/pdfs/GMD-1814-139.pdf#page=7","Abrir facsímil")</f>
        <v>Abrir facsímil</v>
      </c>
      <c r="K8" s="3" t="s">
        <v>23</v>
      </c>
    </row>
    <row r="9" spans="1:11" ht="42" customHeight="1">
      <c r="A9" s="2" t="s">
        <v>30</v>
      </c>
      <c r="B9" s="2" t="s">
        <v>31</v>
      </c>
      <c r="C9" s="2" t="s">
        <v>32</v>
      </c>
      <c r="D9" s="2" t="s">
        <v>18</v>
      </c>
      <c r="E9" s="5">
        <v>-31236</v>
      </c>
      <c r="F9" s="3" t="s">
        <v>33</v>
      </c>
      <c r="G9" s="3" t="s">
        <v>34</v>
      </c>
      <c r="H9" s="2" t="s">
        <v>21</v>
      </c>
      <c r="I9" s="2" t="s">
        <v>35</v>
      </c>
      <c r="J9" s="3" t="str">
        <f>HYPERLINK("https://www.boe.es/gazeta/dias/1814/06/23/pdfs/GMD-1814-89.pdf#page=6","Abrir facsímil")</f>
        <v>Abrir facsímil</v>
      </c>
      <c r="K9" s="3" t="s">
        <v>23</v>
      </c>
    </row>
    <row r="10" spans="1:11" ht="42" customHeight="1">
      <c r="A10" s="2" t="s">
        <v>36</v>
      </c>
      <c r="B10" s="2" t="s">
        <v>37</v>
      </c>
      <c r="C10" s="2" t="s">
        <v>38</v>
      </c>
      <c r="D10" s="2" t="s">
        <v>39</v>
      </c>
      <c r="E10" s="5">
        <v>-31320</v>
      </c>
      <c r="F10" s="3" t="s">
        <v>40</v>
      </c>
      <c r="G10" s="3" t="s">
        <v>41</v>
      </c>
      <c r="H10" s="2" t="s">
        <v>21</v>
      </c>
      <c r="I10" s="2" t="s">
        <v>42</v>
      </c>
      <c r="J10" s="3" t="str">
        <f>HYPERLINK("https://www.boe.es/gazeta/dias/1814/03/31/pdfs/GRE-1814-46.pdf#page=4","Abrir facsímil")</f>
        <v>Abrir facsímil</v>
      </c>
      <c r="K10" s="3" t="s">
        <v>23</v>
      </c>
    </row>
    <row r="11" spans="1:11" ht="42" customHeight="1">
      <c r="A11" s="2" t="s">
        <v>43</v>
      </c>
      <c r="B11" s="2" t="s">
        <v>44</v>
      </c>
      <c r="C11" s="2" t="s">
        <v>45</v>
      </c>
      <c r="D11" s="2" t="s">
        <v>18</v>
      </c>
      <c r="E11" s="5">
        <v>-31173</v>
      </c>
      <c r="F11" s="3" t="s">
        <v>46</v>
      </c>
      <c r="G11" s="3" t="s">
        <v>20</v>
      </c>
      <c r="H11" s="2" t="s">
        <v>21</v>
      </c>
      <c r="I11" s="2" t="s">
        <v>47</v>
      </c>
      <c r="J11" s="3" t="str">
        <f>HYPERLINK("https://www.boe.es/gazeta/dias/1814/08/25/pdfs/GMD-1814-116.pdf#page=7","Abrir facsímil")</f>
        <v>Abrir facsímil</v>
      </c>
      <c r="K11" s="3" t="s">
        <v>23</v>
      </c>
    </row>
    <row r="12" spans="1:11" ht="42" customHeight="1">
      <c r="A12" s="2" t="s">
        <v>48</v>
      </c>
      <c r="B12" s="2" t="s">
        <v>49</v>
      </c>
      <c r="C12" s="2" t="s">
        <v>17</v>
      </c>
      <c r="D12" s="2" t="s">
        <v>18</v>
      </c>
      <c r="E12" s="5">
        <v>-31355</v>
      </c>
      <c r="F12" s="3" t="s">
        <v>50</v>
      </c>
      <c r="G12" s="3" t="s">
        <v>20</v>
      </c>
      <c r="H12" s="2" t="s">
        <v>21</v>
      </c>
      <c r="I12" s="2" t="s">
        <v>51</v>
      </c>
      <c r="J12" s="3" t="str">
        <f>HYPERLINK("https://www.boe.es/gazeta/dias/1814/02/24/pdfs/GRE-1814-26.pdf#page=7","Abrir facsímil")</f>
        <v>Abrir facsímil</v>
      </c>
      <c r="K12" s="3" t="s">
        <v>23</v>
      </c>
    </row>
    <row r="13" spans="1:11" ht="42" customHeight="1">
      <c r="A13" s="2" t="s">
        <v>48</v>
      </c>
      <c r="B13" s="2" t="s">
        <v>49</v>
      </c>
      <c r="C13" s="2" t="s">
        <v>38</v>
      </c>
      <c r="D13" s="2" t="s">
        <v>39</v>
      </c>
      <c r="E13" s="5">
        <v>-31355</v>
      </c>
      <c r="F13" s="3" t="s">
        <v>50</v>
      </c>
      <c r="G13" s="3" t="s">
        <v>52</v>
      </c>
      <c r="H13" s="2" t="s">
        <v>21</v>
      </c>
      <c r="I13" s="2" t="s">
        <v>53</v>
      </c>
      <c r="J13" s="3" t="str">
        <f>HYPERLINK("https://www.boe.es/gazeta/dias/1814/02/24/pdfs/GRE-1814-26.pdf#page=8","Abrir facsímil")</f>
        <v>Abrir facsímil</v>
      </c>
      <c r="K13" s="3" t="s">
        <v>23</v>
      </c>
    </row>
    <row r="14" spans="1:11" ht="42" customHeight="1">
      <c r="A14" s="2" t="s">
        <v>54</v>
      </c>
      <c r="B14" s="2" t="s">
        <v>55</v>
      </c>
      <c r="C14" s="2" t="s">
        <v>26</v>
      </c>
      <c r="D14" s="2" t="s">
        <v>27</v>
      </c>
      <c r="E14" s="5">
        <v>-31126</v>
      </c>
      <c r="F14" s="3" t="s">
        <v>56</v>
      </c>
      <c r="G14" s="3" t="s">
        <v>57</v>
      </c>
      <c r="H14" s="2" t="s">
        <v>21</v>
      </c>
      <c r="I14" s="2" t="s">
        <v>58</v>
      </c>
      <c r="J14" s="3" t="str">
        <f>HYPERLINK("https://www.boe.es/gazeta/dias/1814/10/11/pdfs/GMD-1814-137.pdf#page=6","Abrir facsímil")</f>
        <v>Abrir facsímil</v>
      </c>
      <c r="K14" s="3" t="s">
        <v>23</v>
      </c>
    </row>
    <row r="15" spans="1:11" ht="42" customHeight="1">
      <c r="A15" s="2" t="s">
        <v>59</v>
      </c>
      <c r="B15" s="2" t="s">
        <v>60</v>
      </c>
      <c r="C15" s="2" t="s">
        <v>17</v>
      </c>
      <c r="D15" s="2" t="s">
        <v>18</v>
      </c>
      <c r="E15" s="5">
        <v>-31105</v>
      </c>
      <c r="F15" s="3" t="s">
        <v>61</v>
      </c>
      <c r="G15" s="3" t="s">
        <v>52</v>
      </c>
      <c r="H15" s="2" t="s">
        <v>62</v>
      </c>
      <c r="I15" s="2" t="s">
        <v>63</v>
      </c>
      <c r="J15" s="3" t="str">
        <f>HYPERLINK("https://www.boe.es/gazeta/dias/1814/11/01/pdfs/GMD-1814-146.pdf#page=8","Abrir facsímil")</f>
        <v>Abrir facsímil</v>
      </c>
      <c r="K15" s="3" t="s">
        <v>64</v>
      </c>
    </row>
    <row r="16" spans="1:11" ht="42" customHeight="1">
      <c r="A16" s="2" t="s">
        <v>65</v>
      </c>
      <c r="B16" s="2" t="s">
        <v>66</v>
      </c>
      <c r="C16" s="2" t="s">
        <v>38</v>
      </c>
      <c r="D16" s="2" t="s">
        <v>39</v>
      </c>
      <c r="E16" s="5">
        <v>-31325</v>
      </c>
      <c r="F16" s="3" t="s">
        <v>67</v>
      </c>
      <c r="G16" s="3" t="s">
        <v>52</v>
      </c>
      <c r="H16" s="2" t="s">
        <v>62</v>
      </c>
      <c r="I16" s="2" t="s">
        <v>68</v>
      </c>
      <c r="J16" s="3" t="str">
        <f>HYPERLINK("https://www.boe.es/gazeta/dias/1814/03/26/pdfs/GRE-1814-43.pdf#page=8","Abrir facsímil")</f>
        <v>Abrir facsímil</v>
      </c>
      <c r="K16" s="3" t="s">
        <v>64</v>
      </c>
    </row>
    <row r="17" spans="1:11" ht="42" customHeight="1">
      <c r="A17" s="2" t="s">
        <v>69</v>
      </c>
      <c r="B17" s="2" t="s">
        <v>70</v>
      </c>
      <c r="C17" s="2" t="s">
        <v>38</v>
      </c>
      <c r="D17" s="2" t="s">
        <v>39</v>
      </c>
      <c r="E17" s="5">
        <v>-31299</v>
      </c>
      <c r="F17" s="3" t="s">
        <v>71</v>
      </c>
      <c r="G17" s="3" t="s">
        <v>52</v>
      </c>
      <c r="H17" s="2" t="s">
        <v>62</v>
      </c>
      <c r="I17" s="2" t="s">
        <v>72</v>
      </c>
      <c r="J17" s="3" t="str">
        <f>HYPERLINK("https://www.boe.es/gazeta/dias/1814/04/21/pdfs/GRE-1814-57.pdf#page=8","Abrir facsímil")</f>
        <v>Abrir facsímil</v>
      </c>
      <c r="K17" s="3" t="s">
        <v>64</v>
      </c>
    </row>
    <row r="18" spans="1:11" ht="42" customHeight="1">
      <c r="A18" s="2" t="s">
        <v>73</v>
      </c>
      <c r="B18" s="2" t="s">
        <v>74</v>
      </c>
      <c r="C18" s="2" t="s">
        <v>38</v>
      </c>
      <c r="D18" s="2" t="s">
        <v>39</v>
      </c>
      <c r="E18" s="5">
        <v>-31182</v>
      </c>
      <c r="F18" s="3" t="s">
        <v>19</v>
      </c>
      <c r="G18" s="3" t="s">
        <v>57</v>
      </c>
      <c r="H18" s="2" t="s">
        <v>62</v>
      </c>
      <c r="I18" s="2" t="s">
        <v>75</v>
      </c>
      <c r="J18" s="3" t="str">
        <f>HYPERLINK("https://www.boe.es/gazeta/dias/1814/08/16/pdfs/GMD-1814-112.pdf#page=6","Abrir facsímil")</f>
        <v>Abrir facsímil</v>
      </c>
      <c r="K18" s="3" t="s">
        <v>64</v>
      </c>
    </row>
    <row r="19" spans="1:11" ht="42" customHeight="1">
      <c r="A19" s="2" t="s">
        <v>76</v>
      </c>
      <c r="B19" s="2" t="s">
        <v>77</v>
      </c>
      <c r="C19" s="2" t="s">
        <v>38</v>
      </c>
      <c r="D19" s="2" t="s">
        <v>39</v>
      </c>
      <c r="E19" s="5">
        <v>-31346</v>
      </c>
      <c r="F19" s="3" t="s">
        <v>78</v>
      </c>
      <c r="G19" s="3" t="s">
        <v>52</v>
      </c>
      <c r="H19" s="2" t="s">
        <v>62</v>
      </c>
      <c r="I19" s="2" t="s">
        <v>79</v>
      </c>
      <c r="J19" s="3" t="str">
        <f>HYPERLINK("https://www.boe.es/gazeta/dias/1814/03/05/pdfs/GRE-1814-30.pdf#page=8","Abrir facsímil")</f>
        <v>Abrir facsímil</v>
      </c>
      <c r="K19" s="3" t="s">
        <v>64</v>
      </c>
    </row>
    <row r="20" spans="1:11" ht="42" customHeight="1">
      <c r="A20" s="2" t="s">
        <v>80</v>
      </c>
      <c r="B20" s="2" t="s">
        <v>80</v>
      </c>
      <c r="C20" s="2" t="s">
        <v>38</v>
      </c>
      <c r="D20" s="2" t="s">
        <v>39</v>
      </c>
      <c r="E20" s="5">
        <v>-31301</v>
      </c>
      <c r="F20" s="3" t="s">
        <v>81</v>
      </c>
      <c r="G20" s="3" t="s">
        <v>82</v>
      </c>
      <c r="H20" s="2" t="s">
        <v>62</v>
      </c>
      <c r="I20" s="2" t="s">
        <v>83</v>
      </c>
      <c r="J20" s="3" t="str">
        <f>HYPERLINK("https://www.boe.es/gazeta/dias/1814/04/19/pdfs/GRE-1814-56.pdf#page=3","Abrir facsímil")</f>
        <v>Abrir facsímil</v>
      </c>
      <c r="K20" s="3" t="s">
        <v>64</v>
      </c>
    </row>
    <row r="21" spans="1:11" ht="42" customHeight="1">
      <c r="A21" s="2" t="s">
        <v>84</v>
      </c>
      <c r="B21" s="2" t="s">
        <v>85</v>
      </c>
      <c r="C21" s="2" t="s">
        <v>26</v>
      </c>
      <c r="D21" s="2" t="s">
        <v>27</v>
      </c>
      <c r="E21" s="5">
        <v>-31147</v>
      </c>
      <c r="F21" s="3" t="s">
        <v>86</v>
      </c>
      <c r="G21" s="3" t="s">
        <v>87</v>
      </c>
      <c r="H21" s="2" t="s">
        <v>62</v>
      </c>
      <c r="I21" s="2" t="s">
        <v>88</v>
      </c>
      <c r="J21" s="3" t="str">
        <f>HYPERLINK("https://www.boe.es/gazeta/dias/1814/09/20/pdfs/GMD-1814-128.pdf#page=2","Abrir facsímil")</f>
        <v>Abrir facsímil</v>
      </c>
      <c r="K21" s="3" t="s">
        <v>64</v>
      </c>
    </row>
    <row r="22" spans="1:11" ht="42" customHeight="1">
      <c r="A22" s="2" t="s">
        <v>89</v>
      </c>
      <c r="B22" s="2" t="s">
        <v>90</v>
      </c>
      <c r="C22" s="2" t="s">
        <v>26</v>
      </c>
      <c r="D22" s="2" t="s">
        <v>27</v>
      </c>
      <c r="E22" s="5">
        <v>-31147</v>
      </c>
      <c r="F22" s="3" t="s">
        <v>86</v>
      </c>
      <c r="G22" s="3" t="s">
        <v>87</v>
      </c>
      <c r="H22" s="2" t="s">
        <v>62</v>
      </c>
      <c r="I22" s="2" t="s">
        <v>91</v>
      </c>
      <c r="J22" s="3" t="str">
        <f>HYPERLINK("https://www.boe.es/gazeta/dias/1814/09/20/pdfs/GMD-1814-128.pdf#page=2","Abrir facsímil")</f>
        <v>Abrir facsímil</v>
      </c>
      <c r="K22" s="3" t="s">
        <v>64</v>
      </c>
    </row>
    <row r="23" spans="1:11" ht="42" customHeight="1">
      <c r="A23" s="2" t="s">
        <v>89</v>
      </c>
      <c r="B23" s="2" t="s">
        <v>90</v>
      </c>
      <c r="C23" s="2" t="s">
        <v>17</v>
      </c>
      <c r="D23" s="2" t="s">
        <v>18</v>
      </c>
      <c r="E23" s="5">
        <v>-31070</v>
      </c>
      <c r="F23" s="3" t="s">
        <v>92</v>
      </c>
      <c r="G23" s="3" t="s">
        <v>41</v>
      </c>
      <c r="H23" s="2" t="s">
        <v>62</v>
      </c>
      <c r="I23" s="2" t="s">
        <v>93</v>
      </c>
      <c r="J23" s="3" t="str">
        <f>HYPERLINK("https://www.boe.es/gazeta/dias/1814/12/06/pdfs/GMD-1814-161.pdf#page=4","Abrir facsímil")</f>
        <v>Abrir facsímil</v>
      </c>
      <c r="K23" s="3" t="s">
        <v>64</v>
      </c>
    </row>
    <row r="24" spans="1:11" ht="42" customHeight="1">
      <c r="A24" s="2" t="s">
        <v>94</v>
      </c>
      <c r="B24" s="2" t="s">
        <v>95</v>
      </c>
      <c r="C24" s="2" t="s">
        <v>38</v>
      </c>
      <c r="D24" s="2" t="s">
        <v>39</v>
      </c>
      <c r="E24" s="5">
        <v>-31122</v>
      </c>
      <c r="F24" s="3" t="s">
        <v>28</v>
      </c>
      <c r="G24" s="3" t="s">
        <v>57</v>
      </c>
      <c r="H24" s="2" t="s">
        <v>21</v>
      </c>
      <c r="I24" s="2" t="s">
        <v>96</v>
      </c>
      <c r="J24" s="3" t="str">
        <f>HYPERLINK("https://www.boe.es/gazeta/dias/1814/10/15/pdfs/GMD-1814-139.pdf#page=6","Abrir facsímil")</f>
        <v>Abrir facsímil</v>
      </c>
      <c r="K24" s="3" t="s">
        <v>23</v>
      </c>
    </row>
    <row r="25" spans="1:11" ht="42" customHeight="1">
      <c r="A25" s="2" t="s">
        <v>97</v>
      </c>
      <c r="B25" s="2" t="s">
        <v>97</v>
      </c>
      <c r="C25" s="2" t="s">
        <v>38</v>
      </c>
      <c r="D25" s="2" t="s">
        <v>39</v>
      </c>
      <c r="E25" s="5">
        <v>-31378</v>
      </c>
      <c r="F25" s="3" t="s">
        <v>98</v>
      </c>
      <c r="G25" s="3" t="s">
        <v>99</v>
      </c>
      <c r="H25" s="2" t="s">
        <v>62</v>
      </c>
      <c r="I25" s="2" t="s">
        <v>100</v>
      </c>
      <c r="J25" s="3" t="str">
        <f>HYPERLINK("https://www.boe.es/gazeta/dias/1814/02/01/pdfs/GRE-1814-15.pdf#page=5","Abrir facsímil")</f>
        <v>Abrir facsímil</v>
      </c>
      <c r="K25" s="3" t="s">
        <v>64</v>
      </c>
    </row>
    <row r="26" spans="1:11" ht="42" customHeight="1">
      <c r="A26" s="2" t="s">
        <v>97</v>
      </c>
      <c r="B26" s="2" t="s">
        <v>97</v>
      </c>
      <c r="C26" s="2" t="s">
        <v>38</v>
      </c>
      <c r="D26" s="2" t="s">
        <v>39</v>
      </c>
      <c r="E26" s="5">
        <v>-31236</v>
      </c>
      <c r="F26" s="3" t="s">
        <v>33</v>
      </c>
      <c r="G26" s="3" t="s">
        <v>82</v>
      </c>
      <c r="H26" s="2" t="s">
        <v>62</v>
      </c>
      <c r="I26" s="2" t="s">
        <v>101</v>
      </c>
      <c r="J26" s="3" t="str">
        <f>HYPERLINK("https://www.boe.es/gazeta/dias/1814/06/23/pdfs/GMD-1814-89.pdf#page=3","Abrir facsímil")</f>
        <v>Abrir facsímil</v>
      </c>
      <c r="K26" s="3" t="s">
        <v>64</v>
      </c>
    </row>
    <row r="27" spans="1:11" ht="42" customHeight="1">
      <c r="A27" s="2" t="s">
        <v>97</v>
      </c>
      <c r="B27" s="2" t="s">
        <v>97</v>
      </c>
      <c r="C27" s="2" t="s">
        <v>38</v>
      </c>
      <c r="D27" s="2" t="s">
        <v>39</v>
      </c>
      <c r="E27" s="5">
        <v>-31227</v>
      </c>
      <c r="F27" s="3" t="s">
        <v>102</v>
      </c>
      <c r="G27" s="3" t="s">
        <v>103</v>
      </c>
      <c r="H27" s="2" t="s">
        <v>62</v>
      </c>
      <c r="I27" s="2" t="s">
        <v>104</v>
      </c>
      <c r="J27" s="3" t="str">
        <f>HYPERLINK("https://www.boe.es/gazeta/dias/1814/07/02/pdfs/GMD-1814-93.pdf#page=4","Abrir facsímil")</f>
        <v>Abrir facsímil</v>
      </c>
      <c r="K27" s="3" t="s">
        <v>64</v>
      </c>
    </row>
    <row r="28" spans="1:11" ht="42" customHeight="1">
      <c r="A28" s="2" t="s">
        <v>97</v>
      </c>
      <c r="B28" s="2" t="s">
        <v>97</v>
      </c>
      <c r="C28" s="2" t="s">
        <v>105</v>
      </c>
      <c r="D28" s="2" t="s">
        <v>18</v>
      </c>
      <c r="E28" s="5">
        <v>-31150</v>
      </c>
      <c r="F28" s="3" t="s">
        <v>106</v>
      </c>
      <c r="G28" s="3" t="s">
        <v>107</v>
      </c>
      <c r="H28" s="2" t="s">
        <v>62</v>
      </c>
      <c r="I28" s="2" t="s">
        <v>108</v>
      </c>
      <c r="J28" s="3" t="str">
        <f>HYPERLINK("https://www.boe.es/gazeta/dias/1814/09/17/pdfs/GMD-1814-127.pdf#page=1","Abrir facsímil")</f>
        <v>Abrir facsímil</v>
      </c>
      <c r="K28" s="3" t="s">
        <v>64</v>
      </c>
    </row>
    <row r="29" spans="1:11" ht="42" customHeight="1">
      <c r="A29" s="2" t="s">
        <v>109</v>
      </c>
      <c r="B29" s="2" t="s">
        <v>110</v>
      </c>
      <c r="C29" s="2" t="s">
        <v>38</v>
      </c>
      <c r="D29" s="2" t="s">
        <v>39</v>
      </c>
      <c r="E29" s="5">
        <v>-31299</v>
      </c>
      <c r="F29" s="3" t="s">
        <v>71</v>
      </c>
      <c r="G29" s="3" t="s">
        <v>52</v>
      </c>
      <c r="H29" s="2" t="s">
        <v>62</v>
      </c>
      <c r="I29" s="2" t="s">
        <v>111</v>
      </c>
      <c r="J29" s="3" t="str">
        <f>HYPERLINK("https://www.boe.es/gazeta/dias/1814/04/21/pdfs/GRE-1814-57.pdf#page=8","Abrir facsímil")</f>
        <v>Abrir facsímil</v>
      </c>
      <c r="K29" s="3" t="s">
        <v>64</v>
      </c>
    </row>
    <row r="30" spans="1:11" ht="42" customHeight="1">
      <c r="A30" s="2" t="s">
        <v>112</v>
      </c>
      <c r="B30" s="2" t="s">
        <v>113</v>
      </c>
      <c r="C30" s="2" t="s">
        <v>38</v>
      </c>
      <c r="D30" s="2" t="s">
        <v>39</v>
      </c>
      <c r="E30" s="5">
        <v>-31322</v>
      </c>
      <c r="F30" s="3" t="s">
        <v>114</v>
      </c>
      <c r="G30" s="3" t="s">
        <v>52</v>
      </c>
      <c r="H30" s="2" t="s">
        <v>62</v>
      </c>
      <c r="I30" s="2" t="s">
        <v>115</v>
      </c>
      <c r="J30" s="3" t="str">
        <f>HYPERLINK("https://www.boe.es/gazeta/dias/1814/03/29/pdfs/GRE-1814-44.pdf#page=8","Abrir facsímil")</f>
        <v>Abrir facsímil</v>
      </c>
      <c r="K30" s="3" t="s">
        <v>64</v>
      </c>
    </row>
    <row r="31" spans="1:11" ht="42" customHeight="1">
      <c r="A31" s="2" t="s">
        <v>116</v>
      </c>
      <c r="B31" s="2" t="s">
        <v>117</v>
      </c>
      <c r="C31" s="2" t="s">
        <v>26</v>
      </c>
      <c r="D31" s="2" t="s">
        <v>27</v>
      </c>
      <c r="E31" s="5">
        <v>-31087</v>
      </c>
      <c r="F31" s="3" t="s">
        <v>118</v>
      </c>
      <c r="G31" s="3" t="s">
        <v>52</v>
      </c>
      <c r="H31" s="2" t="s">
        <v>62</v>
      </c>
      <c r="I31" s="2" t="s">
        <v>119</v>
      </c>
      <c r="J31" s="3" t="str">
        <f>HYPERLINK("https://www.boe.es/gazeta/dias/1814/11/19/pdfs/GMD-1814-154.pdf#page=8","Abrir facsímil")</f>
        <v>Abrir facsímil</v>
      </c>
      <c r="K31" s="3" t="s">
        <v>64</v>
      </c>
    </row>
    <row r="32" spans="1:11" ht="42" customHeight="1">
      <c r="A32" s="2" t="s">
        <v>120</v>
      </c>
      <c r="B32" s="2" t="s">
        <v>121</v>
      </c>
      <c r="C32" s="2" t="s">
        <v>26</v>
      </c>
      <c r="D32" s="2" t="s">
        <v>27</v>
      </c>
      <c r="E32" s="5">
        <v>-31220</v>
      </c>
      <c r="F32" s="3" t="s">
        <v>122</v>
      </c>
      <c r="G32" s="3" t="s">
        <v>57</v>
      </c>
      <c r="H32" s="2" t="s">
        <v>62</v>
      </c>
      <c r="I32" s="2" t="s">
        <v>123</v>
      </c>
      <c r="J32" s="3" t="str">
        <f>HYPERLINK("https://www.boe.es/gazeta/dias/1814/07/09/pdfs/GMD-1814-96.pdf#page=6","Abrir facsímil")</f>
        <v>Abrir facsímil</v>
      </c>
      <c r="K32" s="3" t="s">
        <v>64</v>
      </c>
    </row>
    <row r="33" spans="1:11" ht="42" customHeight="1">
      <c r="A33" s="2" t="s">
        <v>120</v>
      </c>
      <c r="B33" s="2" t="s">
        <v>121</v>
      </c>
      <c r="C33" s="2" t="s">
        <v>26</v>
      </c>
      <c r="D33" s="2" t="s">
        <v>27</v>
      </c>
      <c r="E33" s="5">
        <v>-31220</v>
      </c>
      <c r="F33" s="3" t="s">
        <v>122</v>
      </c>
      <c r="G33" s="3" t="s">
        <v>20</v>
      </c>
      <c r="H33" s="2" t="s">
        <v>62</v>
      </c>
      <c r="I33" s="2" t="s">
        <v>124</v>
      </c>
      <c r="J33" s="3" t="str">
        <f>HYPERLINK("https://www.boe.es/gazeta/dias/1814/07/09/pdfs/GMD-1814-96.pdf#page=7","Abrir facsímil")</f>
        <v>Abrir facsímil</v>
      </c>
      <c r="K33" s="3" t="s">
        <v>64</v>
      </c>
    </row>
    <row r="34" spans="1:11" ht="42" customHeight="1">
      <c r="A34" s="2" t="s">
        <v>125</v>
      </c>
      <c r="B34" s="2" t="s">
        <v>126</v>
      </c>
      <c r="C34" s="2" t="s">
        <v>26</v>
      </c>
      <c r="D34" s="2" t="s">
        <v>27</v>
      </c>
      <c r="E34" s="5">
        <v>-31238</v>
      </c>
      <c r="F34" s="3" t="s">
        <v>127</v>
      </c>
      <c r="G34" s="3" t="s">
        <v>128</v>
      </c>
      <c r="H34" s="2" t="s">
        <v>62</v>
      </c>
      <c r="I34" s="2" t="s">
        <v>129</v>
      </c>
      <c r="J34" s="3" t="str">
        <f>HYPERLINK("https://www.boe.es/gazeta/dias/1814/06/21/pdfs/GMD-1814-88.pdf#page=8","Abrir facsímil")</f>
        <v>Abrir facsímil</v>
      </c>
      <c r="K34" s="3" t="s">
        <v>64</v>
      </c>
    </row>
    <row r="35" spans="1:11" ht="42" customHeight="1">
      <c r="A35" s="2" t="s">
        <v>130</v>
      </c>
      <c r="B35" s="2" t="s">
        <v>131</v>
      </c>
      <c r="C35" s="2" t="s">
        <v>38</v>
      </c>
      <c r="D35" s="2" t="s">
        <v>39</v>
      </c>
      <c r="E35" s="5">
        <v>-31131</v>
      </c>
      <c r="F35" s="3" t="s">
        <v>132</v>
      </c>
      <c r="G35" s="3" t="s">
        <v>20</v>
      </c>
      <c r="H35" s="2" t="s">
        <v>62</v>
      </c>
      <c r="I35" s="2" t="s">
        <v>133</v>
      </c>
      <c r="J35" s="3" t="str">
        <f>HYPERLINK("https://www.boe.es/gazeta/dias/1814/10/06/pdfs/GMD-1814-135.pdf#page=7","Abrir facsímil")</f>
        <v>Abrir facsímil</v>
      </c>
      <c r="K35" s="3" t="s">
        <v>64</v>
      </c>
    </row>
    <row r="36" spans="1:11" ht="42" customHeight="1">
      <c r="A36" s="2" t="s">
        <v>134</v>
      </c>
      <c r="B36" s="2" t="s">
        <v>135</v>
      </c>
      <c r="C36" s="2" t="s">
        <v>17</v>
      </c>
      <c r="D36" s="2" t="s">
        <v>18</v>
      </c>
      <c r="E36" s="5">
        <v>-31119</v>
      </c>
      <c r="F36" s="3" t="s">
        <v>136</v>
      </c>
      <c r="G36" s="3" t="s">
        <v>137</v>
      </c>
      <c r="H36" s="2" t="s">
        <v>62</v>
      </c>
      <c r="I36" s="2" t="s">
        <v>138</v>
      </c>
      <c r="J36" s="3" t="str">
        <f>HYPERLINK("https://www.boe.es/gazeta/dias/1814/10/18/pdfs/GMD-1814-140.pdf#page=9","Abrir facsímil")</f>
        <v>Abrir facsímil</v>
      </c>
      <c r="K36" s="3" t="s">
        <v>64</v>
      </c>
    </row>
    <row r="37" spans="1:11" ht="42" customHeight="1">
      <c r="A37" s="2" t="s">
        <v>139</v>
      </c>
      <c r="B37" s="2" t="s">
        <v>140</v>
      </c>
      <c r="C37" s="2" t="s">
        <v>32</v>
      </c>
      <c r="D37" s="2" t="s">
        <v>18</v>
      </c>
      <c r="E37" s="5">
        <v>-31210</v>
      </c>
      <c r="F37" s="3" t="s">
        <v>141</v>
      </c>
      <c r="G37" s="3" t="s">
        <v>52</v>
      </c>
      <c r="H37" s="2" t="s">
        <v>62</v>
      </c>
      <c r="I37" s="2" t="s">
        <v>142</v>
      </c>
      <c r="J37" s="3" t="str">
        <f>HYPERLINK("https://www.boe.es/gazeta/dias/1814/07/19/pdfs/GMD-1814-100.pdf#page=8","Abrir facsímil")</f>
        <v>Abrir facsímil</v>
      </c>
      <c r="K37" s="3" t="s">
        <v>64</v>
      </c>
    </row>
    <row r="38" spans="1:11" ht="42" customHeight="1">
      <c r="A38" s="2" t="s">
        <v>143</v>
      </c>
      <c r="B38" s="2" t="s">
        <v>143</v>
      </c>
      <c r="C38" s="2" t="s">
        <v>144</v>
      </c>
      <c r="D38" s="2" t="s">
        <v>18</v>
      </c>
      <c r="E38" s="5">
        <v>-31175</v>
      </c>
      <c r="F38" s="3" t="s">
        <v>145</v>
      </c>
      <c r="G38" s="3" t="s">
        <v>87</v>
      </c>
      <c r="H38" s="2" t="s">
        <v>62</v>
      </c>
      <c r="I38" s="2" t="s">
        <v>146</v>
      </c>
      <c r="J38" s="3" t="str">
        <f>HYPERLINK("https://www.boe.es/gazeta/dias/1814/08/23/pdfs/GMD-1814-115.pdf#page=2","Abrir facsímil")</f>
        <v>Abrir facsímil</v>
      </c>
      <c r="K38" s="3" t="s">
        <v>64</v>
      </c>
    </row>
    <row r="39" spans="1:11" ht="42" customHeight="1">
      <c r="A39" s="2" t="s">
        <v>147</v>
      </c>
      <c r="B39" s="2" t="s">
        <v>148</v>
      </c>
      <c r="C39" s="2" t="s">
        <v>38</v>
      </c>
      <c r="D39" s="2" t="s">
        <v>39</v>
      </c>
      <c r="E39" s="5">
        <v>-31110</v>
      </c>
      <c r="F39" s="3" t="s">
        <v>149</v>
      </c>
      <c r="G39" s="3" t="s">
        <v>99</v>
      </c>
      <c r="H39" s="2" t="s">
        <v>62</v>
      </c>
      <c r="I39" s="2" t="s">
        <v>150</v>
      </c>
      <c r="J39" s="3" t="str">
        <f>HYPERLINK("https://www.boe.es/gazeta/dias/1814/10/27/pdfs/GMD-1814-144.pdf#page=5","Abrir facsímil")</f>
        <v>Abrir facsímil</v>
      </c>
      <c r="K39" s="3" t="s">
        <v>64</v>
      </c>
    </row>
    <row r="40" spans="1:11" ht="42" customHeight="1">
      <c r="A40" s="2" t="s">
        <v>151</v>
      </c>
      <c r="B40" s="2" t="s">
        <v>152</v>
      </c>
      <c r="C40" s="2" t="s">
        <v>26</v>
      </c>
      <c r="D40" s="2" t="s">
        <v>27</v>
      </c>
      <c r="E40" s="5">
        <v>-31222</v>
      </c>
      <c r="F40" s="3" t="s">
        <v>153</v>
      </c>
      <c r="G40" s="3" t="s">
        <v>20</v>
      </c>
      <c r="H40" s="2" t="s">
        <v>21</v>
      </c>
      <c r="I40" s="2" t="s">
        <v>154</v>
      </c>
      <c r="J40" s="3" t="str">
        <f>HYPERLINK("https://www.boe.es/gazeta/dias/1814/07/07/pdfs/GMD-1814-95.pdf#page=7","Abrir facsímil")</f>
        <v>Abrir facsímil</v>
      </c>
      <c r="K40" s="3" t="s">
        <v>23</v>
      </c>
    </row>
    <row r="41" spans="1:11" ht="42" customHeight="1">
      <c r="A41" s="2" t="s">
        <v>155</v>
      </c>
      <c r="B41" s="2" t="s">
        <v>156</v>
      </c>
      <c r="C41" s="2" t="s">
        <v>45</v>
      </c>
      <c r="D41" s="2" t="s">
        <v>18</v>
      </c>
      <c r="E41" s="5">
        <v>-31171</v>
      </c>
      <c r="F41" s="3" t="s">
        <v>157</v>
      </c>
      <c r="G41" s="3" t="s">
        <v>158</v>
      </c>
      <c r="H41" s="2" t="s">
        <v>21</v>
      </c>
      <c r="I41" s="2" t="s">
        <v>159</v>
      </c>
      <c r="J41" s="3" t="str">
        <f>HYPERLINK("https://www.boe.es/gazeta/dias/1814/08/27/pdfs/GMD-1814-117.pdf#page=7","Abrir facsímil")</f>
        <v>Abrir facsímil</v>
      </c>
      <c r="K41" s="3" t="s">
        <v>23</v>
      </c>
    </row>
    <row r="42" spans="1:11" ht="42" customHeight="1">
      <c r="A42" s="2" t="s">
        <v>160</v>
      </c>
      <c r="B42" s="2" t="s">
        <v>161</v>
      </c>
      <c r="C42" s="2" t="s">
        <v>32</v>
      </c>
      <c r="D42" s="2" t="s">
        <v>18</v>
      </c>
      <c r="E42" s="5">
        <v>-31210</v>
      </c>
      <c r="F42" s="3" t="s">
        <v>141</v>
      </c>
      <c r="G42" s="3" t="s">
        <v>52</v>
      </c>
      <c r="H42" s="2" t="s">
        <v>62</v>
      </c>
      <c r="I42" s="2" t="s">
        <v>162</v>
      </c>
      <c r="J42" s="3" t="str">
        <f>HYPERLINK("https://www.boe.es/gazeta/dias/1814/07/19/pdfs/GMD-1814-100.pdf#page=8","Abrir facsímil")</f>
        <v>Abrir facsímil</v>
      </c>
      <c r="K42" s="3" t="s">
        <v>64</v>
      </c>
    </row>
    <row r="43" spans="1:11" ht="42" customHeight="1">
      <c r="A43" s="2" t="s">
        <v>163</v>
      </c>
      <c r="B43" s="2" t="s">
        <v>164</v>
      </c>
      <c r="C43" s="2" t="s">
        <v>144</v>
      </c>
      <c r="D43" s="2" t="s">
        <v>18</v>
      </c>
      <c r="E43" s="5">
        <v>-31045</v>
      </c>
      <c r="F43" s="3" t="s">
        <v>165</v>
      </c>
      <c r="G43" s="3" t="s">
        <v>52</v>
      </c>
      <c r="H43" s="2" t="s">
        <v>62</v>
      </c>
      <c r="I43" s="2" t="s">
        <v>166</v>
      </c>
      <c r="J43" s="3" t="str">
        <f>HYPERLINK("https://www.boe.es/gazeta/dias/1814/12/31/pdfs/GMD-1814-173.pdf#page=8","Abrir facsímil")</f>
        <v>Abrir facsímil</v>
      </c>
      <c r="K43" s="3" t="s">
        <v>64</v>
      </c>
    </row>
    <row r="44" spans="1:11" ht="42" customHeight="1">
      <c r="A44" s="2" t="s">
        <v>167</v>
      </c>
      <c r="B44" s="2" t="s">
        <v>167</v>
      </c>
      <c r="C44" s="2" t="s">
        <v>38</v>
      </c>
      <c r="D44" s="2" t="s">
        <v>39</v>
      </c>
      <c r="E44" s="5">
        <v>-31409</v>
      </c>
      <c r="F44" s="3" t="s">
        <v>168</v>
      </c>
      <c r="G44" s="3" t="s">
        <v>99</v>
      </c>
      <c r="H44" s="2" t="s">
        <v>62</v>
      </c>
      <c r="I44" s="2" t="s">
        <v>169</v>
      </c>
      <c r="J44" s="3" t="str">
        <f>HYPERLINK("https://www.boe.es/gazeta/dias/1814/01/01/pdfs/GRE-1814-1.pdf#page=5","Abrir facsímil")</f>
        <v>Abrir facsímil</v>
      </c>
      <c r="K44" s="3" t="s">
        <v>64</v>
      </c>
    </row>
    <row r="45" spans="1:11" ht="42" customHeight="1">
      <c r="A45" s="2" t="s">
        <v>170</v>
      </c>
      <c r="B45" s="2" t="s">
        <v>171</v>
      </c>
      <c r="C45" s="2" t="s">
        <v>38</v>
      </c>
      <c r="D45" s="2" t="s">
        <v>39</v>
      </c>
      <c r="E45" s="5">
        <v>-31117</v>
      </c>
      <c r="F45" s="3" t="s">
        <v>172</v>
      </c>
      <c r="G45" s="3" t="s">
        <v>173</v>
      </c>
      <c r="H45" s="2" t="s">
        <v>62</v>
      </c>
      <c r="I45" s="2" t="s">
        <v>174</v>
      </c>
      <c r="J45" s="3" t="str">
        <f>HYPERLINK("https://www.boe.es/gazeta/dias/1814/10/20/pdfs/GMD-1814-141.pdf#page=7","Abrir facsímil")</f>
        <v>Abrir facsímil</v>
      </c>
      <c r="K45" s="3" t="s">
        <v>64</v>
      </c>
    </row>
    <row r="46" spans="1:11" ht="42" customHeight="1">
      <c r="A46" s="2" t="s">
        <v>175</v>
      </c>
      <c r="B46" s="2" t="s">
        <v>176</v>
      </c>
      <c r="C46" s="2" t="s">
        <v>26</v>
      </c>
      <c r="D46" s="2" t="s">
        <v>27</v>
      </c>
      <c r="E46" s="5">
        <v>-31250</v>
      </c>
      <c r="F46" s="3" t="s">
        <v>177</v>
      </c>
      <c r="G46" s="3" t="s">
        <v>41</v>
      </c>
      <c r="H46" s="2" t="s">
        <v>62</v>
      </c>
      <c r="I46" s="2" t="s">
        <v>178</v>
      </c>
      <c r="J46" s="3" t="str">
        <f>HYPERLINK("https://www.boe.es/gazeta/dias/1814/06/09/pdfs/GMD-1814-83.pdf#page=4","Abrir facsímil")</f>
        <v>Abrir facsímil</v>
      </c>
      <c r="K46" s="3" t="s">
        <v>64</v>
      </c>
    </row>
    <row r="47" spans="1:11" ht="42" customHeight="1">
      <c r="A47" s="2" t="s">
        <v>179</v>
      </c>
      <c r="B47" s="2" t="s">
        <v>179</v>
      </c>
      <c r="C47" s="2" t="s">
        <v>38</v>
      </c>
      <c r="D47" s="2" t="s">
        <v>39</v>
      </c>
      <c r="E47" s="5">
        <v>-31327</v>
      </c>
      <c r="F47" s="3" t="s">
        <v>180</v>
      </c>
      <c r="G47" s="3" t="s">
        <v>57</v>
      </c>
      <c r="H47" s="2" t="s">
        <v>62</v>
      </c>
      <c r="I47" s="2" t="s">
        <v>181</v>
      </c>
      <c r="J47" s="3" t="str">
        <f>HYPERLINK("https://www.boe.es/gazeta/dias/1814/03/24/pdfs/GRE-1814-41.pdf#page=6","Abrir facsímil")</f>
        <v>Abrir facsímil</v>
      </c>
      <c r="K47" s="3" t="s">
        <v>64</v>
      </c>
    </row>
    <row r="48" spans="1:11" ht="42" customHeight="1">
      <c r="A48" s="2" t="s">
        <v>182</v>
      </c>
      <c r="B48" s="2" t="s">
        <v>183</v>
      </c>
      <c r="C48" s="2" t="s">
        <v>38</v>
      </c>
      <c r="D48" s="2" t="s">
        <v>39</v>
      </c>
      <c r="E48" s="5">
        <v>-31133</v>
      </c>
      <c r="F48" s="3" t="s">
        <v>184</v>
      </c>
      <c r="G48" s="3" t="s">
        <v>20</v>
      </c>
      <c r="H48" s="2" t="s">
        <v>62</v>
      </c>
      <c r="I48" s="2" t="s">
        <v>185</v>
      </c>
      <c r="J48" s="3" t="str">
        <f>HYPERLINK("https://www.boe.es/gazeta/dias/1814/10/04/pdfs/GMD-1814-134.pdf#page=7","Abrir facsímil")</f>
        <v>Abrir facsímil</v>
      </c>
      <c r="K48" s="3" t="s">
        <v>64</v>
      </c>
    </row>
    <row r="49" spans="1:11" ht="42" customHeight="1">
      <c r="A49" s="2" t="s">
        <v>186</v>
      </c>
      <c r="B49" s="2" t="s">
        <v>187</v>
      </c>
      <c r="C49" s="2" t="s">
        <v>38</v>
      </c>
      <c r="D49" s="2" t="s">
        <v>39</v>
      </c>
      <c r="E49" s="5">
        <v>-31133</v>
      </c>
      <c r="F49" s="3" t="s">
        <v>184</v>
      </c>
      <c r="G49" s="3" t="s">
        <v>20</v>
      </c>
      <c r="H49" s="2" t="s">
        <v>62</v>
      </c>
      <c r="I49" s="2" t="s">
        <v>188</v>
      </c>
      <c r="J49" s="3" t="str">
        <f>HYPERLINK("https://www.boe.es/gazeta/dias/1814/10/04/pdfs/GMD-1814-134.pdf#page=7","Abrir facsímil")</f>
        <v>Abrir facsímil</v>
      </c>
      <c r="K49" s="3" t="s">
        <v>64</v>
      </c>
    </row>
    <row r="50" spans="1:11" ht="42" customHeight="1">
      <c r="A50" s="2" t="s">
        <v>189</v>
      </c>
      <c r="B50" s="2" t="s">
        <v>190</v>
      </c>
      <c r="C50" s="2" t="s">
        <v>26</v>
      </c>
      <c r="D50" s="2" t="s">
        <v>27</v>
      </c>
      <c r="E50" s="5">
        <v>-31266</v>
      </c>
      <c r="F50" s="3" t="s">
        <v>191</v>
      </c>
      <c r="G50" s="3" t="s">
        <v>99</v>
      </c>
      <c r="H50" s="2" t="s">
        <v>62</v>
      </c>
      <c r="I50" s="2" t="s">
        <v>192</v>
      </c>
      <c r="J50" s="3" t="str">
        <f>HYPERLINK("https://www.boe.es/gazeta/dias/1814/05/24/pdfs/GMD-1814-76.pdf#page=5","Abrir facsímil")</f>
        <v>Abrir facsímil</v>
      </c>
      <c r="K50" s="3" t="s">
        <v>64</v>
      </c>
    </row>
    <row r="51" spans="1:11" ht="42" customHeight="1">
      <c r="A51" s="2" t="s">
        <v>193</v>
      </c>
      <c r="B51" s="2" t="s">
        <v>194</v>
      </c>
      <c r="C51" s="2" t="s">
        <v>105</v>
      </c>
      <c r="D51" s="2" t="s">
        <v>18</v>
      </c>
      <c r="E51" s="5">
        <v>-31392</v>
      </c>
      <c r="F51" s="3" t="s">
        <v>195</v>
      </c>
      <c r="G51" s="3" t="s">
        <v>20</v>
      </c>
      <c r="H51" s="2" t="s">
        <v>62</v>
      </c>
      <c r="I51" s="2" t="s">
        <v>196</v>
      </c>
      <c r="J51" s="3" t="str">
        <f>HYPERLINK("https://www.boe.es/gazeta/dias/1814/01/18/pdfs/GRE-1814-9.pdf#page=7","Abrir facsímil")</f>
        <v>Abrir facsímil</v>
      </c>
      <c r="K51" s="3" t="s">
        <v>64</v>
      </c>
    </row>
    <row r="52" spans="1:11" ht="42" customHeight="1">
      <c r="A52" s="2" t="s">
        <v>197</v>
      </c>
      <c r="B52" s="2" t="s">
        <v>198</v>
      </c>
      <c r="C52" s="2" t="s">
        <v>38</v>
      </c>
      <c r="D52" s="2" t="s">
        <v>39</v>
      </c>
      <c r="E52" s="5">
        <v>-31152</v>
      </c>
      <c r="F52" s="3" t="s">
        <v>199</v>
      </c>
      <c r="G52" s="3" t="s">
        <v>52</v>
      </c>
      <c r="H52" s="2" t="s">
        <v>62</v>
      </c>
      <c r="I52" s="2" t="s">
        <v>200</v>
      </c>
      <c r="J52" s="3" t="str">
        <f>HYPERLINK("https://www.boe.es/gazeta/dias/1814/09/15/pdfs/GMD-1814-126.pdf#page=8","Abrir facsímil")</f>
        <v>Abrir facsímil</v>
      </c>
      <c r="K52" s="3" t="s">
        <v>64</v>
      </c>
    </row>
    <row r="53" spans="1:11" ht="42" customHeight="1">
      <c r="A53" s="2" t="s">
        <v>201</v>
      </c>
      <c r="B53" s="2" t="s">
        <v>202</v>
      </c>
      <c r="C53" s="2" t="s">
        <v>38</v>
      </c>
      <c r="D53" s="2" t="s">
        <v>39</v>
      </c>
      <c r="E53" s="5">
        <v>-31152</v>
      </c>
      <c r="F53" s="3" t="s">
        <v>199</v>
      </c>
      <c r="G53" s="3" t="s">
        <v>52</v>
      </c>
      <c r="H53" s="2" t="s">
        <v>62</v>
      </c>
      <c r="I53" s="2" t="s">
        <v>203</v>
      </c>
      <c r="J53" s="3" t="str">
        <f>HYPERLINK("https://www.boe.es/gazeta/dias/1814/09/15/pdfs/GMD-1814-126.pdf#page=8","Abrir facsímil")</f>
        <v>Abrir facsímil</v>
      </c>
      <c r="K53" s="3" t="s">
        <v>64</v>
      </c>
    </row>
    <row r="54" spans="1:11" ht="42" customHeight="1">
      <c r="A54" s="2" t="s">
        <v>204</v>
      </c>
      <c r="B54" s="2" t="s">
        <v>205</v>
      </c>
      <c r="C54" s="2" t="s">
        <v>26</v>
      </c>
      <c r="D54" s="2" t="s">
        <v>27</v>
      </c>
      <c r="E54" s="5">
        <v>-31157</v>
      </c>
      <c r="F54" s="3" t="s">
        <v>206</v>
      </c>
      <c r="G54" s="3" t="s">
        <v>57</v>
      </c>
      <c r="H54" s="2" t="s">
        <v>62</v>
      </c>
      <c r="I54" s="2" t="s">
        <v>207</v>
      </c>
      <c r="J54" s="3" t="str">
        <f>HYPERLINK("https://www.boe.es/gazeta/dias/1814/09/10/pdfs/GMD-1814-124.pdf#page=6","Abrir facsímil")</f>
        <v>Abrir facsímil</v>
      </c>
      <c r="K54" s="3" t="s">
        <v>64</v>
      </c>
    </row>
    <row r="55" spans="1:11" ht="42" customHeight="1">
      <c r="A55" s="2" t="s">
        <v>208</v>
      </c>
      <c r="B55" s="2" t="s">
        <v>209</v>
      </c>
      <c r="C55" s="2" t="s">
        <v>38</v>
      </c>
      <c r="D55" s="2" t="s">
        <v>39</v>
      </c>
      <c r="E55" s="5">
        <v>-31308</v>
      </c>
      <c r="F55" s="3" t="s">
        <v>210</v>
      </c>
      <c r="G55" s="3" t="s">
        <v>52</v>
      </c>
      <c r="H55" s="2" t="s">
        <v>62</v>
      </c>
      <c r="I55" s="2" t="s">
        <v>211</v>
      </c>
      <c r="J55" s="3" t="str">
        <f>HYPERLINK("https://www.boe.es/gazeta/dias/1814/04/12/pdfs/GRE-1814-52.pdf#page=8","Abrir facsímil")</f>
        <v>Abrir facsímil</v>
      </c>
      <c r="K55" s="3" t="s">
        <v>64</v>
      </c>
    </row>
    <row r="56" spans="1:11" ht="42" customHeight="1">
      <c r="A56" s="2" t="s">
        <v>212</v>
      </c>
      <c r="B56" s="2" t="s">
        <v>213</v>
      </c>
      <c r="C56" s="2" t="s">
        <v>38</v>
      </c>
      <c r="D56" s="2" t="s">
        <v>39</v>
      </c>
      <c r="E56" s="5">
        <v>-31222</v>
      </c>
      <c r="F56" s="3" t="s">
        <v>153</v>
      </c>
      <c r="G56" s="3" t="s">
        <v>57</v>
      </c>
      <c r="H56" s="2" t="s">
        <v>62</v>
      </c>
      <c r="I56" s="2" t="s">
        <v>214</v>
      </c>
      <c r="J56" s="3" t="str">
        <f>HYPERLINK("https://www.boe.es/gazeta/dias/1814/07/07/pdfs/GMD-1814-95.pdf#page=6","Abrir facsímil")</f>
        <v>Abrir facsímil</v>
      </c>
      <c r="K56" s="3" t="s">
        <v>64</v>
      </c>
    </row>
    <row r="57" spans="1:11" ht="42" customHeight="1">
      <c r="A57" s="2" t="s">
        <v>212</v>
      </c>
      <c r="B57" s="2" t="s">
        <v>213</v>
      </c>
      <c r="C57" s="2" t="s">
        <v>17</v>
      </c>
      <c r="D57" s="2" t="s">
        <v>18</v>
      </c>
      <c r="E57" s="5">
        <v>-31222</v>
      </c>
      <c r="F57" s="3" t="s">
        <v>153</v>
      </c>
      <c r="G57" s="3" t="s">
        <v>20</v>
      </c>
      <c r="H57" s="2" t="s">
        <v>62</v>
      </c>
      <c r="I57" s="2" t="s">
        <v>215</v>
      </c>
      <c r="J57" s="3" t="str">
        <f>HYPERLINK("https://www.boe.es/gazeta/dias/1814/07/07/pdfs/GMD-1814-95.pdf#page=7","Abrir facsímil")</f>
        <v>Abrir facsímil</v>
      </c>
      <c r="K57" s="3" t="s">
        <v>64</v>
      </c>
    </row>
    <row r="58" spans="1:11" ht="42" customHeight="1">
      <c r="A58" s="2" t="s">
        <v>216</v>
      </c>
      <c r="B58" s="2" t="s">
        <v>217</v>
      </c>
      <c r="C58" s="2" t="s">
        <v>17</v>
      </c>
      <c r="D58" s="2" t="s">
        <v>18</v>
      </c>
      <c r="E58" s="5">
        <v>-31399</v>
      </c>
      <c r="F58" s="3" t="s">
        <v>218</v>
      </c>
      <c r="G58" s="3" t="s">
        <v>219</v>
      </c>
      <c r="H58" s="2" t="s">
        <v>62</v>
      </c>
      <c r="I58" s="2" t="s">
        <v>220</v>
      </c>
      <c r="J58" s="3" t="str">
        <f>HYPERLINK("https://www.boe.es/gazeta/dias/1814/01/11/pdfs/GRE-1814-6.pdf#page=8","Abrir facsímil")</f>
        <v>Abrir facsímil</v>
      </c>
      <c r="K58" s="3" t="s">
        <v>64</v>
      </c>
    </row>
    <row r="59" spans="1:11" ht="42" customHeight="1">
      <c r="A59" s="2" t="s">
        <v>221</v>
      </c>
      <c r="B59" s="2" t="s">
        <v>222</v>
      </c>
      <c r="C59" s="2" t="s">
        <v>32</v>
      </c>
      <c r="D59" s="2" t="s">
        <v>18</v>
      </c>
      <c r="E59" s="5">
        <v>-31096</v>
      </c>
      <c r="F59" s="3" t="s">
        <v>223</v>
      </c>
      <c r="G59" s="3" t="s">
        <v>41</v>
      </c>
      <c r="H59" s="2" t="s">
        <v>62</v>
      </c>
      <c r="I59" s="2" t="s">
        <v>224</v>
      </c>
      <c r="J59" s="3" t="str">
        <f>HYPERLINK("https://www.boe.es/gazeta/dias/1814/11/10/pdfs/GMD-1814-150.pdf#page=4","Abrir facsímil")</f>
        <v>Abrir facsímil</v>
      </c>
      <c r="K59" s="3" t="s">
        <v>64</v>
      </c>
    </row>
    <row r="60" spans="1:11" ht="42" customHeight="1">
      <c r="A60" s="2" t="s">
        <v>225</v>
      </c>
      <c r="B60" s="2" t="s">
        <v>226</v>
      </c>
      <c r="C60" s="2" t="s">
        <v>26</v>
      </c>
      <c r="D60" s="2" t="s">
        <v>27</v>
      </c>
      <c r="E60" s="5">
        <v>-31126</v>
      </c>
      <c r="F60" s="3" t="s">
        <v>56</v>
      </c>
      <c r="G60" s="3" t="s">
        <v>52</v>
      </c>
      <c r="H60" s="2" t="s">
        <v>62</v>
      </c>
      <c r="I60" s="2" t="s">
        <v>227</v>
      </c>
      <c r="J60" s="3" t="str">
        <f>HYPERLINK("https://www.boe.es/gazeta/dias/1814/10/11/pdfs/GMD-1814-137.pdf#page=8","Abrir facsímil")</f>
        <v>Abrir facsímil</v>
      </c>
      <c r="K60" s="3" t="s">
        <v>64</v>
      </c>
    </row>
    <row r="61" spans="1:11" ht="42" customHeight="1">
      <c r="A61" s="2" t="s">
        <v>228</v>
      </c>
      <c r="B61" s="2" t="s">
        <v>229</v>
      </c>
      <c r="C61" s="2" t="s">
        <v>17</v>
      </c>
      <c r="D61" s="2" t="s">
        <v>18</v>
      </c>
      <c r="E61" s="5">
        <v>-31322</v>
      </c>
      <c r="F61" s="3" t="s">
        <v>114</v>
      </c>
      <c r="G61" s="3" t="s">
        <v>52</v>
      </c>
      <c r="H61" s="2" t="s">
        <v>62</v>
      </c>
      <c r="I61" s="2" t="s">
        <v>230</v>
      </c>
      <c r="J61" s="3" t="str">
        <f>HYPERLINK("https://www.boe.es/gazeta/dias/1814/03/29/pdfs/GRE-1814-44.pdf#page=8","Abrir facsímil")</f>
        <v>Abrir facsímil</v>
      </c>
      <c r="K61" s="3" t="s">
        <v>64</v>
      </c>
    </row>
    <row r="62" spans="1:11" ht="42" customHeight="1">
      <c r="A62" s="2" t="s">
        <v>231</v>
      </c>
      <c r="B62" s="2" t="s">
        <v>232</v>
      </c>
      <c r="C62" s="2" t="s">
        <v>38</v>
      </c>
      <c r="D62" s="2" t="s">
        <v>39</v>
      </c>
      <c r="E62" s="5">
        <v>-31327</v>
      </c>
      <c r="F62" s="3" t="s">
        <v>180</v>
      </c>
      <c r="G62" s="3" t="s">
        <v>233</v>
      </c>
      <c r="H62" s="2" t="s">
        <v>62</v>
      </c>
      <c r="I62" s="2" t="s">
        <v>234</v>
      </c>
      <c r="J62" s="3" t="str">
        <f>HYPERLINK("https://www.boe.es/gazeta/dias/1814/03/24/pdfs/GRE-1814-41.pdf#page=8","Abrir facsímil")</f>
        <v>Abrir facsímil</v>
      </c>
      <c r="K62" s="3" t="s">
        <v>64</v>
      </c>
    </row>
    <row r="63" spans="1:11" ht="42" customHeight="1">
      <c r="A63" s="2" t="s">
        <v>235</v>
      </c>
      <c r="B63" s="2" t="s">
        <v>236</v>
      </c>
      <c r="C63" s="2" t="s">
        <v>38</v>
      </c>
      <c r="D63" s="2" t="s">
        <v>39</v>
      </c>
      <c r="E63" s="5">
        <v>-31308</v>
      </c>
      <c r="F63" s="3" t="s">
        <v>210</v>
      </c>
      <c r="G63" s="3" t="s">
        <v>52</v>
      </c>
      <c r="H63" s="2" t="s">
        <v>62</v>
      </c>
      <c r="I63" s="2" t="s">
        <v>237</v>
      </c>
      <c r="J63" s="3" t="str">
        <f>HYPERLINK("https://www.boe.es/gazeta/dias/1814/04/12/pdfs/GRE-1814-52.pdf#page=8","Abrir facsímil")</f>
        <v>Abrir facsímil</v>
      </c>
      <c r="K63" s="3" t="s">
        <v>64</v>
      </c>
    </row>
    <row r="64" spans="1:11" ht="42" customHeight="1">
      <c r="A64" s="2" t="s">
        <v>238</v>
      </c>
      <c r="B64" s="2" t="s">
        <v>238</v>
      </c>
      <c r="C64" s="2" t="s">
        <v>38</v>
      </c>
      <c r="D64" s="2" t="s">
        <v>39</v>
      </c>
      <c r="E64" s="5">
        <v>-31313</v>
      </c>
      <c r="F64" s="3" t="s">
        <v>239</v>
      </c>
      <c r="G64" s="3" t="s">
        <v>82</v>
      </c>
      <c r="H64" s="2" t="s">
        <v>62</v>
      </c>
      <c r="I64" s="2" t="s">
        <v>240</v>
      </c>
      <c r="J64" s="3" t="str">
        <f>HYPERLINK("https://www.boe.es/gazeta/dias/1814/04/07/pdfs/GRE-1814-50.pdf#page=3","Abrir facsímil")</f>
        <v>Abrir facsímil</v>
      </c>
      <c r="K64" s="3" t="s">
        <v>64</v>
      </c>
    </row>
    <row r="65" spans="1:11" ht="42" customHeight="1">
      <c r="A65" s="2" t="s">
        <v>241</v>
      </c>
      <c r="B65" s="2" t="s">
        <v>242</v>
      </c>
      <c r="C65" s="2" t="s">
        <v>38</v>
      </c>
      <c r="D65" s="2" t="s">
        <v>39</v>
      </c>
      <c r="E65" s="5">
        <v>-31271</v>
      </c>
      <c r="F65" s="3" t="s">
        <v>243</v>
      </c>
      <c r="G65" s="3" t="s">
        <v>52</v>
      </c>
      <c r="H65" s="2" t="s">
        <v>62</v>
      </c>
      <c r="I65" s="2" t="s">
        <v>244</v>
      </c>
      <c r="J65" s="3" t="str">
        <f>HYPERLINK("https://www.boe.es/gazeta/dias/1814/05/19/pdfs/GMD-1814-74.pdf#page=8","Abrir facsímil")</f>
        <v>Abrir facsímil</v>
      </c>
      <c r="K65" s="3" t="s">
        <v>64</v>
      </c>
    </row>
    <row r="66" spans="1:11" ht="42" customHeight="1">
      <c r="A66" s="2" t="s">
        <v>245</v>
      </c>
      <c r="B66" s="2" t="s">
        <v>246</v>
      </c>
      <c r="C66" s="2" t="s">
        <v>38</v>
      </c>
      <c r="D66" s="2" t="s">
        <v>39</v>
      </c>
      <c r="E66" s="5">
        <v>-31353</v>
      </c>
      <c r="F66" s="3" t="s">
        <v>247</v>
      </c>
      <c r="G66" s="3" t="s">
        <v>248</v>
      </c>
      <c r="H66" s="2" t="s">
        <v>62</v>
      </c>
      <c r="I66" s="2" t="s">
        <v>249</v>
      </c>
      <c r="J66" s="3" t="str">
        <f>HYPERLINK("https://www.boe.es/gazeta/dias/1814/02/26/pdfs/GRE-1814-27.pdf#page=5","Abrir facsímil")</f>
        <v>Abrir facsímil</v>
      </c>
      <c r="K66" s="3" t="s">
        <v>64</v>
      </c>
    </row>
    <row r="67" spans="1:11" ht="42" customHeight="1">
      <c r="A67" s="2" t="s">
        <v>250</v>
      </c>
      <c r="B67" s="2" t="s">
        <v>251</v>
      </c>
      <c r="C67" s="2" t="s">
        <v>26</v>
      </c>
      <c r="D67" s="2" t="s">
        <v>27</v>
      </c>
      <c r="E67" s="5">
        <v>-31126</v>
      </c>
      <c r="F67" s="3" t="s">
        <v>56</v>
      </c>
      <c r="G67" s="3" t="s">
        <v>82</v>
      </c>
      <c r="H67" s="2" t="s">
        <v>62</v>
      </c>
      <c r="I67" s="2" t="s">
        <v>252</v>
      </c>
      <c r="J67" s="3" t="str">
        <f>HYPERLINK("https://www.boe.es/gazeta/dias/1814/10/11/pdfs/GMD-1814-137.pdf#page=3","Abrir facsímil")</f>
        <v>Abrir facsímil</v>
      </c>
      <c r="K67" s="3" t="s">
        <v>64</v>
      </c>
    </row>
    <row r="68" spans="1:11" ht="42" customHeight="1">
      <c r="A68" s="2" t="s">
        <v>253</v>
      </c>
      <c r="B68" s="2" t="s">
        <v>253</v>
      </c>
      <c r="C68" s="2" t="s">
        <v>26</v>
      </c>
      <c r="D68" s="2" t="s">
        <v>27</v>
      </c>
      <c r="E68" s="5">
        <v>-31262</v>
      </c>
      <c r="F68" s="3" t="s">
        <v>254</v>
      </c>
      <c r="G68" s="3" t="s">
        <v>99</v>
      </c>
      <c r="H68" s="2" t="s">
        <v>62</v>
      </c>
      <c r="I68" s="2" t="s">
        <v>255</v>
      </c>
      <c r="J68" s="3" t="str">
        <f>HYPERLINK("https://www.boe.es/gazeta/dias/1814/05/28/pdfs/GMD-1814-78.pdf#page=5","Abrir facsímil")</f>
        <v>Abrir facsímil</v>
      </c>
      <c r="K68" s="3" t="s">
        <v>64</v>
      </c>
    </row>
    <row r="69" spans="1:11" ht="42" customHeight="1">
      <c r="A69" s="2" t="s">
        <v>256</v>
      </c>
      <c r="B69" s="2" t="s">
        <v>256</v>
      </c>
      <c r="C69" s="2" t="s">
        <v>38</v>
      </c>
      <c r="D69" s="2" t="s">
        <v>39</v>
      </c>
      <c r="E69" s="5">
        <v>-31182</v>
      </c>
      <c r="F69" s="3" t="s">
        <v>19</v>
      </c>
      <c r="G69" s="3" t="s">
        <v>20</v>
      </c>
      <c r="H69" s="2" t="s">
        <v>62</v>
      </c>
      <c r="I69" s="2" t="s">
        <v>257</v>
      </c>
      <c r="J69" s="3" t="str">
        <f>HYPERLINK("https://www.boe.es/gazeta/dias/1814/08/16/pdfs/GMD-1814-112.pdf#page=7","Abrir facsímil")</f>
        <v>Abrir facsímil</v>
      </c>
      <c r="K69" s="3" t="s">
        <v>64</v>
      </c>
    </row>
    <row r="70" spans="1:11" ht="42" customHeight="1">
      <c r="A70" s="2" t="s">
        <v>253</v>
      </c>
      <c r="B70" s="2" t="s">
        <v>253</v>
      </c>
      <c r="C70" s="2" t="s">
        <v>17</v>
      </c>
      <c r="D70" s="2" t="s">
        <v>18</v>
      </c>
      <c r="E70" s="5">
        <v>-31152</v>
      </c>
      <c r="F70" s="3" t="s">
        <v>199</v>
      </c>
      <c r="G70" s="3" t="s">
        <v>20</v>
      </c>
      <c r="H70" s="2" t="s">
        <v>62</v>
      </c>
      <c r="I70" s="2" t="s">
        <v>258</v>
      </c>
      <c r="J70" s="3" t="str">
        <f>HYPERLINK("https://www.boe.es/gazeta/dias/1814/09/15/pdfs/GMD-1814-126.pdf#page=7","Abrir facsímil")</f>
        <v>Abrir facsímil</v>
      </c>
      <c r="K70" s="3" t="s">
        <v>64</v>
      </c>
    </row>
    <row r="71" spans="1:11" ht="42" customHeight="1">
      <c r="A71" s="2" t="s">
        <v>259</v>
      </c>
      <c r="B71" s="2" t="s">
        <v>259</v>
      </c>
      <c r="C71" s="2" t="s">
        <v>38</v>
      </c>
      <c r="D71" s="2" t="s">
        <v>39</v>
      </c>
      <c r="E71" s="5">
        <v>-31346</v>
      </c>
      <c r="F71" s="3" t="s">
        <v>78</v>
      </c>
      <c r="G71" s="3" t="s">
        <v>87</v>
      </c>
      <c r="H71" s="2" t="s">
        <v>62</v>
      </c>
      <c r="I71" s="2" t="s">
        <v>260</v>
      </c>
      <c r="J71" s="3" t="str">
        <f>HYPERLINK("https://www.boe.es/gazeta/dias/1814/03/05/pdfs/GRE-1814-30.pdf#page=2","Abrir facsímil")</f>
        <v>Abrir facsímil</v>
      </c>
      <c r="K71" s="3" t="s">
        <v>64</v>
      </c>
    </row>
    <row r="72" spans="1:11" ht="42" customHeight="1">
      <c r="A72" s="2" t="s">
        <v>261</v>
      </c>
      <c r="B72" s="2" t="s">
        <v>262</v>
      </c>
      <c r="C72" s="2" t="s">
        <v>45</v>
      </c>
      <c r="D72" s="2" t="s">
        <v>18</v>
      </c>
      <c r="E72" s="5">
        <v>-31059</v>
      </c>
      <c r="F72" s="3" t="s">
        <v>263</v>
      </c>
      <c r="G72" s="3" t="s">
        <v>264</v>
      </c>
      <c r="H72" s="2" t="s">
        <v>62</v>
      </c>
      <c r="I72" s="2" t="s">
        <v>265</v>
      </c>
      <c r="J72" s="3" t="str">
        <f>HYPERLINK("https://www.boe.es/gazeta/dias/1814/12/17/pdfs/GMD-1814-167.pdf#page=7","Abrir facsímil")</f>
        <v>Abrir facsímil</v>
      </c>
      <c r="K72" s="3" t="s">
        <v>64</v>
      </c>
    </row>
    <row r="73" spans="1:11" ht="42" customHeight="1">
      <c r="A73" s="2" t="s">
        <v>266</v>
      </c>
      <c r="B73" s="2" t="s">
        <v>267</v>
      </c>
      <c r="C73" s="2" t="s">
        <v>32</v>
      </c>
      <c r="D73" s="2" t="s">
        <v>18</v>
      </c>
      <c r="E73" s="5">
        <v>-31096</v>
      </c>
      <c r="F73" s="3" t="s">
        <v>223</v>
      </c>
      <c r="G73" s="3" t="s">
        <v>41</v>
      </c>
      <c r="H73" s="2" t="s">
        <v>62</v>
      </c>
      <c r="I73" s="2" t="s">
        <v>268</v>
      </c>
      <c r="J73" s="3" t="str">
        <f>HYPERLINK("https://www.boe.es/gazeta/dias/1814/11/10/pdfs/GMD-1814-150.pdf#page=4","Abrir facsímil")</f>
        <v>Abrir facsímil</v>
      </c>
      <c r="K73" s="3" t="s">
        <v>64</v>
      </c>
    </row>
    <row r="74" spans="1:11" ht="42" customHeight="1">
      <c r="A74" s="2" t="s">
        <v>269</v>
      </c>
      <c r="B74" s="2" t="s">
        <v>270</v>
      </c>
      <c r="C74" s="2" t="s">
        <v>38</v>
      </c>
      <c r="D74" s="2" t="s">
        <v>39</v>
      </c>
      <c r="E74" s="5">
        <v>-31175</v>
      </c>
      <c r="F74" s="3" t="s">
        <v>145</v>
      </c>
      <c r="G74" s="3" t="s">
        <v>41</v>
      </c>
      <c r="H74" s="2" t="s">
        <v>62</v>
      </c>
      <c r="I74" s="2" t="s">
        <v>271</v>
      </c>
      <c r="J74" s="3" t="str">
        <f>HYPERLINK("https://www.boe.es/gazeta/dias/1814/08/23/pdfs/GMD-1814-115.pdf#page=4","Abrir facsímil")</f>
        <v>Abrir facsímil</v>
      </c>
      <c r="K74" s="3" t="s">
        <v>64</v>
      </c>
    </row>
    <row r="75" spans="1:11" ht="42" customHeight="1">
      <c r="A75" s="2" t="s">
        <v>272</v>
      </c>
      <c r="B75" s="2" t="s">
        <v>273</v>
      </c>
      <c r="C75" s="2" t="s">
        <v>38</v>
      </c>
      <c r="D75" s="2" t="s">
        <v>39</v>
      </c>
      <c r="E75" s="5">
        <v>-31182</v>
      </c>
      <c r="F75" s="3" t="s">
        <v>19</v>
      </c>
      <c r="G75" s="3" t="s">
        <v>57</v>
      </c>
      <c r="H75" s="2" t="s">
        <v>62</v>
      </c>
      <c r="I75" s="2" t="s">
        <v>274</v>
      </c>
      <c r="J75" s="3" t="str">
        <f>HYPERLINK("https://www.boe.es/gazeta/dias/1814/08/16/pdfs/GMD-1814-112.pdf#page=6","Abrir facsímil")</f>
        <v>Abrir facsímil</v>
      </c>
      <c r="K75" s="3" t="s">
        <v>64</v>
      </c>
    </row>
    <row r="76" spans="1:11" ht="42" customHeight="1">
      <c r="A76" s="2" t="s">
        <v>275</v>
      </c>
      <c r="B76" s="2" t="s">
        <v>275</v>
      </c>
      <c r="C76" s="2" t="s">
        <v>38</v>
      </c>
      <c r="D76" s="2" t="s">
        <v>39</v>
      </c>
      <c r="E76" s="5">
        <v>-31213</v>
      </c>
      <c r="F76" s="3" t="s">
        <v>276</v>
      </c>
      <c r="G76" s="3" t="s">
        <v>82</v>
      </c>
      <c r="H76" s="2" t="s">
        <v>62</v>
      </c>
      <c r="I76" s="2" t="s">
        <v>277</v>
      </c>
      <c r="J76" s="3" t="str">
        <f>HYPERLINK("https://www.boe.es/gazeta/dias/1814/07/16/pdfs/GMD-1814-99.pdf#page=3","Abrir facsímil")</f>
        <v>Abrir facsímil</v>
      </c>
      <c r="K76" s="3" t="s">
        <v>64</v>
      </c>
    </row>
    <row r="77" spans="1:11" ht="42" customHeight="1">
      <c r="A77" s="2" t="s">
        <v>278</v>
      </c>
      <c r="B77" s="2" t="s">
        <v>279</v>
      </c>
      <c r="C77" s="2" t="s">
        <v>38</v>
      </c>
      <c r="D77" s="2" t="s">
        <v>39</v>
      </c>
      <c r="E77" s="5">
        <v>-31119</v>
      </c>
      <c r="F77" s="3" t="s">
        <v>136</v>
      </c>
      <c r="G77" s="3" t="s">
        <v>137</v>
      </c>
      <c r="H77" s="2" t="s">
        <v>62</v>
      </c>
      <c r="I77" s="2" t="s">
        <v>280</v>
      </c>
      <c r="J77" s="3" t="str">
        <f>HYPERLINK("https://www.boe.es/gazeta/dias/1814/10/18/pdfs/GMD-1814-140.pdf#page=9","Abrir facsímil")</f>
        <v>Abrir facsímil</v>
      </c>
      <c r="K77" s="3" t="s">
        <v>64</v>
      </c>
    </row>
    <row r="78" spans="1:11" ht="42" customHeight="1">
      <c r="A78" s="2" t="s">
        <v>281</v>
      </c>
      <c r="B78" s="2" t="s">
        <v>281</v>
      </c>
      <c r="C78" s="2" t="s">
        <v>105</v>
      </c>
      <c r="D78" s="2" t="s">
        <v>18</v>
      </c>
      <c r="E78" s="5">
        <v>-31084</v>
      </c>
      <c r="F78" s="3" t="s">
        <v>282</v>
      </c>
      <c r="G78" s="3" t="s">
        <v>57</v>
      </c>
      <c r="H78" s="2" t="s">
        <v>62</v>
      </c>
      <c r="I78" s="2" t="s">
        <v>283</v>
      </c>
      <c r="J78" s="3" t="str">
        <f>HYPERLINK("https://www.boe.es/gazeta/dias/1814/11/22/pdfs/GMD-1814-155.pdf#page=6","Abrir facsímil")</f>
        <v>Abrir facsímil</v>
      </c>
      <c r="K78" s="3" t="s">
        <v>64</v>
      </c>
    </row>
    <row r="79" spans="1:11" ht="42" customHeight="1">
      <c r="A79" s="2" t="s">
        <v>284</v>
      </c>
      <c r="B79" s="2" t="s">
        <v>284</v>
      </c>
      <c r="C79" s="2" t="s">
        <v>105</v>
      </c>
      <c r="D79" s="2" t="s">
        <v>18</v>
      </c>
      <c r="E79" s="5">
        <v>-31236</v>
      </c>
      <c r="F79" s="3" t="s">
        <v>33</v>
      </c>
      <c r="G79" s="3" t="s">
        <v>82</v>
      </c>
      <c r="H79" s="2" t="s">
        <v>62</v>
      </c>
      <c r="I79" s="2" t="s">
        <v>285</v>
      </c>
      <c r="J79" s="3" t="str">
        <f>HYPERLINK("https://www.boe.es/gazeta/dias/1814/06/23/pdfs/GMD-1814-89.pdf#page=3","Abrir facsímil")</f>
        <v>Abrir facsímil</v>
      </c>
      <c r="K79" s="3" t="s">
        <v>64</v>
      </c>
    </row>
    <row r="80" spans="1:11" ht="42" customHeight="1">
      <c r="A80" s="2" t="s">
        <v>284</v>
      </c>
      <c r="B80" s="2" t="s">
        <v>284</v>
      </c>
      <c r="C80" s="2" t="s">
        <v>17</v>
      </c>
      <c r="D80" s="2" t="s">
        <v>18</v>
      </c>
      <c r="E80" s="5">
        <v>-31080</v>
      </c>
      <c r="F80" s="3" t="s">
        <v>286</v>
      </c>
      <c r="G80" s="3" t="s">
        <v>107</v>
      </c>
      <c r="H80" s="2" t="s">
        <v>62</v>
      </c>
      <c r="I80" s="2" t="s">
        <v>287</v>
      </c>
      <c r="J80" s="3" t="str">
        <f>HYPERLINK("https://www.boe.es/gazeta/dias/1814/11/26/pdfs/GMD-1814-157.pdf#page=1","Abrir facsímil")</f>
        <v>Abrir facsímil</v>
      </c>
      <c r="K80" s="3" t="s">
        <v>64</v>
      </c>
    </row>
    <row r="81" spans="1:11" ht="42" customHeight="1">
      <c r="A81" s="2" t="s">
        <v>288</v>
      </c>
      <c r="B81" s="2" t="s">
        <v>289</v>
      </c>
      <c r="C81" s="2" t="s">
        <v>38</v>
      </c>
      <c r="D81" s="2" t="s">
        <v>39</v>
      </c>
      <c r="E81" s="5">
        <v>-31098</v>
      </c>
      <c r="F81" s="3" t="s">
        <v>290</v>
      </c>
      <c r="G81" s="3" t="s">
        <v>82</v>
      </c>
      <c r="H81" s="2" t="s">
        <v>21</v>
      </c>
      <c r="I81" s="2" t="s">
        <v>291</v>
      </c>
      <c r="J81" s="3" t="str">
        <f>HYPERLINK("https://www.boe.es/gazeta/dias/1814/11/08/pdfs/GMD-1814-149.pdf#page=3","Abrir facsímil")</f>
        <v>Abrir facsímil</v>
      </c>
      <c r="K81" s="3" t="s">
        <v>23</v>
      </c>
    </row>
    <row r="82" spans="1:11" ht="42" customHeight="1">
      <c r="A82" s="2" t="s">
        <v>292</v>
      </c>
      <c r="B82" s="2" t="s">
        <v>293</v>
      </c>
      <c r="C82" s="2" t="s">
        <v>38</v>
      </c>
      <c r="D82" s="2" t="s">
        <v>39</v>
      </c>
      <c r="E82" s="5">
        <v>-31210</v>
      </c>
      <c r="F82" s="3" t="s">
        <v>141</v>
      </c>
      <c r="G82" s="3" t="s">
        <v>57</v>
      </c>
      <c r="H82" s="2" t="s">
        <v>62</v>
      </c>
      <c r="I82" s="2" t="s">
        <v>294</v>
      </c>
      <c r="J82" s="3" t="str">
        <f>HYPERLINK("https://www.boe.es/gazeta/dias/1814/07/19/pdfs/GMD-1814-100.pdf#page=6","Abrir facsímil")</f>
        <v>Abrir facsímil</v>
      </c>
      <c r="K82" s="3" t="s">
        <v>64</v>
      </c>
    </row>
    <row r="83" spans="1:11" ht="42" customHeight="1">
      <c r="A83" s="2" t="s">
        <v>295</v>
      </c>
      <c r="B83" s="2" t="s">
        <v>296</v>
      </c>
      <c r="C83" s="2" t="s">
        <v>26</v>
      </c>
      <c r="D83" s="2" t="s">
        <v>27</v>
      </c>
      <c r="E83" s="5">
        <v>-31059</v>
      </c>
      <c r="F83" s="3" t="s">
        <v>263</v>
      </c>
      <c r="G83" s="3" t="s">
        <v>297</v>
      </c>
      <c r="H83" s="2" t="s">
        <v>62</v>
      </c>
      <c r="I83" s="2" t="s">
        <v>298</v>
      </c>
      <c r="J83" s="3" t="str">
        <f>HYPERLINK("https://www.boe.es/gazeta/dias/1814/12/17/pdfs/GMD-1814-167.pdf#page=8","Abrir facsímil")</f>
        <v>Abrir facsímil</v>
      </c>
      <c r="K83" s="3" t="s">
        <v>64</v>
      </c>
    </row>
    <row r="84" spans="1:11" ht="42" customHeight="1">
      <c r="A84" s="2" t="s">
        <v>299</v>
      </c>
      <c r="B84" s="2" t="s">
        <v>299</v>
      </c>
      <c r="C84" s="2" t="s">
        <v>38</v>
      </c>
      <c r="D84" s="2" t="s">
        <v>39</v>
      </c>
      <c r="E84" s="5">
        <v>-31353</v>
      </c>
      <c r="F84" s="3" t="s">
        <v>247</v>
      </c>
      <c r="G84" s="3" t="s">
        <v>57</v>
      </c>
      <c r="H84" s="2" t="s">
        <v>62</v>
      </c>
      <c r="I84" s="2" t="s">
        <v>300</v>
      </c>
      <c r="J84" s="3" t="str">
        <f>HYPERLINK("https://www.boe.es/gazeta/dias/1814/02/26/pdfs/GRE-1814-27.pdf#page=6","Abrir facsímil")</f>
        <v>Abrir facsímil</v>
      </c>
      <c r="K84" s="3" t="s">
        <v>64</v>
      </c>
    </row>
    <row r="85" spans="1:11" ht="42" customHeight="1">
      <c r="A85" s="2" t="s">
        <v>301</v>
      </c>
      <c r="B85" s="2" t="s">
        <v>301</v>
      </c>
      <c r="C85" s="2" t="s">
        <v>38</v>
      </c>
      <c r="D85" s="2" t="s">
        <v>39</v>
      </c>
      <c r="E85" s="5">
        <v>-31362</v>
      </c>
      <c r="F85" s="3" t="s">
        <v>302</v>
      </c>
      <c r="G85" s="3" t="s">
        <v>82</v>
      </c>
      <c r="H85" s="2" t="s">
        <v>62</v>
      </c>
      <c r="I85" s="2" t="s">
        <v>303</v>
      </c>
      <c r="J85" s="3" t="str">
        <f>HYPERLINK("https://www.boe.es/gazeta/dias/1814/02/17/pdfs/GRE-1814-22.pdf#page=3","Abrir facsímil")</f>
        <v>Abrir facsímil</v>
      </c>
      <c r="K85" s="3" t="s">
        <v>64</v>
      </c>
    </row>
    <row r="86" spans="1:11" ht="42" customHeight="1">
      <c r="A86" s="2" t="s">
        <v>304</v>
      </c>
      <c r="B86" s="2" t="s">
        <v>305</v>
      </c>
      <c r="C86" s="2" t="s">
        <v>26</v>
      </c>
      <c r="D86" s="2" t="s">
        <v>27</v>
      </c>
      <c r="E86" s="5">
        <v>-31105</v>
      </c>
      <c r="F86" s="3" t="s">
        <v>61</v>
      </c>
      <c r="G86" s="3" t="s">
        <v>52</v>
      </c>
      <c r="H86" s="2" t="s">
        <v>62</v>
      </c>
      <c r="I86" s="2" t="s">
        <v>306</v>
      </c>
      <c r="J86" s="3" t="str">
        <f>HYPERLINK("https://www.boe.es/gazeta/dias/1814/11/01/pdfs/GMD-1814-146.pdf#page=8","Abrir facsímil")</f>
        <v>Abrir facsímil</v>
      </c>
      <c r="K86" s="3" t="s">
        <v>64</v>
      </c>
    </row>
    <row r="87" spans="1:11" ht="42" customHeight="1">
      <c r="A87" s="2" t="s">
        <v>307</v>
      </c>
      <c r="B87" s="2" t="s">
        <v>308</v>
      </c>
      <c r="C87" s="2" t="s">
        <v>309</v>
      </c>
      <c r="D87" s="2" t="s">
        <v>18</v>
      </c>
      <c r="E87" s="5">
        <v>-31098</v>
      </c>
      <c r="F87" s="3" t="s">
        <v>290</v>
      </c>
      <c r="G87" s="3" t="s">
        <v>310</v>
      </c>
      <c r="H87" s="2" t="s">
        <v>62</v>
      </c>
      <c r="I87" s="2" t="s">
        <v>311</v>
      </c>
      <c r="J87" s="3" t="str">
        <f>HYPERLINK("https://www.boe.es/gazeta/dias/1814/11/08/pdfs/GMD-1814-149.pdf#page=8","Abrir facsímil")</f>
        <v>Abrir facsímil</v>
      </c>
      <c r="K87" s="3" t="s">
        <v>64</v>
      </c>
    </row>
    <row r="88" spans="1:11" ht="42" customHeight="1">
      <c r="A88" s="2" t="s">
        <v>312</v>
      </c>
      <c r="B88" s="2" t="s">
        <v>313</v>
      </c>
      <c r="C88" s="2" t="s">
        <v>38</v>
      </c>
      <c r="D88" s="2" t="s">
        <v>314</v>
      </c>
      <c r="E88" s="5">
        <v>-31296</v>
      </c>
      <c r="F88" s="3" t="s">
        <v>315</v>
      </c>
      <c r="G88" s="3" t="s">
        <v>20</v>
      </c>
      <c r="H88" s="2" t="s">
        <v>62</v>
      </c>
      <c r="I88" s="2" t="s">
        <v>316</v>
      </c>
      <c r="J88" s="3" t="str">
        <f>HYPERLINK("https://www.boe.es/gazeta/dias/1814/04/24/pdfs/GRE-1814-60E.pdf#page=7","Abrir facsímil")</f>
        <v>Abrir facsímil</v>
      </c>
      <c r="K88" s="3" t="s">
        <v>64</v>
      </c>
    </row>
    <row r="89" spans="1:11" ht="42" customHeight="1">
      <c r="A89" s="2" t="s">
        <v>317</v>
      </c>
      <c r="B89" s="2" t="s">
        <v>318</v>
      </c>
      <c r="C89" s="2" t="s">
        <v>38</v>
      </c>
      <c r="D89" s="2" t="s">
        <v>39</v>
      </c>
      <c r="E89" s="5">
        <v>-31182</v>
      </c>
      <c r="F89" s="3" t="s">
        <v>19</v>
      </c>
      <c r="G89" s="3" t="s">
        <v>57</v>
      </c>
      <c r="H89" s="2" t="s">
        <v>62</v>
      </c>
      <c r="I89" s="2" t="s">
        <v>319</v>
      </c>
      <c r="J89" s="3" t="str">
        <f>HYPERLINK("https://www.boe.es/gazeta/dias/1814/08/16/pdfs/GMD-1814-112.pdf#page=6","Abrir facsímil")</f>
        <v>Abrir facsímil</v>
      </c>
      <c r="K89" s="3" t="s">
        <v>64</v>
      </c>
    </row>
    <row r="90" spans="1:11" ht="42" customHeight="1">
      <c r="A90" s="2" t="s">
        <v>320</v>
      </c>
      <c r="B90" s="2" t="s">
        <v>321</v>
      </c>
      <c r="C90" s="2" t="s">
        <v>38</v>
      </c>
      <c r="D90" s="2" t="s">
        <v>39</v>
      </c>
      <c r="E90" s="5">
        <v>-31238</v>
      </c>
      <c r="F90" s="3" t="s">
        <v>127</v>
      </c>
      <c r="G90" s="3" t="s">
        <v>322</v>
      </c>
      <c r="H90" s="2" t="s">
        <v>62</v>
      </c>
      <c r="I90" s="2" t="s">
        <v>323</v>
      </c>
      <c r="J90" s="3" t="str">
        <f>HYPERLINK("https://www.boe.es/gazeta/dias/1814/06/21/pdfs/GMD-1814-88.pdf#page=12","Abrir facsímil")</f>
        <v>Abrir facsímil</v>
      </c>
      <c r="K90" s="3" t="s">
        <v>64</v>
      </c>
    </row>
    <row r="91" spans="1:11" ht="42" customHeight="1">
      <c r="A91" s="2" t="s">
        <v>324</v>
      </c>
      <c r="B91" s="2" t="s">
        <v>325</v>
      </c>
      <c r="C91" s="2" t="s">
        <v>38</v>
      </c>
      <c r="D91" s="2" t="s">
        <v>39</v>
      </c>
      <c r="E91" s="5">
        <v>-31220</v>
      </c>
      <c r="F91" s="3" t="s">
        <v>122</v>
      </c>
      <c r="G91" s="3" t="s">
        <v>52</v>
      </c>
      <c r="H91" s="2" t="s">
        <v>62</v>
      </c>
      <c r="I91" s="2" t="s">
        <v>326</v>
      </c>
      <c r="J91" s="3" t="str">
        <f>HYPERLINK("https://www.boe.es/gazeta/dias/1814/07/09/pdfs/GMD-1814-96.pdf#page=8","Abrir facsímil")</f>
        <v>Abrir facsímil</v>
      </c>
      <c r="K91" s="3" t="s">
        <v>64</v>
      </c>
    </row>
    <row r="92" spans="1:11" ht="42" customHeight="1">
      <c r="A92" s="2" t="s">
        <v>327</v>
      </c>
      <c r="B92" s="2" t="s">
        <v>328</v>
      </c>
      <c r="C92" s="2" t="s">
        <v>309</v>
      </c>
      <c r="D92" s="2" t="s">
        <v>18</v>
      </c>
      <c r="E92" s="5">
        <v>-31061</v>
      </c>
      <c r="F92" s="3" t="s">
        <v>329</v>
      </c>
      <c r="G92" s="3" t="s">
        <v>20</v>
      </c>
      <c r="H92" s="2" t="s">
        <v>62</v>
      </c>
      <c r="I92" s="2" t="s">
        <v>330</v>
      </c>
      <c r="J92" s="3" t="str">
        <f>HYPERLINK("https://www.boe.es/gazeta/dias/1814/12/15/pdfs/GMD-1814-165.pdf#page=7","Abrir facsímil")</f>
        <v>Abrir facsímil</v>
      </c>
      <c r="K92" s="3" t="s">
        <v>64</v>
      </c>
    </row>
    <row r="93" spans="1:11" ht="42" customHeight="1">
      <c r="A93" s="2" t="s">
        <v>331</v>
      </c>
      <c r="B93" s="2" t="s">
        <v>332</v>
      </c>
      <c r="C93" s="2" t="s">
        <v>38</v>
      </c>
      <c r="D93" s="2" t="s">
        <v>39</v>
      </c>
      <c r="E93" s="5">
        <v>-31194</v>
      </c>
      <c r="F93" s="3" t="s">
        <v>333</v>
      </c>
      <c r="G93" s="3" t="s">
        <v>57</v>
      </c>
      <c r="H93" s="2" t="s">
        <v>62</v>
      </c>
      <c r="I93" s="2" t="s">
        <v>334</v>
      </c>
      <c r="J93" s="3" t="str">
        <f>HYPERLINK("https://www.boe.es/gazeta/dias/1814/08/04/pdfs/GMD-1814-107.pdf#page=6","Abrir facsímil")</f>
        <v>Abrir facsímil</v>
      </c>
      <c r="K93" s="3" t="s">
        <v>64</v>
      </c>
    </row>
    <row r="94" spans="1:11" ht="42" customHeight="1">
      <c r="A94" s="2" t="s">
        <v>335</v>
      </c>
      <c r="B94" s="2" t="s">
        <v>336</v>
      </c>
      <c r="C94" s="2" t="s">
        <v>38</v>
      </c>
      <c r="D94" s="2" t="s">
        <v>39</v>
      </c>
      <c r="E94" s="5">
        <v>-31399</v>
      </c>
      <c r="F94" s="3" t="s">
        <v>218</v>
      </c>
      <c r="G94" s="3" t="s">
        <v>219</v>
      </c>
      <c r="H94" s="2" t="s">
        <v>62</v>
      </c>
      <c r="I94" s="2" t="s">
        <v>337</v>
      </c>
      <c r="J94" s="3" t="str">
        <f>HYPERLINK("https://www.boe.es/gazeta/dias/1814/01/11/pdfs/GRE-1814-6.pdf#page=8","Abrir facsímil")</f>
        <v>Abrir facsímil</v>
      </c>
      <c r="K94" s="3" t="s">
        <v>64</v>
      </c>
    </row>
    <row r="95" spans="1:11" ht="42" customHeight="1">
      <c r="A95" s="2" t="s">
        <v>338</v>
      </c>
      <c r="B95" s="2" t="s">
        <v>339</v>
      </c>
      <c r="C95" s="2" t="s">
        <v>17</v>
      </c>
      <c r="D95" s="2" t="s">
        <v>18</v>
      </c>
      <c r="E95" s="5">
        <v>-31105</v>
      </c>
      <c r="F95" s="3" t="s">
        <v>61</v>
      </c>
      <c r="G95" s="3" t="s">
        <v>99</v>
      </c>
      <c r="H95" s="2" t="s">
        <v>62</v>
      </c>
      <c r="I95" s="2" t="s">
        <v>340</v>
      </c>
      <c r="J95" s="3" t="str">
        <f>HYPERLINK("https://www.boe.es/gazeta/dias/1814/11/01/pdfs/GMD-1814-146.pdf#page=5","Abrir facsímil")</f>
        <v>Abrir facsímil</v>
      </c>
      <c r="K95" s="3" t="s">
        <v>64</v>
      </c>
    </row>
    <row r="96" spans="1:11" ht="42" customHeight="1">
      <c r="A96" s="2" t="s">
        <v>341</v>
      </c>
      <c r="B96" s="2" t="s">
        <v>342</v>
      </c>
      <c r="C96" s="2" t="s">
        <v>38</v>
      </c>
      <c r="D96" s="2" t="s">
        <v>39</v>
      </c>
      <c r="E96" s="5">
        <v>-31332</v>
      </c>
      <c r="F96" s="3" t="s">
        <v>343</v>
      </c>
      <c r="G96" s="3" t="s">
        <v>41</v>
      </c>
      <c r="H96" s="2" t="s">
        <v>62</v>
      </c>
      <c r="I96" s="2" t="s">
        <v>344</v>
      </c>
      <c r="J96" s="3" t="str">
        <f>HYPERLINK("https://www.boe.es/gazeta/dias/1814/03/19/pdfs/GRE-1814-38.pdf#page=4","Abrir facsímil")</f>
        <v>Abrir facsímil</v>
      </c>
      <c r="K96" s="3" t="s">
        <v>64</v>
      </c>
    </row>
    <row r="97" spans="1:11" ht="42" customHeight="1">
      <c r="A97" s="2" t="s">
        <v>345</v>
      </c>
      <c r="B97" s="2" t="s">
        <v>345</v>
      </c>
      <c r="C97" s="2" t="s">
        <v>38</v>
      </c>
      <c r="D97" s="2" t="s">
        <v>39</v>
      </c>
      <c r="E97" s="5">
        <v>-31061</v>
      </c>
      <c r="F97" s="3" t="s">
        <v>329</v>
      </c>
      <c r="G97" s="3" t="s">
        <v>20</v>
      </c>
      <c r="H97" s="2" t="s">
        <v>62</v>
      </c>
      <c r="I97" s="2" t="s">
        <v>346</v>
      </c>
      <c r="J97" s="3" t="str">
        <f>HYPERLINK("https://www.boe.es/gazeta/dias/1814/12/15/pdfs/GMD-1814-165.pdf#page=7","Abrir facsímil")</f>
        <v>Abrir facsímil</v>
      </c>
      <c r="K97" s="3" t="s">
        <v>64</v>
      </c>
    </row>
    <row r="98" spans="1:11" ht="42" customHeight="1">
      <c r="A98" s="2" t="s">
        <v>347</v>
      </c>
      <c r="B98" s="2" t="s">
        <v>348</v>
      </c>
      <c r="C98" s="2" t="s">
        <v>38</v>
      </c>
      <c r="D98" s="2" t="s">
        <v>39</v>
      </c>
      <c r="E98" s="5">
        <v>-31390</v>
      </c>
      <c r="F98" s="3" t="s">
        <v>349</v>
      </c>
      <c r="G98" s="3" t="s">
        <v>350</v>
      </c>
      <c r="H98" s="2" t="s">
        <v>62</v>
      </c>
      <c r="I98" s="2" t="s">
        <v>351</v>
      </c>
      <c r="J98" s="3" t="str">
        <f>HYPERLINK("https://www.boe.es/gazeta/dias/1814/01/20/pdfs/GRE-1814-10.pdf#page=5","Abrir facsímil")</f>
        <v>Abrir facsímil</v>
      </c>
      <c r="K98" s="3" t="s">
        <v>64</v>
      </c>
    </row>
    <row r="99" spans="1:11" ht="42" customHeight="1">
      <c r="A99" s="2" t="s">
        <v>352</v>
      </c>
      <c r="B99" s="2" t="s">
        <v>353</v>
      </c>
      <c r="C99" s="2" t="s">
        <v>38</v>
      </c>
      <c r="D99" s="2" t="s">
        <v>314</v>
      </c>
      <c r="E99" s="5">
        <v>-31341</v>
      </c>
      <c r="F99" s="3" t="s">
        <v>354</v>
      </c>
      <c r="G99" s="3" t="s">
        <v>99</v>
      </c>
      <c r="H99" s="2" t="s">
        <v>62</v>
      </c>
      <c r="I99" s="2" t="s">
        <v>355</v>
      </c>
      <c r="J99" s="3" t="str">
        <f>HYPERLINK("https://www.boe.es/gazeta/dias/1814/03/10/pdfs/GRE-1814-34E.pdf#page=5","Abrir facsímil")</f>
        <v>Abrir facsímil</v>
      </c>
      <c r="K99" s="3" t="s">
        <v>64</v>
      </c>
    </row>
    <row r="100" spans="1:11" ht="42" customHeight="1">
      <c r="A100" s="2" t="s">
        <v>356</v>
      </c>
      <c r="B100" s="2" t="s">
        <v>357</v>
      </c>
      <c r="C100" s="2" t="s">
        <v>38</v>
      </c>
      <c r="D100" s="2" t="s">
        <v>39</v>
      </c>
      <c r="E100" s="5">
        <v>-31061</v>
      </c>
      <c r="F100" s="3" t="s">
        <v>329</v>
      </c>
      <c r="G100" s="3" t="s">
        <v>20</v>
      </c>
      <c r="H100" s="2" t="s">
        <v>62</v>
      </c>
      <c r="I100" s="2" t="s">
        <v>358</v>
      </c>
      <c r="J100" s="3" t="str">
        <f>HYPERLINK("https://www.boe.es/gazeta/dias/1814/12/15/pdfs/GMD-1814-165.pdf#page=7","Abrir facsímil")</f>
        <v>Abrir facsímil</v>
      </c>
      <c r="K100" s="3" t="s">
        <v>64</v>
      </c>
    </row>
    <row r="101" spans="1:11" ht="42" customHeight="1">
      <c r="A101" s="2" t="s">
        <v>359</v>
      </c>
      <c r="B101" s="2" t="s">
        <v>359</v>
      </c>
      <c r="C101" s="2" t="s">
        <v>38</v>
      </c>
      <c r="D101" s="2" t="s">
        <v>39</v>
      </c>
      <c r="E101" s="5">
        <v>-31341</v>
      </c>
      <c r="F101" s="3" t="s">
        <v>360</v>
      </c>
      <c r="G101" s="3" t="s">
        <v>20</v>
      </c>
      <c r="H101" s="2" t="s">
        <v>62</v>
      </c>
      <c r="I101" s="2" t="s">
        <v>361</v>
      </c>
      <c r="J101" s="3" t="str">
        <f>HYPERLINK("https://www.boe.es/gazeta/dias/1814/03/10/pdfs/GRE-1814-33.pdf#page=7","Abrir facsímil")</f>
        <v>Abrir facsímil</v>
      </c>
      <c r="K101" s="3" t="s">
        <v>64</v>
      </c>
    </row>
    <row r="102" spans="1:11" ht="42" customHeight="1">
      <c r="A102" s="2" t="s">
        <v>362</v>
      </c>
      <c r="B102" s="2" t="s">
        <v>363</v>
      </c>
      <c r="C102" s="2" t="s">
        <v>38</v>
      </c>
      <c r="D102" s="2" t="s">
        <v>39</v>
      </c>
      <c r="E102" s="5">
        <v>-31252</v>
      </c>
      <c r="F102" s="3" t="s">
        <v>364</v>
      </c>
      <c r="G102" s="3" t="s">
        <v>365</v>
      </c>
      <c r="H102" s="2" t="s">
        <v>62</v>
      </c>
      <c r="I102" s="2" t="s">
        <v>366</v>
      </c>
      <c r="J102" s="3" t="str">
        <f>HYPERLINK("https://www.boe.es/gazeta/dias/1814/06/07/pdfs/GMD-1814-82.pdf#page=8","Abrir facsímil")</f>
        <v>Abrir facsímil</v>
      </c>
      <c r="K102" s="3" t="s">
        <v>64</v>
      </c>
    </row>
    <row r="103" spans="1:11" ht="42" customHeight="1">
      <c r="A103" s="2" t="s">
        <v>367</v>
      </c>
      <c r="B103" s="2" t="s">
        <v>368</v>
      </c>
      <c r="C103" s="2" t="s">
        <v>38</v>
      </c>
      <c r="D103" s="2" t="s">
        <v>39</v>
      </c>
      <c r="E103" s="5">
        <v>-31222</v>
      </c>
      <c r="F103" s="3" t="s">
        <v>153</v>
      </c>
      <c r="G103" s="3" t="s">
        <v>52</v>
      </c>
      <c r="H103" s="2" t="s">
        <v>62</v>
      </c>
      <c r="I103" s="2" t="s">
        <v>369</v>
      </c>
      <c r="J103" s="3" t="str">
        <f>HYPERLINK("https://www.boe.es/gazeta/dias/1814/07/07/pdfs/GMD-1814-95.pdf#page=8","Abrir facsímil")</f>
        <v>Abrir facsímil</v>
      </c>
      <c r="K103" s="3" t="s">
        <v>64</v>
      </c>
    </row>
    <row r="104" spans="1:11" ht="42" customHeight="1">
      <c r="A104" s="2" t="s">
        <v>370</v>
      </c>
      <c r="B104" s="2" t="s">
        <v>371</v>
      </c>
      <c r="C104" s="2" t="s">
        <v>38</v>
      </c>
      <c r="D104" s="2" t="s">
        <v>39</v>
      </c>
      <c r="E104" s="5">
        <v>-31215</v>
      </c>
      <c r="F104" s="3" t="s">
        <v>372</v>
      </c>
      <c r="G104" s="3" t="s">
        <v>373</v>
      </c>
      <c r="H104" s="2" t="s">
        <v>62</v>
      </c>
      <c r="I104" s="2" t="s">
        <v>374</v>
      </c>
      <c r="J104" s="3" t="str">
        <f>HYPERLINK("https://www.boe.es/gazeta/dias/1814/07/14/pdfs/GMD-1814-98.pdf#page=7","Abrir facsímil")</f>
        <v>Abrir facsímil</v>
      </c>
      <c r="K104" s="3" t="s">
        <v>64</v>
      </c>
    </row>
    <row r="105" spans="1:11" ht="42" customHeight="1">
      <c r="A105" s="2" t="s">
        <v>375</v>
      </c>
      <c r="B105" s="2" t="s">
        <v>376</v>
      </c>
      <c r="C105" s="2" t="s">
        <v>26</v>
      </c>
      <c r="D105" s="2" t="s">
        <v>27</v>
      </c>
      <c r="E105" s="5">
        <v>-31350</v>
      </c>
      <c r="F105" s="3" t="s">
        <v>377</v>
      </c>
      <c r="G105" s="3" t="s">
        <v>20</v>
      </c>
      <c r="H105" s="2" t="s">
        <v>62</v>
      </c>
      <c r="I105" s="2" t="s">
        <v>378</v>
      </c>
      <c r="J105" s="3" t="str">
        <f>HYPERLINK("https://www.boe.es/gazeta/dias/1814/03/01/pdfs/GRE-1814-28.pdf#page=7","Abrir facsímil")</f>
        <v>Abrir facsímil</v>
      </c>
      <c r="K105" s="3" t="s">
        <v>64</v>
      </c>
    </row>
    <row r="106" spans="1:11" ht="42" customHeight="1">
      <c r="A106" s="2" t="s">
        <v>375</v>
      </c>
      <c r="B106" s="2" t="s">
        <v>376</v>
      </c>
      <c r="C106" s="2" t="s">
        <v>26</v>
      </c>
      <c r="D106" s="2" t="s">
        <v>27</v>
      </c>
      <c r="E106" s="5">
        <v>-31189</v>
      </c>
      <c r="F106" s="3" t="s">
        <v>379</v>
      </c>
      <c r="G106" s="3" t="s">
        <v>20</v>
      </c>
      <c r="H106" s="2" t="s">
        <v>62</v>
      </c>
      <c r="I106" s="2" t="s">
        <v>380</v>
      </c>
      <c r="J106" s="3" t="str">
        <f>HYPERLINK("https://www.boe.es/gazeta/dias/1814/08/09/pdfs/GMD-1814-109.pdf#page=7","Abrir facsímil")</f>
        <v>Abrir facsímil</v>
      </c>
      <c r="K106" s="3" t="s">
        <v>64</v>
      </c>
    </row>
    <row r="107" spans="1:11" ht="42" customHeight="1">
      <c r="A107" s="2" t="s">
        <v>381</v>
      </c>
      <c r="B107" s="2" t="s">
        <v>382</v>
      </c>
      <c r="C107" s="2" t="s">
        <v>26</v>
      </c>
      <c r="D107" s="2" t="s">
        <v>27</v>
      </c>
      <c r="E107" s="5">
        <v>-31124</v>
      </c>
      <c r="F107" s="3" t="s">
        <v>383</v>
      </c>
      <c r="G107" s="3" t="s">
        <v>384</v>
      </c>
      <c r="H107" s="2" t="s">
        <v>62</v>
      </c>
      <c r="I107" s="2" t="s">
        <v>385</v>
      </c>
      <c r="J107" s="3" t="str">
        <f>HYPERLINK("https://www.boe.es/gazeta/dias/1814/10/13/pdfs/GMD-1814-138.pdf#page=11","Abrir facsímil")</f>
        <v>Abrir facsímil</v>
      </c>
      <c r="K107" s="3" t="s">
        <v>64</v>
      </c>
    </row>
    <row r="108" spans="1:11" ht="42" customHeight="1">
      <c r="A108" s="2" t="s">
        <v>386</v>
      </c>
      <c r="B108" s="2" t="s">
        <v>387</v>
      </c>
      <c r="C108" s="2" t="s">
        <v>17</v>
      </c>
      <c r="D108" s="2" t="s">
        <v>18</v>
      </c>
      <c r="E108" s="5">
        <v>-31192</v>
      </c>
      <c r="F108" s="3" t="s">
        <v>388</v>
      </c>
      <c r="G108" s="3" t="s">
        <v>20</v>
      </c>
      <c r="H108" s="2" t="s">
        <v>21</v>
      </c>
      <c r="I108" s="2" t="s">
        <v>389</v>
      </c>
      <c r="J108" s="3" t="str">
        <f>HYPERLINK("https://www.boe.es/gazeta/dias/1814/08/06/pdfs/GMD-1814-108.pdf#page=7","Abrir facsímil")</f>
        <v>Abrir facsímil</v>
      </c>
      <c r="K108" s="3" t="s">
        <v>23</v>
      </c>
    </row>
    <row r="109" spans="1:11" ht="42" customHeight="1">
      <c r="A109" s="2" t="s">
        <v>390</v>
      </c>
      <c r="B109" s="2" t="s">
        <v>391</v>
      </c>
      <c r="C109" s="2" t="s">
        <v>38</v>
      </c>
      <c r="D109" s="2" t="s">
        <v>39</v>
      </c>
      <c r="E109" s="5">
        <v>-31117</v>
      </c>
      <c r="F109" s="3" t="s">
        <v>172</v>
      </c>
      <c r="G109" s="3" t="s">
        <v>392</v>
      </c>
      <c r="H109" s="2" t="s">
        <v>62</v>
      </c>
      <c r="I109" s="2" t="s">
        <v>393</v>
      </c>
      <c r="J109" s="3" t="str">
        <f>HYPERLINK("https://www.boe.es/gazeta/dias/1814/10/20/pdfs/GMD-1814-141.pdf#page=8","Abrir facsímil")</f>
        <v>Abrir facsímil</v>
      </c>
      <c r="K109" s="3" t="s">
        <v>64</v>
      </c>
    </row>
    <row r="110" spans="1:11" ht="42" customHeight="1">
      <c r="A110" s="2" t="s">
        <v>394</v>
      </c>
      <c r="B110" s="2" t="s">
        <v>395</v>
      </c>
      <c r="C110" s="2" t="s">
        <v>38</v>
      </c>
      <c r="D110" s="2" t="s">
        <v>39</v>
      </c>
      <c r="E110" s="5">
        <v>-31264</v>
      </c>
      <c r="F110" s="3" t="s">
        <v>396</v>
      </c>
      <c r="G110" s="3" t="s">
        <v>41</v>
      </c>
      <c r="H110" s="2" t="s">
        <v>62</v>
      </c>
      <c r="I110" s="2" t="s">
        <v>397</v>
      </c>
      <c r="J110" s="3" t="str">
        <f>HYPERLINK("https://www.boe.es/gazeta/dias/1814/05/26/pdfs/GMD-1814-77.pdf#page=4","Abrir facsímil")</f>
        <v>Abrir facsímil</v>
      </c>
      <c r="K110" s="3" t="s">
        <v>64</v>
      </c>
    </row>
    <row r="111" spans="1:11" ht="42" customHeight="1">
      <c r="A111" s="2" t="s">
        <v>398</v>
      </c>
      <c r="B111" s="2" t="s">
        <v>399</v>
      </c>
      <c r="C111" s="2" t="s">
        <v>38</v>
      </c>
      <c r="D111" s="2" t="s">
        <v>39</v>
      </c>
      <c r="E111" s="5">
        <v>-31318</v>
      </c>
      <c r="F111" s="3" t="s">
        <v>400</v>
      </c>
      <c r="G111" s="3" t="s">
        <v>99</v>
      </c>
      <c r="H111" s="2" t="s">
        <v>62</v>
      </c>
      <c r="I111" s="2" t="s">
        <v>401</v>
      </c>
      <c r="J111" s="3" t="str">
        <f>HYPERLINK("https://www.boe.es/gazeta/dias/1814/04/02/pdfs/GRE-1814-47.pdf#page=5","Abrir facsímil")</f>
        <v>Abrir facsímil</v>
      </c>
      <c r="K111" s="3" t="s">
        <v>64</v>
      </c>
    </row>
    <row r="112" spans="1:11" ht="42" customHeight="1">
      <c r="A112" s="2" t="s">
        <v>402</v>
      </c>
      <c r="B112" s="2" t="s">
        <v>403</v>
      </c>
      <c r="C112" s="2" t="s">
        <v>38</v>
      </c>
      <c r="D112" s="2" t="s">
        <v>39</v>
      </c>
      <c r="E112" s="5">
        <v>-31084</v>
      </c>
      <c r="F112" s="3" t="s">
        <v>282</v>
      </c>
      <c r="G112" s="3" t="s">
        <v>57</v>
      </c>
      <c r="H112" s="2" t="s">
        <v>62</v>
      </c>
      <c r="I112" s="2" t="s">
        <v>404</v>
      </c>
      <c r="J112" s="3" t="str">
        <f>HYPERLINK("https://www.boe.es/gazeta/dias/1814/11/22/pdfs/GMD-1814-155.pdf#page=6","Abrir facsímil")</f>
        <v>Abrir facsímil</v>
      </c>
      <c r="K112" s="3" t="s">
        <v>64</v>
      </c>
    </row>
    <row r="113" spans="1:11" ht="42" customHeight="1">
      <c r="A113" s="2" t="s">
        <v>405</v>
      </c>
      <c r="B113" s="2" t="s">
        <v>406</v>
      </c>
      <c r="C113" s="2" t="s">
        <v>17</v>
      </c>
      <c r="D113" s="2" t="s">
        <v>18</v>
      </c>
      <c r="E113" s="5">
        <v>-31161</v>
      </c>
      <c r="F113" s="3" t="s">
        <v>407</v>
      </c>
      <c r="G113" s="3" t="s">
        <v>41</v>
      </c>
      <c r="H113" s="2" t="s">
        <v>62</v>
      </c>
      <c r="I113" s="2" t="s">
        <v>408</v>
      </c>
      <c r="J113" s="3" t="str">
        <f>HYPERLINK("https://www.boe.es/gazeta/dias/1814/09/06/pdfs/GMD-1814-122.pdf#page=4","Abrir facsímil")</f>
        <v>Abrir facsímil</v>
      </c>
      <c r="K113" s="3" t="s">
        <v>64</v>
      </c>
    </row>
    <row r="114" spans="1:11" ht="42" customHeight="1">
      <c r="A114" s="2" t="s">
        <v>409</v>
      </c>
      <c r="B114" s="2" t="s">
        <v>410</v>
      </c>
      <c r="C114" s="2" t="s">
        <v>26</v>
      </c>
      <c r="D114" s="2" t="s">
        <v>27</v>
      </c>
      <c r="E114" s="5">
        <v>-31327</v>
      </c>
      <c r="F114" s="3" t="s">
        <v>180</v>
      </c>
      <c r="G114" s="3" t="s">
        <v>20</v>
      </c>
      <c r="H114" s="2" t="s">
        <v>62</v>
      </c>
      <c r="I114" s="2" t="s">
        <v>411</v>
      </c>
      <c r="J114" s="3" t="str">
        <f>HYPERLINK("https://www.boe.es/gazeta/dias/1814/03/24/pdfs/GRE-1814-41.pdf#page=7","Abrir facsímil")</f>
        <v>Abrir facsímil</v>
      </c>
      <c r="K114" s="3" t="s">
        <v>64</v>
      </c>
    </row>
    <row r="115" spans="1:11" ht="42" customHeight="1">
      <c r="A115" s="2" t="s">
        <v>412</v>
      </c>
      <c r="B115" s="2" t="s">
        <v>413</v>
      </c>
      <c r="C115" s="2" t="s">
        <v>26</v>
      </c>
      <c r="D115" s="2" t="s">
        <v>27</v>
      </c>
      <c r="E115" s="5">
        <v>-31077</v>
      </c>
      <c r="F115" s="3" t="s">
        <v>414</v>
      </c>
      <c r="G115" s="3" t="s">
        <v>52</v>
      </c>
      <c r="H115" s="2" t="s">
        <v>62</v>
      </c>
      <c r="I115" s="2" t="s">
        <v>415</v>
      </c>
      <c r="J115" s="3" t="str">
        <f>HYPERLINK("https://www.boe.es/gazeta/dias/1814/11/29/pdfs/GMD-1814-158.pdf#page=8","Abrir facsímil")</f>
        <v>Abrir facsímil</v>
      </c>
      <c r="K115" s="3" t="s">
        <v>64</v>
      </c>
    </row>
    <row r="116" spans="1:11" ht="42" customHeight="1">
      <c r="A116" s="2" t="s">
        <v>416</v>
      </c>
      <c r="B116" s="2" t="s">
        <v>417</v>
      </c>
      <c r="C116" s="2" t="s">
        <v>45</v>
      </c>
      <c r="D116" s="2" t="s">
        <v>18</v>
      </c>
      <c r="E116" s="5">
        <v>-31129</v>
      </c>
      <c r="F116" s="3" t="s">
        <v>418</v>
      </c>
      <c r="G116" s="3" t="s">
        <v>20</v>
      </c>
      <c r="H116" s="2" t="s">
        <v>62</v>
      </c>
      <c r="I116" s="2" t="s">
        <v>419</v>
      </c>
      <c r="J116" s="3" t="str">
        <f>HYPERLINK("https://www.boe.es/gazeta/dias/1814/10/08/pdfs/GMD-1814-136.pdf#page=7","Abrir facsímil")</f>
        <v>Abrir facsímil</v>
      </c>
      <c r="K116" s="3" t="s">
        <v>64</v>
      </c>
    </row>
    <row r="117" spans="1:11" ht="42" customHeight="1">
      <c r="A117" s="2" t="s">
        <v>420</v>
      </c>
      <c r="B117" s="2" t="s">
        <v>421</v>
      </c>
      <c r="C117" s="2" t="s">
        <v>26</v>
      </c>
      <c r="D117" s="2" t="s">
        <v>27</v>
      </c>
      <c r="E117" s="5">
        <v>-31122</v>
      </c>
      <c r="F117" s="3" t="s">
        <v>28</v>
      </c>
      <c r="G117" s="3" t="s">
        <v>57</v>
      </c>
      <c r="H117" s="2" t="s">
        <v>21</v>
      </c>
      <c r="I117" s="2" t="s">
        <v>422</v>
      </c>
      <c r="J117" s="3" t="str">
        <f>HYPERLINK("https://www.boe.es/gazeta/dias/1814/10/15/pdfs/GMD-1814-139.pdf#page=6","Abrir facsímil")</f>
        <v>Abrir facsímil</v>
      </c>
      <c r="K117" s="3" t="s">
        <v>23</v>
      </c>
    </row>
    <row r="118" spans="1:11" ht="42" customHeight="1">
      <c r="A118" s="2" t="s">
        <v>423</v>
      </c>
      <c r="B118" s="2" t="s">
        <v>424</v>
      </c>
      <c r="C118" s="2" t="s">
        <v>26</v>
      </c>
      <c r="D118" s="2" t="s">
        <v>27</v>
      </c>
      <c r="E118" s="5">
        <v>-31236</v>
      </c>
      <c r="F118" s="3" t="s">
        <v>33</v>
      </c>
      <c r="G118" s="3" t="s">
        <v>425</v>
      </c>
      <c r="H118" s="2" t="s">
        <v>21</v>
      </c>
      <c r="I118" s="2" t="s">
        <v>426</v>
      </c>
      <c r="J118" s="3" t="str">
        <f>HYPERLINK("https://www.boe.es/gazeta/dias/1814/06/23/pdfs/GMD-1814-89.pdf#page=8","Abrir facsímil")</f>
        <v>Abrir facsímil</v>
      </c>
      <c r="K118" s="3" t="s">
        <v>23</v>
      </c>
    </row>
    <row r="119" spans="1:11" ht="42" customHeight="1">
      <c r="A119" s="2" t="s">
        <v>427</v>
      </c>
      <c r="B119" s="2" t="s">
        <v>428</v>
      </c>
      <c r="C119" s="2" t="s">
        <v>38</v>
      </c>
      <c r="D119" s="2" t="s">
        <v>39</v>
      </c>
      <c r="E119" s="5">
        <v>-31131</v>
      </c>
      <c r="F119" s="3" t="s">
        <v>132</v>
      </c>
      <c r="G119" s="3" t="s">
        <v>20</v>
      </c>
      <c r="H119" s="2" t="s">
        <v>62</v>
      </c>
      <c r="I119" s="2" t="s">
        <v>429</v>
      </c>
      <c r="J119" s="3" t="str">
        <f>HYPERLINK("https://www.boe.es/gazeta/dias/1814/10/06/pdfs/GMD-1814-135.pdf#page=7","Abrir facsímil")</f>
        <v>Abrir facsímil</v>
      </c>
      <c r="K119" s="3" t="s">
        <v>64</v>
      </c>
    </row>
    <row r="120" spans="1:11" ht="42" customHeight="1">
      <c r="A120" s="2" t="s">
        <v>430</v>
      </c>
      <c r="B120" s="2" t="s">
        <v>431</v>
      </c>
      <c r="C120" s="2" t="s">
        <v>38</v>
      </c>
      <c r="D120" s="2" t="s">
        <v>39</v>
      </c>
      <c r="E120" s="5">
        <v>-31220</v>
      </c>
      <c r="F120" s="3" t="s">
        <v>122</v>
      </c>
      <c r="G120" s="3" t="s">
        <v>41</v>
      </c>
      <c r="H120" s="2" t="s">
        <v>62</v>
      </c>
      <c r="I120" s="2" t="s">
        <v>432</v>
      </c>
      <c r="J120" s="3" t="str">
        <f>HYPERLINK("https://www.boe.es/gazeta/dias/1814/07/09/pdfs/GMD-1814-96.pdf#page=4","Abrir facsímil")</f>
        <v>Abrir facsímil</v>
      </c>
      <c r="K120" s="3" t="s">
        <v>64</v>
      </c>
    </row>
    <row r="121" spans="1:11" ht="42" customHeight="1">
      <c r="A121" s="2" t="s">
        <v>433</v>
      </c>
      <c r="B121" s="2" t="s">
        <v>433</v>
      </c>
      <c r="C121" s="2" t="s">
        <v>38</v>
      </c>
      <c r="D121" s="2" t="s">
        <v>39</v>
      </c>
      <c r="E121" s="5">
        <v>-31318</v>
      </c>
      <c r="F121" s="3" t="s">
        <v>400</v>
      </c>
      <c r="G121" s="3" t="s">
        <v>99</v>
      </c>
      <c r="H121" s="2" t="s">
        <v>62</v>
      </c>
      <c r="I121" s="2" t="s">
        <v>434</v>
      </c>
      <c r="J121" s="3" t="str">
        <f>HYPERLINK("https://www.boe.es/gazeta/dias/1814/04/02/pdfs/GRE-1814-47.pdf#page=5","Abrir facsímil")</f>
        <v>Abrir facsímil</v>
      </c>
      <c r="K121" s="3" t="s">
        <v>64</v>
      </c>
    </row>
    <row r="122" spans="1:11" ht="42" customHeight="1">
      <c r="A122" s="2" t="s">
        <v>435</v>
      </c>
      <c r="B122" s="2" t="s">
        <v>436</v>
      </c>
      <c r="C122" s="2" t="s">
        <v>38</v>
      </c>
      <c r="D122" s="2" t="s">
        <v>39</v>
      </c>
      <c r="E122" s="5">
        <v>-31257</v>
      </c>
      <c r="F122" s="3" t="s">
        <v>437</v>
      </c>
      <c r="G122" s="3" t="s">
        <v>438</v>
      </c>
      <c r="H122" s="2" t="s">
        <v>62</v>
      </c>
      <c r="I122" s="2" t="s">
        <v>439</v>
      </c>
      <c r="J122" s="3" t="str">
        <f>HYPERLINK("https://www.boe.es/gazeta/dias/1814/06/02/pdfs/GMD-1814-80.pdf#page=5","Abrir facsímil")</f>
        <v>Abrir facsímil</v>
      </c>
      <c r="K122" s="3" t="s">
        <v>64</v>
      </c>
    </row>
    <row r="123" spans="1:11" ht="42" customHeight="1">
      <c r="A123" s="2" t="s">
        <v>440</v>
      </c>
      <c r="B123" s="2" t="s">
        <v>441</v>
      </c>
      <c r="C123" s="2" t="s">
        <v>38</v>
      </c>
      <c r="D123" s="2" t="s">
        <v>314</v>
      </c>
      <c r="E123" s="5">
        <v>-31328</v>
      </c>
      <c r="F123" s="3" t="s">
        <v>442</v>
      </c>
      <c r="G123" s="3" t="s">
        <v>82</v>
      </c>
      <c r="H123" s="2" t="s">
        <v>62</v>
      </c>
      <c r="I123" s="2" t="s">
        <v>443</v>
      </c>
      <c r="J123" s="3" t="str">
        <f>HYPERLINK("https://www.boe.es/gazeta/dias/1814/03/23/pdfs/GRE-1814-40E.pdf#page=3","Abrir facsímil")</f>
        <v>Abrir facsímil</v>
      </c>
      <c r="K123" s="3" t="s">
        <v>64</v>
      </c>
    </row>
    <row r="124" spans="1:11" ht="42" customHeight="1">
      <c r="A124" s="2" t="s">
        <v>444</v>
      </c>
      <c r="B124" s="2" t="s">
        <v>445</v>
      </c>
      <c r="C124" s="2" t="s">
        <v>26</v>
      </c>
      <c r="D124" s="2" t="s">
        <v>27</v>
      </c>
      <c r="E124" s="5">
        <v>-31350</v>
      </c>
      <c r="F124" s="3" t="s">
        <v>377</v>
      </c>
      <c r="G124" s="3" t="s">
        <v>20</v>
      </c>
      <c r="H124" s="2" t="s">
        <v>62</v>
      </c>
      <c r="I124" s="2" t="s">
        <v>446</v>
      </c>
      <c r="J124" s="3" t="str">
        <f>HYPERLINK("https://www.boe.es/gazeta/dias/1814/03/01/pdfs/GRE-1814-28.pdf#page=7","Abrir facsímil")</f>
        <v>Abrir facsímil</v>
      </c>
      <c r="K124" s="3" t="s">
        <v>64</v>
      </c>
    </row>
    <row r="125" spans="1:11" ht="42" customHeight="1">
      <c r="A125" s="2" t="s">
        <v>447</v>
      </c>
      <c r="B125" s="2" t="s">
        <v>448</v>
      </c>
      <c r="C125" s="2" t="s">
        <v>38</v>
      </c>
      <c r="D125" s="2" t="s">
        <v>39</v>
      </c>
      <c r="E125" s="5">
        <v>-31332</v>
      </c>
      <c r="F125" s="3" t="s">
        <v>343</v>
      </c>
      <c r="G125" s="3" t="s">
        <v>449</v>
      </c>
      <c r="H125" s="2" t="s">
        <v>62</v>
      </c>
      <c r="I125" s="2" t="s">
        <v>450</v>
      </c>
      <c r="J125" s="3" t="str">
        <f>HYPERLINK("https://www.boe.es/gazeta/dias/1814/03/19/pdfs/GRE-1814-38.pdf#page=8","Abrir facsímil")</f>
        <v>Abrir facsímil</v>
      </c>
      <c r="K125" s="3" t="s">
        <v>64</v>
      </c>
    </row>
    <row r="126" spans="1:11" ht="42" customHeight="1">
      <c r="A126" s="2" t="s">
        <v>451</v>
      </c>
      <c r="B126" s="2" t="s">
        <v>451</v>
      </c>
      <c r="C126" s="2" t="s">
        <v>105</v>
      </c>
      <c r="D126" s="2" t="s">
        <v>18</v>
      </c>
      <c r="E126" s="5">
        <v>-31236</v>
      </c>
      <c r="F126" s="3" t="s">
        <v>33</v>
      </c>
      <c r="G126" s="3" t="s">
        <v>82</v>
      </c>
      <c r="H126" s="2" t="s">
        <v>62</v>
      </c>
      <c r="I126" s="2" t="s">
        <v>452</v>
      </c>
      <c r="J126" s="3" t="str">
        <f>HYPERLINK("https://www.boe.es/gazeta/dias/1814/06/23/pdfs/GMD-1814-89.pdf#page=3","Abrir facsímil")</f>
        <v>Abrir facsímil</v>
      </c>
      <c r="K126" s="3" t="s">
        <v>64</v>
      </c>
    </row>
    <row r="127" spans="1:11" ht="42" customHeight="1">
      <c r="A127" s="2" t="s">
        <v>451</v>
      </c>
      <c r="B127" s="2" t="s">
        <v>451</v>
      </c>
      <c r="C127" s="2" t="s">
        <v>38</v>
      </c>
      <c r="D127" s="2" t="s">
        <v>39</v>
      </c>
      <c r="E127" s="5">
        <v>-31199</v>
      </c>
      <c r="F127" s="3" t="s">
        <v>453</v>
      </c>
      <c r="G127" s="3" t="s">
        <v>82</v>
      </c>
      <c r="H127" s="2" t="s">
        <v>62</v>
      </c>
      <c r="I127" s="2" t="s">
        <v>454</v>
      </c>
      <c r="J127" s="3" t="str">
        <f>HYPERLINK("https://www.boe.es/gazeta/dias/1814/07/30/pdfs/GMD-1814-105.pdf#page=3","Abrir facsímil")</f>
        <v>Abrir facsímil</v>
      </c>
      <c r="K127" s="3" t="s">
        <v>64</v>
      </c>
    </row>
    <row r="128" spans="1:11" ht="42" customHeight="1">
      <c r="A128" s="2" t="s">
        <v>455</v>
      </c>
      <c r="B128" s="2" t="s">
        <v>456</v>
      </c>
      <c r="C128" s="2" t="s">
        <v>26</v>
      </c>
      <c r="D128" s="2" t="s">
        <v>27</v>
      </c>
      <c r="E128" s="5">
        <v>-31327</v>
      </c>
      <c r="F128" s="3" t="s">
        <v>180</v>
      </c>
      <c r="G128" s="3" t="s">
        <v>57</v>
      </c>
      <c r="H128" s="2" t="s">
        <v>62</v>
      </c>
      <c r="I128" s="2" t="s">
        <v>457</v>
      </c>
      <c r="J128" s="3" t="str">
        <f>HYPERLINK("https://www.boe.es/gazeta/dias/1814/03/24/pdfs/GRE-1814-41.pdf#page=6","Abrir facsímil")</f>
        <v>Abrir facsímil</v>
      </c>
      <c r="K128" s="3" t="s">
        <v>64</v>
      </c>
    </row>
    <row r="129" spans="1:11" ht="42" customHeight="1">
      <c r="A129" s="2" t="s">
        <v>458</v>
      </c>
      <c r="B129" s="2" t="s">
        <v>459</v>
      </c>
      <c r="C129" s="2" t="s">
        <v>45</v>
      </c>
      <c r="D129" s="2" t="s">
        <v>18</v>
      </c>
      <c r="E129" s="5">
        <v>-31189</v>
      </c>
      <c r="F129" s="3" t="s">
        <v>379</v>
      </c>
      <c r="G129" s="3" t="s">
        <v>52</v>
      </c>
      <c r="H129" s="2" t="s">
        <v>62</v>
      </c>
      <c r="I129" s="2" t="s">
        <v>460</v>
      </c>
      <c r="J129" s="3" t="str">
        <f>HYPERLINK("https://www.boe.es/gazeta/dias/1814/08/09/pdfs/GMD-1814-109.pdf#page=8","Abrir facsímil")</f>
        <v>Abrir facsímil</v>
      </c>
      <c r="K129" s="3" t="s">
        <v>64</v>
      </c>
    </row>
    <row r="130" spans="1:11" ht="42" customHeight="1">
      <c r="A130" s="2" t="s">
        <v>461</v>
      </c>
      <c r="B130" s="2" t="s">
        <v>461</v>
      </c>
      <c r="C130" s="2" t="s">
        <v>17</v>
      </c>
      <c r="D130" s="2" t="s">
        <v>18</v>
      </c>
      <c r="E130" s="5">
        <v>-31234</v>
      </c>
      <c r="F130" s="3" t="s">
        <v>462</v>
      </c>
      <c r="G130" s="3" t="s">
        <v>87</v>
      </c>
      <c r="H130" s="2" t="s">
        <v>62</v>
      </c>
      <c r="I130" s="2" t="s">
        <v>463</v>
      </c>
      <c r="J130" s="3" t="str">
        <f>HYPERLINK("https://www.boe.es/gazeta/dias/1814/06/25/pdfs/GMD-1814-90.pdf#page=2","Abrir facsímil")</f>
        <v>Abrir facsímil</v>
      </c>
      <c r="K130" s="3" t="s">
        <v>64</v>
      </c>
    </row>
    <row r="131" spans="1:11" ht="42" customHeight="1">
      <c r="A131" s="2" t="s">
        <v>461</v>
      </c>
      <c r="B131" s="2" t="s">
        <v>461</v>
      </c>
      <c r="C131" s="2" t="s">
        <v>38</v>
      </c>
      <c r="D131" s="2" t="s">
        <v>39</v>
      </c>
      <c r="E131" s="5">
        <v>-31215</v>
      </c>
      <c r="F131" s="3" t="s">
        <v>372</v>
      </c>
      <c r="G131" s="3" t="s">
        <v>99</v>
      </c>
      <c r="H131" s="2" t="s">
        <v>62</v>
      </c>
      <c r="I131" s="2" t="s">
        <v>464</v>
      </c>
      <c r="J131" s="3" t="str">
        <f>HYPERLINK("https://www.boe.es/gazeta/dias/1814/07/14/pdfs/GMD-1814-98.pdf#page=5","Abrir facsímil")</f>
        <v>Abrir facsímil</v>
      </c>
      <c r="K131" s="3" t="s">
        <v>64</v>
      </c>
    </row>
    <row r="132" spans="1:11" ht="42" customHeight="1">
      <c r="A132" s="2" t="s">
        <v>465</v>
      </c>
      <c r="B132" s="2" t="s">
        <v>466</v>
      </c>
      <c r="C132" s="2" t="s">
        <v>38</v>
      </c>
      <c r="D132" s="2" t="s">
        <v>39</v>
      </c>
      <c r="E132" s="5">
        <v>-31327</v>
      </c>
      <c r="F132" s="3" t="s">
        <v>180</v>
      </c>
      <c r="G132" s="3" t="s">
        <v>57</v>
      </c>
      <c r="H132" s="2" t="s">
        <v>62</v>
      </c>
      <c r="I132" s="2" t="s">
        <v>467</v>
      </c>
      <c r="J132" s="3" t="str">
        <f>HYPERLINK("https://www.boe.es/gazeta/dias/1814/03/24/pdfs/GRE-1814-41.pdf#page=6","Abrir facsímil")</f>
        <v>Abrir facsímil</v>
      </c>
      <c r="K132" s="3" t="s">
        <v>64</v>
      </c>
    </row>
    <row r="133" spans="1:11" ht="42" customHeight="1">
      <c r="A133" s="2" t="s">
        <v>468</v>
      </c>
      <c r="B133" s="2" t="s">
        <v>468</v>
      </c>
      <c r="C133" s="2" t="s">
        <v>17</v>
      </c>
      <c r="D133" s="2" t="s">
        <v>18</v>
      </c>
      <c r="E133" s="5">
        <v>-31117</v>
      </c>
      <c r="F133" s="3" t="s">
        <v>172</v>
      </c>
      <c r="G133" s="3" t="s">
        <v>392</v>
      </c>
      <c r="H133" s="2" t="s">
        <v>62</v>
      </c>
      <c r="I133" s="2" t="s">
        <v>469</v>
      </c>
      <c r="J133" s="3" t="str">
        <f>HYPERLINK("https://www.boe.es/gazeta/dias/1814/10/20/pdfs/GMD-1814-141.pdf#page=8","Abrir facsímil")</f>
        <v>Abrir facsímil</v>
      </c>
      <c r="K133" s="3" t="s">
        <v>64</v>
      </c>
    </row>
    <row r="134" spans="1:11" ht="42" customHeight="1">
      <c r="A134" s="2" t="s">
        <v>470</v>
      </c>
      <c r="B134" s="2" t="s">
        <v>470</v>
      </c>
      <c r="C134" s="2" t="s">
        <v>17</v>
      </c>
      <c r="D134" s="2" t="s">
        <v>18</v>
      </c>
      <c r="E134" s="5">
        <v>-31182</v>
      </c>
      <c r="F134" s="3" t="s">
        <v>19</v>
      </c>
      <c r="G134" s="3" t="s">
        <v>107</v>
      </c>
      <c r="H134" s="2" t="s">
        <v>62</v>
      </c>
      <c r="I134" s="2" t="s">
        <v>471</v>
      </c>
      <c r="J134" s="3" t="str">
        <f>HYPERLINK("https://www.boe.es/gazeta/dias/1814/08/16/pdfs/GMD-1814-112.pdf#page=1","Abrir facsímil")</f>
        <v>Abrir facsímil</v>
      </c>
      <c r="K134" s="3" t="s">
        <v>64</v>
      </c>
    </row>
    <row r="135" spans="1:11" ht="42" customHeight="1">
      <c r="A135" s="2" t="s">
        <v>472</v>
      </c>
      <c r="B135" s="2" t="s">
        <v>472</v>
      </c>
      <c r="C135" s="2" t="s">
        <v>38</v>
      </c>
      <c r="D135" s="2" t="s">
        <v>39</v>
      </c>
      <c r="E135" s="5">
        <v>-31378</v>
      </c>
      <c r="F135" s="3" t="s">
        <v>98</v>
      </c>
      <c r="G135" s="3" t="s">
        <v>107</v>
      </c>
      <c r="H135" s="2" t="s">
        <v>62</v>
      </c>
      <c r="I135" s="2" t="s">
        <v>473</v>
      </c>
      <c r="J135" s="3" t="str">
        <f>HYPERLINK("https://www.boe.es/gazeta/dias/1814/02/01/pdfs/GRE-1814-15.pdf#page=1","Abrir facsímil")</f>
        <v>Abrir facsímil</v>
      </c>
      <c r="K135" s="3" t="s">
        <v>64</v>
      </c>
    </row>
    <row r="136" spans="1:11" ht="42" customHeight="1">
      <c r="A136" s="2" t="s">
        <v>472</v>
      </c>
      <c r="B136" s="2" t="s">
        <v>472</v>
      </c>
      <c r="C136" s="2" t="s">
        <v>38</v>
      </c>
      <c r="D136" s="2" t="s">
        <v>39</v>
      </c>
      <c r="E136" s="5">
        <v>-31374</v>
      </c>
      <c r="F136" s="3" t="s">
        <v>474</v>
      </c>
      <c r="G136" s="3" t="s">
        <v>82</v>
      </c>
      <c r="H136" s="2" t="s">
        <v>62</v>
      </c>
      <c r="I136" s="2" t="s">
        <v>475</v>
      </c>
      <c r="J136" s="3" t="str">
        <f>HYPERLINK("https://www.boe.es/gazeta/dias/1814/02/05/pdfs/GRE-1814-17.pdf#page=3","Abrir facsímil")</f>
        <v>Abrir facsímil</v>
      </c>
      <c r="K136" s="3" t="s">
        <v>64</v>
      </c>
    </row>
    <row r="137" spans="1:11" ht="42" customHeight="1">
      <c r="A137" s="2" t="s">
        <v>472</v>
      </c>
      <c r="B137" s="2" t="s">
        <v>472</v>
      </c>
      <c r="C137" s="2" t="s">
        <v>38</v>
      </c>
      <c r="D137" s="2" t="s">
        <v>39</v>
      </c>
      <c r="E137" s="5">
        <v>-31371</v>
      </c>
      <c r="F137" s="3" t="s">
        <v>476</v>
      </c>
      <c r="G137" s="3" t="s">
        <v>477</v>
      </c>
      <c r="H137" s="2" t="s">
        <v>62</v>
      </c>
      <c r="I137" s="2" t="s">
        <v>478</v>
      </c>
      <c r="J137" s="3" t="str">
        <f>HYPERLINK("https://www.boe.es/gazeta/dias/1814/02/08/pdfs/GRE-1814-31.pdf#page=6","Abrir facsímil")</f>
        <v>Abrir facsímil</v>
      </c>
      <c r="K137" s="3" t="s">
        <v>64</v>
      </c>
    </row>
    <row r="138" spans="1:11" ht="42" customHeight="1">
      <c r="A138" s="2" t="s">
        <v>472</v>
      </c>
      <c r="B138" s="2" t="s">
        <v>472</v>
      </c>
      <c r="C138" s="2" t="s">
        <v>38</v>
      </c>
      <c r="D138" s="2" t="s">
        <v>39</v>
      </c>
      <c r="E138" s="5">
        <v>-31362</v>
      </c>
      <c r="F138" s="3" t="s">
        <v>302</v>
      </c>
      <c r="G138" s="3" t="s">
        <v>41</v>
      </c>
      <c r="H138" s="2" t="s">
        <v>62</v>
      </c>
      <c r="I138" s="2" t="s">
        <v>479</v>
      </c>
      <c r="J138" s="3" t="str">
        <f>HYPERLINK("https://www.boe.es/gazeta/dias/1814/02/17/pdfs/GRE-1814-22.pdf#page=4","Abrir facsímil")</f>
        <v>Abrir facsímil</v>
      </c>
      <c r="K138" s="3" t="s">
        <v>64</v>
      </c>
    </row>
    <row r="139" spans="1:11" ht="42" customHeight="1">
      <c r="A139" s="2" t="s">
        <v>472</v>
      </c>
      <c r="B139" s="2" t="s">
        <v>472</v>
      </c>
      <c r="C139" s="2" t="s">
        <v>17</v>
      </c>
      <c r="D139" s="2" t="s">
        <v>18</v>
      </c>
      <c r="E139" s="5">
        <v>-31360</v>
      </c>
      <c r="F139" s="3" t="s">
        <v>480</v>
      </c>
      <c r="G139" s="3" t="s">
        <v>57</v>
      </c>
      <c r="H139" s="2" t="s">
        <v>62</v>
      </c>
      <c r="I139" s="2" t="s">
        <v>481</v>
      </c>
      <c r="J139" s="3" t="str">
        <f>HYPERLINK("https://www.boe.es/gazeta/dias/1814/02/19/pdfs/GRE-1814-23.pdf#page=6","Abrir facsímil")</f>
        <v>Abrir facsímil</v>
      </c>
      <c r="K139" s="3" t="s">
        <v>64</v>
      </c>
    </row>
    <row r="140" spans="1:11" ht="42" customHeight="1">
      <c r="A140" s="2" t="s">
        <v>472</v>
      </c>
      <c r="B140" s="2" t="s">
        <v>472</v>
      </c>
      <c r="C140" s="2" t="s">
        <v>38</v>
      </c>
      <c r="D140" s="2" t="s">
        <v>39</v>
      </c>
      <c r="E140" s="5">
        <v>-31343</v>
      </c>
      <c r="F140" s="3" t="s">
        <v>476</v>
      </c>
      <c r="G140" s="3" t="s">
        <v>477</v>
      </c>
      <c r="H140" s="2" t="s">
        <v>62</v>
      </c>
      <c r="I140" s="2" t="s">
        <v>478</v>
      </c>
      <c r="J140" s="3" t="str">
        <f>HYPERLINK("https://www.boe.es/gazeta/dias/1814/03/08/pdfs/GRE-1814-31.pdf#page=6","Abrir facsímil")</f>
        <v>Abrir facsímil</v>
      </c>
      <c r="K140" s="3" t="s">
        <v>64</v>
      </c>
    </row>
    <row r="141" spans="1:11" ht="42" customHeight="1">
      <c r="A141" s="2" t="s">
        <v>472</v>
      </c>
      <c r="B141" s="2" t="s">
        <v>472</v>
      </c>
      <c r="C141" s="2" t="s">
        <v>38</v>
      </c>
      <c r="D141" s="2" t="s">
        <v>39</v>
      </c>
      <c r="E141" s="5">
        <v>-31334</v>
      </c>
      <c r="F141" s="3" t="s">
        <v>482</v>
      </c>
      <c r="G141" s="3" t="s">
        <v>99</v>
      </c>
      <c r="H141" s="2" t="s">
        <v>62</v>
      </c>
      <c r="I141" s="2" t="s">
        <v>483</v>
      </c>
      <c r="J141" s="3" t="str">
        <f>HYPERLINK("https://www.boe.es/gazeta/dias/1814/03/17/pdfs/GRE-1814-37.pdf#page=5","Abrir facsímil")</f>
        <v>Abrir facsímil</v>
      </c>
      <c r="K141" s="3" t="s">
        <v>64</v>
      </c>
    </row>
    <row r="142" spans="1:11" ht="42" customHeight="1">
      <c r="A142" s="2" t="s">
        <v>472</v>
      </c>
      <c r="B142" s="2" t="s">
        <v>472</v>
      </c>
      <c r="C142" s="2" t="s">
        <v>26</v>
      </c>
      <c r="D142" s="2" t="s">
        <v>314</v>
      </c>
      <c r="E142" s="5">
        <v>-31299</v>
      </c>
      <c r="F142" s="3" t="s">
        <v>484</v>
      </c>
      <c r="G142" s="3" t="s">
        <v>107</v>
      </c>
      <c r="H142" s="2" t="s">
        <v>62</v>
      </c>
      <c r="I142" s="2" t="s">
        <v>485</v>
      </c>
      <c r="J142" s="3" t="str">
        <f>HYPERLINK("https://www.boe.es/gazeta/dias/1814/04/21/pdfs/GRE-1814-58E.pdf#page=1","Abrir facsímil")</f>
        <v>Abrir facsímil</v>
      </c>
      <c r="K142" s="3" t="s">
        <v>64</v>
      </c>
    </row>
    <row r="143" spans="1:11" ht="42" customHeight="1">
      <c r="A143" s="2" t="s">
        <v>486</v>
      </c>
      <c r="B143" s="2" t="s">
        <v>486</v>
      </c>
      <c r="C143" s="2" t="s">
        <v>17</v>
      </c>
      <c r="D143" s="2" t="s">
        <v>314</v>
      </c>
      <c r="E143" s="5">
        <v>-31296</v>
      </c>
      <c r="F143" s="3" t="s">
        <v>315</v>
      </c>
      <c r="G143" s="3" t="s">
        <v>52</v>
      </c>
      <c r="H143" s="2" t="s">
        <v>62</v>
      </c>
      <c r="I143" s="2" t="s">
        <v>487</v>
      </c>
      <c r="J143" s="3" t="str">
        <f>HYPERLINK("https://www.boe.es/gazeta/dias/1814/04/24/pdfs/GRE-1814-60E.pdf#page=8","Abrir facsímil")</f>
        <v>Abrir facsímil</v>
      </c>
      <c r="K143" s="3" t="s">
        <v>64</v>
      </c>
    </row>
    <row r="144" spans="1:11" ht="42" customHeight="1">
      <c r="A144" s="2" t="s">
        <v>486</v>
      </c>
      <c r="B144" s="2" t="s">
        <v>486</v>
      </c>
      <c r="C144" s="2" t="s">
        <v>38</v>
      </c>
      <c r="D144" s="2" t="s">
        <v>39</v>
      </c>
      <c r="E144" s="5">
        <v>-31290</v>
      </c>
      <c r="F144" s="3" t="s">
        <v>488</v>
      </c>
      <c r="G144" s="3" t="s">
        <v>107</v>
      </c>
      <c r="H144" s="2" t="s">
        <v>62</v>
      </c>
      <c r="I144" s="2" t="s">
        <v>489</v>
      </c>
      <c r="J144" s="3" t="str">
        <f>HYPERLINK("https://www.boe.es/gazeta/dias/1814/04/30/pdfs/GRE-1814-64.pdf#page=1","Abrir facsímil")</f>
        <v>Abrir facsímil</v>
      </c>
      <c r="K144" s="3" t="s">
        <v>64</v>
      </c>
    </row>
    <row r="145" spans="1:11" ht="42" customHeight="1">
      <c r="A145" s="2" t="s">
        <v>472</v>
      </c>
      <c r="B145" s="2" t="s">
        <v>472</v>
      </c>
      <c r="C145" s="2" t="s">
        <v>17</v>
      </c>
      <c r="D145" s="2" t="s">
        <v>18</v>
      </c>
      <c r="E145" s="5">
        <v>-31290</v>
      </c>
      <c r="F145" s="3" t="s">
        <v>488</v>
      </c>
      <c r="G145" s="3" t="s">
        <v>87</v>
      </c>
      <c r="H145" s="2" t="s">
        <v>62</v>
      </c>
      <c r="I145" s="2" t="s">
        <v>490</v>
      </c>
      <c r="J145" s="3" t="str">
        <f>HYPERLINK("https://www.boe.es/gazeta/dias/1814/04/30/pdfs/GRE-1814-64.pdf#page=2","Abrir facsímil")</f>
        <v>Abrir facsímil</v>
      </c>
      <c r="K145" s="3" t="s">
        <v>64</v>
      </c>
    </row>
    <row r="146" spans="1:11" ht="42" customHeight="1">
      <c r="A146" s="2" t="s">
        <v>472</v>
      </c>
      <c r="B146" s="2" t="s">
        <v>472</v>
      </c>
      <c r="C146" s="2" t="s">
        <v>17</v>
      </c>
      <c r="D146" s="2" t="s">
        <v>18</v>
      </c>
      <c r="E146" s="5">
        <v>-31287</v>
      </c>
      <c r="F146" s="3" t="s">
        <v>491</v>
      </c>
      <c r="G146" s="3" t="s">
        <v>107</v>
      </c>
      <c r="H146" s="2" t="s">
        <v>62</v>
      </c>
      <c r="I146" s="2" t="s">
        <v>492</v>
      </c>
      <c r="J146" s="3" t="str">
        <f>HYPERLINK("https://www.boe.es/gazeta/dias/1814/05/03/pdfs/GRE-1814-65.pdf#page=1","Abrir facsímil")</f>
        <v>Abrir facsímil</v>
      </c>
      <c r="K146" s="3" t="s">
        <v>64</v>
      </c>
    </row>
    <row r="147" spans="1:11" ht="42" customHeight="1">
      <c r="A147" s="2" t="s">
        <v>472</v>
      </c>
      <c r="B147" s="2" t="s">
        <v>472</v>
      </c>
      <c r="C147" s="2" t="s">
        <v>38</v>
      </c>
      <c r="D147" s="2" t="s">
        <v>39</v>
      </c>
      <c r="E147" s="5">
        <v>-31287</v>
      </c>
      <c r="F147" s="3" t="s">
        <v>491</v>
      </c>
      <c r="G147" s="3" t="s">
        <v>99</v>
      </c>
      <c r="H147" s="2" t="s">
        <v>62</v>
      </c>
      <c r="I147" s="2" t="s">
        <v>493</v>
      </c>
      <c r="J147" s="3" t="str">
        <f>HYPERLINK("https://www.boe.es/gazeta/dias/1814/05/03/pdfs/GRE-1814-65.pdf#page=5","Abrir facsímil")</f>
        <v>Abrir facsímil</v>
      </c>
      <c r="K147" s="3" t="s">
        <v>64</v>
      </c>
    </row>
    <row r="148" spans="1:11" ht="42" customHeight="1">
      <c r="A148" s="2" t="s">
        <v>472</v>
      </c>
      <c r="B148" s="2" t="s">
        <v>472</v>
      </c>
      <c r="C148" s="2" t="s">
        <v>26</v>
      </c>
      <c r="D148" s="2" t="s">
        <v>27</v>
      </c>
      <c r="E148" s="5">
        <v>-31276</v>
      </c>
      <c r="F148" s="3" t="s">
        <v>494</v>
      </c>
      <c r="G148" s="3" t="s">
        <v>107</v>
      </c>
      <c r="H148" s="2" t="s">
        <v>62</v>
      </c>
      <c r="I148" s="2" t="s">
        <v>495</v>
      </c>
      <c r="J148" s="3" t="str">
        <f>HYPERLINK("https://www.boe.es/gazeta/dias/1814/05/14/pdfs/GMD-1814-71.pdf#page=1","Abrir facsímil")</f>
        <v>Abrir facsímil</v>
      </c>
      <c r="K148" s="3" t="s">
        <v>64</v>
      </c>
    </row>
    <row r="149" spans="1:11" ht="42" customHeight="1">
      <c r="A149" s="2" t="s">
        <v>472</v>
      </c>
      <c r="B149" s="2" t="s">
        <v>472</v>
      </c>
      <c r="C149" s="2" t="s">
        <v>38</v>
      </c>
      <c r="D149" s="2" t="s">
        <v>39</v>
      </c>
      <c r="E149" s="5">
        <v>-31269</v>
      </c>
      <c r="F149" s="3" t="s">
        <v>496</v>
      </c>
      <c r="G149" s="3" t="s">
        <v>82</v>
      </c>
      <c r="H149" s="2" t="s">
        <v>62</v>
      </c>
      <c r="I149" s="2" t="s">
        <v>497</v>
      </c>
      <c r="J149" s="3" t="str">
        <f>HYPERLINK("https://www.boe.es/gazeta/dias/1814/05/21/pdfs/GMD-1814-75.pdf#page=3","Abrir facsímil")</f>
        <v>Abrir facsímil</v>
      </c>
      <c r="K149" s="3" t="s">
        <v>64</v>
      </c>
    </row>
    <row r="150" spans="1:11" ht="42" customHeight="1">
      <c r="A150" s="2" t="s">
        <v>472</v>
      </c>
      <c r="B150" s="2" t="s">
        <v>472</v>
      </c>
      <c r="C150" s="2" t="s">
        <v>17</v>
      </c>
      <c r="D150" s="2" t="s">
        <v>18</v>
      </c>
      <c r="E150" s="5">
        <v>-31264</v>
      </c>
      <c r="F150" s="3" t="s">
        <v>396</v>
      </c>
      <c r="G150" s="3" t="s">
        <v>87</v>
      </c>
      <c r="H150" s="2" t="s">
        <v>62</v>
      </c>
      <c r="I150" s="2" t="s">
        <v>498</v>
      </c>
      <c r="J150" s="3" t="str">
        <f>HYPERLINK("https://www.boe.es/gazeta/dias/1814/05/26/pdfs/GMD-1814-77.pdf#page=2","Abrir facsímil")</f>
        <v>Abrir facsímil</v>
      </c>
      <c r="K150" s="3" t="s">
        <v>64</v>
      </c>
    </row>
    <row r="151" spans="1:11" ht="42" customHeight="1">
      <c r="A151" s="2" t="s">
        <v>472</v>
      </c>
      <c r="B151" s="2" t="s">
        <v>472</v>
      </c>
      <c r="C151" s="2" t="s">
        <v>17</v>
      </c>
      <c r="D151" s="2" t="s">
        <v>18</v>
      </c>
      <c r="E151" s="5">
        <v>-31252</v>
      </c>
      <c r="F151" s="3" t="s">
        <v>364</v>
      </c>
      <c r="G151" s="3" t="s">
        <v>107</v>
      </c>
      <c r="H151" s="2" t="s">
        <v>62</v>
      </c>
      <c r="I151" s="2" t="s">
        <v>499</v>
      </c>
      <c r="J151" s="3" t="str">
        <f>HYPERLINK("https://www.boe.es/gazeta/dias/1814/06/07/pdfs/GMD-1814-82.pdf#page=1","Abrir facsímil")</f>
        <v>Abrir facsímil</v>
      </c>
      <c r="K151" s="3" t="s">
        <v>64</v>
      </c>
    </row>
    <row r="152" spans="1:11" ht="42" customHeight="1">
      <c r="A152" s="2" t="s">
        <v>472</v>
      </c>
      <c r="B152" s="2" t="s">
        <v>472</v>
      </c>
      <c r="C152" s="2" t="s">
        <v>144</v>
      </c>
      <c r="D152" s="2" t="s">
        <v>18</v>
      </c>
      <c r="E152" s="5">
        <v>-31243</v>
      </c>
      <c r="F152" s="3" t="s">
        <v>500</v>
      </c>
      <c r="G152" s="3" t="s">
        <v>107</v>
      </c>
      <c r="H152" s="2" t="s">
        <v>62</v>
      </c>
      <c r="I152" s="2" t="s">
        <v>501</v>
      </c>
      <c r="J152" s="3" t="str">
        <f>HYPERLINK("https://www.boe.es/gazeta/dias/1814/06/16/pdfs/GMD-1814-86.pdf#page=1","Abrir facsímil")</f>
        <v>Abrir facsímil</v>
      </c>
      <c r="K152" s="3" t="s">
        <v>64</v>
      </c>
    </row>
    <row r="153" spans="1:11" ht="42" customHeight="1">
      <c r="A153" s="2" t="s">
        <v>472</v>
      </c>
      <c r="B153" s="2" t="s">
        <v>472</v>
      </c>
      <c r="C153" s="2" t="s">
        <v>38</v>
      </c>
      <c r="D153" s="2" t="s">
        <v>39</v>
      </c>
      <c r="E153" s="5">
        <v>-31229</v>
      </c>
      <c r="F153" s="3" t="s">
        <v>502</v>
      </c>
      <c r="G153" s="3" t="s">
        <v>41</v>
      </c>
      <c r="H153" s="2" t="s">
        <v>62</v>
      </c>
      <c r="I153" s="2" t="s">
        <v>503</v>
      </c>
      <c r="J153" s="3" t="str">
        <f>HYPERLINK("https://www.boe.es/gazeta/dias/1814/06/30/pdfs/GMD-1814-92.pdf#page=4","Abrir facsímil")</f>
        <v>Abrir facsímil</v>
      </c>
      <c r="K153" s="3" t="s">
        <v>64</v>
      </c>
    </row>
    <row r="154" spans="1:11" ht="42" customHeight="1">
      <c r="A154" s="2" t="s">
        <v>472</v>
      </c>
      <c r="B154" s="2" t="s">
        <v>472</v>
      </c>
      <c r="C154" s="2" t="s">
        <v>38</v>
      </c>
      <c r="D154" s="2" t="s">
        <v>39</v>
      </c>
      <c r="E154" s="5">
        <v>-31227</v>
      </c>
      <c r="F154" s="3" t="s">
        <v>102</v>
      </c>
      <c r="G154" s="3" t="s">
        <v>107</v>
      </c>
      <c r="H154" s="2" t="s">
        <v>62</v>
      </c>
      <c r="I154" s="2" t="s">
        <v>504</v>
      </c>
      <c r="J154" s="3" t="str">
        <f>HYPERLINK("https://www.boe.es/gazeta/dias/1814/07/02/pdfs/GMD-1814-93.pdf#page=1","Abrir facsímil")</f>
        <v>Abrir facsímil</v>
      </c>
      <c r="K154" s="3" t="s">
        <v>64</v>
      </c>
    </row>
    <row r="155" spans="1:11" ht="42" customHeight="1">
      <c r="A155" s="2" t="s">
        <v>472</v>
      </c>
      <c r="B155" s="2" t="s">
        <v>472</v>
      </c>
      <c r="C155" s="2" t="s">
        <v>26</v>
      </c>
      <c r="D155" s="2" t="s">
        <v>27</v>
      </c>
      <c r="E155" s="5">
        <v>-31222</v>
      </c>
      <c r="F155" s="3" t="s">
        <v>153</v>
      </c>
      <c r="G155" s="3" t="s">
        <v>82</v>
      </c>
      <c r="H155" s="2" t="s">
        <v>62</v>
      </c>
      <c r="I155" s="2" t="s">
        <v>505</v>
      </c>
      <c r="J155" s="3" t="str">
        <f>HYPERLINK("https://www.boe.es/gazeta/dias/1814/07/07/pdfs/GMD-1814-95.pdf#page=3","Abrir facsímil")</f>
        <v>Abrir facsímil</v>
      </c>
      <c r="K155" s="3" t="s">
        <v>64</v>
      </c>
    </row>
    <row r="156" spans="1:11" ht="42" customHeight="1">
      <c r="A156" s="2" t="s">
        <v>472</v>
      </c>
      <c r="B156" s="2" t="s">
        <v>472</v>
      </c>
      <c r="C156" s="2" t="s">
        <v>17</v>
      </c>
      <c r="D156" s="2" t="s">
        <v>18</v>
      </c>
      <c r="E156" s="5">
        <v>-31217</v>
      </c>
      <c r="F156" s="3" t="s">
        <v>506</v>
      </c>
      <c r="G156" s="3" t="s">
        <v>107</v>
      </c>
      <c r="H156" s="2" t="s">
        <v>62</v>
      </c>
      <c r="I156" s="2" t="s">
        <v>507</v>
      </c>
      <c r="J156" s="3" t="str">
        <f>HYPERLINK("https://www.boe.es/gazeta/dias/1814/07/12/pdfs/GMD-1814-97.pdf#page=1","Abrir facsímil")</f>
        <v>Abrir facsímil</v>
      </c>
      <c r="K156" s="3" t="s">
        <v>64</v>
      </c>
    </row>
    <row r="157" spans="1:11" ht="42" customHeight="1">
      <c r="A157" s="2" t="s">
        <v>472</v>
      </c>
      <c r="B157" s="2" t="s">
        <v>472</v>
      </c>
      <c r="C157" s="2" t="s">
        <v>144</v>
      </c>
      <c r="D157" s="2" t="s">
        <v>18</v>
      </c>
      <c r="E157" s="5">
        <v>-31215</v>
      </c>
      <c r="F157" s="3" t="s">
        <v>372</v>
      </c>
      <c r="G157" s="3" t="s">
        <v>82</v>
      </c>
      <c r="H157" s="2" t="s">
        <v>62</v>
      </c>
      <c r="I157" s="2" t="s">
        <v>508</v>
      </c>
      <c r="J157" s="3" t="str">
        <f>HYPERLINK("https://www.boe.es/gazeta/dias/1814/07/14/pdfs/GMD-1814-98.pdf#page=3","Abrir facsímil")</f>
        <v>Abrir facsímil</v>
      </c>
      <c r="K157" s="3" t="s">
        <v>64</v>
      </c>
    </row>
    <row r="158" spans="1:11" ht="42" customHeight="1">
      <c r="A158" s="2" t="s">
        <v>472</v>
      </c>
      <c r="B158" s="2" t="s">
        <v>472</v>
      </c>
      <c r="C158" s="2" t="s">
        <v>144</v>
      </c>
      <c r="D158" s="2" t="s">
        <v>18</v>
      </c>
      <c r="E158" s="5">
        <v>-31208</v>
      </c>
      <c r="F158" s="3" t="s">
        <v>509</v>
      </c>
      <c r="G158" s="3" t="s">
        <v>510</v>
      </c>
      <c r="H158" s="2" t="s">
        <v>62</v>
      </c>
      <c r="I158" s="2" t="s">
        <v>511</v>
      </c>
      <c r="J158" s="3" t="str">
        <f>HYPERLINK("https://www.boe.es/gazeta/dias/1814/07/21/pdfs/GMD-1814-101.pdf#page=4","Abrir facsímil")</f>
        <v>Abrir facsímil</v>
      </c>
      <c r="K158" s="3" t="s">
        <v>64</v>
      </c>
    </row>
    <row r="159" spans="1:11" ht="42" customHeight="1">
      <c r="A159" s="2" t="s">
        <v>472</v>
      </c>
      <c r="B159" s="2" t="s">
        <v>472</v>
      </c>
      <c r="C159" s="2" t="s">
        <v>38</v>
      </c>
      <c r="D159" s="2" t="s">
        <v>39</v>
      </c>
      <c r="E159" s="5">
        <v>-31203</v>
      </c>
      <c r="F159" s="3" t="s">
        <v>512</v>
      </c>
      <c r="G159" s="3" t="s">
        <v>513</v>
      </c>
      <c r="H159" s="2" t="s">
        <v>62</v>
      </c>
      <c r="I159" s="2" t="s">
        <v>514</v>
      </c>
      <c r="J159" s="3" t="str">
        <f>HYPERLINK("https://www.boe.es/gazeta/dias/1814/07/26/pdfs/GMD-1814-103.pdf#page=2","Abrir facsímil")</f>
        <v>Abrir facsímil</v>
      </c>
      <c r="K159" s="3" t="s">
        <v>64</v>
      </c>
    </row>
    <row r="160" spans="1:11" ht="42" customHeight="1">
      <c r="A160" s="2" t="s">
        <v>472</v>
      </c>
      <c r="B160" s="2" t="s">
        <v>472</v>
      </c>
      <c r="C160" s="2" t="s">
        <v>38</v>
      </c>
      <c r="D160" s="2" t="s">
        <v>39</v>
      </c>
      <c r="E160" s="5">
        <v>-31199</v>
      </c>
      <c r="F160" s="3" t="s">
        <v>453</v>
      </c>
      <c r="G160" s="3" t="s">
        <v>82</v>
      </c>
      <c r="H160" s="2" t="s">
        <v>62</v>
      </c>
      <c r="I160" s="2" t="s">
        <v>515</v>
      </c>
      <c r="J160" s="3" t="str">
        <f>HYPERLINK("https://www.boe.es/gazeta/dias/1814/07/30/pdfs/GMD-1814-105.pdf#page=3","Abrir facsímil")</f>
        <v>Abrir facsímil</v>
      </c>
      <c r="K160" s="3" t="s">
        <v>64</v>
      </c>
    </row>
    <row r="161" spans="1:11" ht="42" customHeight="1">
      <c r="A161" s="2" t="s">
        <v>472</v>
      </c>
      <c r="B161" s="2" t="s">
        <v>472</v>
      </c>
      <c r="C161" s="2" t="s">
        <v>32</v>
      </c>
      <c r="D161" s="2" t="s">
        <v>18</v>
      </c>
      <c r="E161" s="5">
        <v>-31199</v>
      </c>
      <c r="F161" s="3" t="s">
        <v>453</v>
      </c>
      <c r="G161" s="3" t="s">
        <v>41</v>
      </c>
      <c r="H161" s="2" t="s">
        <v>62</v>
      </c>
      <c r="I161" s="2" t="s">
        <v>516</v>
      </c>
      <c r="J161" s="3" t="str">
        <f>HYPERLINK("https://www.boe.es/gazeta/dias/1814/07/30/pdfs/GMD-1814-105.pdf#page=4","Abrir facsímil")</f>
        <v>Abrir facsímil</v>
      </c>
      <c r="K161" s="3" t="s">
        <v>64</v>
      </c>
    </row>
    <row r="162" spans="1:11" ht="42" customHeight="1">
      <c r="A162" s="2" t="s">
        <v>472</v>
      </c>
      <c r="B162" s="2" t="s">
        <v>472</v>
      </c>
      <c r="C162" s="2" t="s">
        <v>38</v>
      </c>
      <c r="D162" s="2" t="s">
        <v>39</v>
      </c>
      <c r="E162" s="5">
        <v>-31194</v>
      </c>
      <c r="F162" s="3" t="s">
        <v>333</v>
      </c>
      <c r="G162" s="3" t="s">
        <v>82</v>
      </c>
      <c r="H162" s="2" t="s">
        <v>62</v>
      </c>
      <c r="I162" s="2" t="s">
        <v>517</v>
      </c>
      <c r="J162" s="3" t="str">
        <f>HYPERLINK("https://www.boe.es/gazeta/dias/1814/08/04/pdfs/GMD-1814-107.pdf#page=3","Abrir facsímil")</f>
        <v>Abrir facsímil</v>
      </c>
      <c r="K162" s="3" t="s">
        <v>64</v>
      </c>
    </row>
    <row r="163" spans="1:11" ht="42" customHeight="1">
      <c r="A163" s="2" t="s">
        <v>472</v>
      </c>
      <c r="B163" s="2" t="s">
        <v>472</v>
      </c>
      <c r="C163" s="2" t="s">
        <v>45</v>
      </c>
      <c r="D163" s="2" t="s">
        <v>18</v>
      </c>
      <c r="E163" s="5">
        <v>-31187</v>
      </c>
      <c r="F163" s="3" t="s">
        <v>518</v>
      </c>
      <c r="G163" s="3" t="s">
        <v>52</v>
      </c>
      <c r="H163" s="2" t="s">
        <v>62</v>
      </c>
      <c r="I163" s="2" t="s">
        <v>519</v>
      </c>
      <c r="J163" s="3" t="str">
        <f>HYPERLINK("https://www.boe.es/gazeta/dias/1814/08/11/pdfs/GMD-1814-110.pdf#page=8","Abrir facsímil")</f>
        <v>Abrir facsímil</v>
      </c>
      <c r="K163" s="3" t="s">
        <v>64</v>
      </c>
    </row>
    <row r="164" spans="1:11" ht="42" customHeight="1">
      <c r="A164" s="2" t="s">
        <v>472</v>
      </c>
      <c r="B164" s="2" t="s">
        <v>472</v>
      </c>
      <c r="C164" s="2" t="s">
        <v>26</v>
      </c>
      <c r="D164" s="2" t="s">
        <v>27</v>
      </c>
      <c r="E164" s="5">
        <v>-31180</v>
      </c>
      <c r="F164" s="3" t="s">
        <v>520</v>
      </c>
      <c r="G164" s="3" t="s">
        <v>521</v>
      </c>
      <c r="H164" s="2" t="s">
        <v>62</v>
      </c>
      <c r="I164" s="2" t="s">
        <v>522</v>
      </c>
      <c r="J164" s="3" t="str">
        <f>HYPERLINK("https://www.boe.es/gazeta/dias/1814/08/18/pdfs/GMD-1814-113.pdf#page=2","Abrir facsímil")</f>
        <v>Abrir facsímil</v>
      </c>
      <c r="K164" s="3" t="s">
        <v>64</v>
      </c>
    </row>
    <row r="165" spans="1:11" ht="42" customHeight="1">
      <c r="A165" s="2" t="s">
        <v>472</v>
      </c>
      <c r="B165" s="2" t="s">
        <v>472</v>
      </c>
      <c r="C165" s="2" t="s">
        <v>17</v>
      </c>
      <c r="D165" s="2" t="s">
        <v>18</v>
      </c>
      <c r="E165" s="5">
        <v>-31145</v>
      </c>
      <c r="F165" s="3" t="s">
        <v>523</v>
      </c>
      <c r="G165" s="3" t="s">
        <v>82</v>
      </c>
      <c r="H165" s="2" t="s">
        <v>62</v>
      </c>
      <c r="I165" s="2" t="s">
        <v>524</v>
      </c>
      <c r="J165" s="3" t="str">
        <f>HYPERLINK("https://www.boe.es/gazeta/dias/1814/09/22/pdfs/GMD-1814-129.pdf#page=3","Abrir facsímil")</f>
        <v>Abrir facsímil</v>
      </c>
      <c r="K165" s="3" t="s">
        <v>64</v>
      </c>
    </row>
    <row r="166" spans="1:11" ht="42" customHeight="1">
      <c r="A166" s="2" t="s">
        <v>472</v>
      </c>
      <c r="B166" s="2" t="s">
        <v>472</v>
      </c>
      <c r="C166" s="2" t="s">
        <v>17</v>
      </c>
      <c r="D166" s="2" t="s">
        <v>18</v>
      </c>
      <c r="E166" s="5">
        <v>-31140</v>
      </c>
      <c r="F166" s="3" t="s">
        <v>525</v>
      </c>
      <c r="G166" s="3" t="s">
        <v>107</v>
      </c>
      <c r="H166" s="2" t="s">
        <v>62</v>
      </c>
      <c r="I166" s="2" t="s">
        <v>526</v>
      </c>
      <c r="J166" s="3" t="str">
        <f>HYPERLINK("https://www.boe.es/gazeta/dias/1814/09/27/pdfs/GMD-1814-131.pdf#page=1","Abrir facsímil")</f>
        <v>Abrir facsímil</v>
      </c>
      <c r="K166" s="3" t="s">
        <v>64</v>
      </c>
    </row>
    <row r="167" spans="1:11" ht="42" customHeight="1">
      <c r="A167" s="2" t="s">
        <v>472</v>
      </c>
      <c r="B167" s="2" t="s">
        <v>472</v>
      </c>
      <c r="C167" s="2" t="s">
        <v>38</v>
      </c>
      <c r="D167" s="2" t="s">
        <v>39</v>
      </c>
      <c r="E167" s="5">
        <v>-31122</v>
      </c>
      <c r="F167" s="3" t="s">
        <v>28</v>
      </c>
      <c r="G167" s="3" t="s">
        <v>107</v>
      </c>
      <c r="H167" s="2" t="s">
        <v>62</v>
      </c>
      <c r="I167" s="2" t="s">
        <v>527</v>
      </c>
      <c r="J167" s="3" t="str">
        <f>HYPERLINK("https://www.boe.es/gazeta/dias/1814/10/15/pdfs/GMD-1814-139.pdf#page=1","Abrir facsímil")</f>
        <v>Abrir facsímil</v>
      </c>
      <c r="K167" s="3" t="s">
        <v>64</v>
      </c>
    </row>
    <row r="168" spans="1:11" ht="42" customHeight="1">
      <c r="A168" s="2" t="s">
        <v>472</v>
      </c>
      <c r="B168" s="2" t="s">
        <v>472</v>
      </c>
      <c r="C168" s="2" t="s">
        <v>17</v>
      </c>
      <c r="D168" s="2" t="s">
        <v>18</v>
      </c>
      <c r="E168" s="5">
        <v>-31108</v>
      </c>
      <c r="F168" s="3" t="s">
        <v>528</v>
      </c>
      <c r="G168" s="3" t="s">
        <v>529</v>
      </c>
      <c r="H168" s="2" t="s">
        <v>62</v>
      </c>
      <c r="I168" s="2" t="s">
        <v>530</v>
      </c>
      <c r="J168" s="3" t="str">
        <f>HYPERLINK("https://www.boe.es/gazeta/dias/1814/10/29/pdfs/GMD-1814-145.pdf#page=2","Abrir facsímil")</f>
        <v>Abrir facsímil</v>
      </c>
      <c r="K168" s="3" t="s">
        <v>64</v>
      </c>
    </row>
    <row r="169" spans="1:11" ht="42" customHeight="1">
      <c r="A169" s="2" t="s">
        <v>472</v>
      </c>
      <c r="B169" s="2" t="s">
        <v>472</v>
      </c>
      <c r="C169" s="2" t="s">
        <v>38</v>
      </c>
      <c r="D169" s="2" t="s">
        <v>39</v>
      </c>
      <c r="E169" s="5">
        <v>-31089</v>
      </c>
      <c r="F169" s="3" t="s">
        <v>531</v>
      </c>
      <c r="G169" s="3" t="s">
        <v>87</v>
      </c>
      <c r="H169" s="2" t="s">
        <v>62</v>
      </c>
      <c r="I169" s="2" t="s">
        <v>532</v>
      </c>
      <c r="J169" s="3" t="str">
        <f>HYPERLINK("https://www.boe.es/gazeta/dias/1814/11/17/pdfs/GMD-1814-153.pdf#page=2","Abrir facsímil")</f>
        <v>Abrir facsímil</v>
      </c>
      <c r="K169" s="3" t="s">
        <v>64</v>
      </c>
    </row>
    <row r="170" spans="1:11" ht="42" customHeight="1">
      <c r="A170" s="2" t="s">
        <v>472</v>
      </c>
      <c r="B170" s="2" t="s">
        <v>472</v>
      </c>
      <c r="C170" s="2" t="s">
        <v>38</v>
      </c>
      <c r="D170" s="2" t="s">
        <v>39</v>
      </c>
      <c r="E170" s="5">
        <v>-31087</v>
      </c>
      <c r="F170" s="3" t="s">
        <v>118</v>
      </c>
      <c r="G170" s="3" t="s">
        <v>82</v>
      </c>
      <c r="H170" s="2" t="s">
        <v>62</v>
      </c>
      <c r="I170" s="2" t="s">
        <v>533</v>
      </c>
      <c r="J170" s="3" t="str">
        <f>HYPERLINK("https://www.boe.es/gazeta/dias/1814/11/19/pdfs/GMD-1814-154.pdf#page=3","Abrir facsímil")</f>
        <v>Abrir facsímil</v>
      </c>
      <c r="K170" s="3" t="s">
        <v>64</v>
      </c>
    </row>
    <row r="171" spans="1:11" ht="42" customHeight="1">
      <c r="A171" s="2" t="s">
        <v>472</v>
      </c>
      <c r="B171" s="2" t="s">
        <v>472</v>
      </c>
      <c r="C171" s="2" t="s">
        <v>38</v>
      </c>
      <c r="D171" s="2" t="s">
        <v>39</v>
      </c>
      <c r="E171" s="5">
        <v>-31084</v>
      </c>
      <c r="F171" s="3" t="s">
        <v>282</v>
      </c>
      <c r="G171" s="3" t="s">
        <v>107</v>
      </c>
      <c r="H171" s="2" t="s">
        <v>62</v>
      </c>
      <c r="I171" s="2" t="s">
        <v>534</v>
      </c>
      <c r="J171" s="3" t="str">
        <f>HYPERLINK("https://www.boe.es/gazeta/dias/1814/11/22/pdfs/GMD-1814-155.pdf#page=1","Abrir facsímil")</f>
        <v>Abrir facsímil</v>
      </c>
      <c r="K171" s="3" t="s">
        <v>64</v>
      </c>
    </row>
    <row r="172" spans="1:11" ht="42" customHeight="1">
      <c r="A172" s="2" t="s">
        <v>472</v>
      </c>
      <c r="B172" s="2" t="s">
        <v>472</v>
      </c>
      <c r="C172" s="2" t="s">
        <v>105</v>
      </c>
      <c r="D172" s="2" t="s">
        <v>18</v>
      </c>
      <c r="E172" s="5">
        <v>-31082</v>
      </c>
      <c r="F172" s="3" t="s">
        <v>535</v>
      </c>
      <c r="G172" s="3" t="s">
        <v>99</v>
      </c>
      <c r="H172" s="2" t="s">
        <v>62</v>
      </c>
      <c r="I172" s="2" t="s">
        <v>536</v>
      </c>
      <c r="J172" s="3" t="str">
        <f>HYPERLINK("https://www.boe.es/gazeta/dias/1814/11/24/pdfs/GMD-1814-156.pdf#page=5","Abrir facsímil")</f>
        <v>Abrir facsímil</v>
      </c>
      <c r="K172" s="3" t="s">
        <v>64</v>
      </c>
    </row>
    <row r="173" spans="1:11" ht="42" customHeight="1">
      <c r="A173" s="2" t="s">
        <v>472</v>
      </c>
      <c r="B173" s="2" t="s">
        <v>472</v>
      </c>
      <c r="C173" s="2" t="s">
        <v>26</v>
      </c>
      <c r="D173" s="2" t="s">
        <v>27</v>
      </c>
      <c r="E173" s="5">
        <v>-31075</v>
      </c>
      <c r="F173" s="3" t="s">
        <v>537</v>
      </c>
      <c r="G173" s="3" t="s">
        <v>87</v>
      </c>
      <c r="H173" s="2" t="s">
        <v>62</v>
      </c>
      <c r="I173" s="2" t="s">
        <v>538</v>
      </c>
      <c r="J173" s="3" t="str">
        <f>HYPERLINK("https://www.boe.es/gazeta/dias/1814/12/01/pdfs/GMD-1814-159.pdf#page=2","Abrir facsímil")</f>
        <v>Abrir facsímil</v>
      </c>
      <c r="K173" s="3" t="s">
        <v>64</v>
      </c>
    </row>
    <row r="174" spans="1:11" ht="42" customHeight="1">
      <c r="A174" s="2" t="s">
        <v>539</v>
      </c>
      <c r="B174" s="2" t="s">
        <v>539</v>
      </c>
      <c r="C174" s="2" t="s">
        <v>144</v>
      </c>
      <c r="D174" s="2" t="s">
        <v>18</v>
      </c>
      <c r="E174" s="5">
        <v>-31056</v>
      </c>
      <c r="F174" s="3" t="s">
        <v>540</v>
      </c>
      <c r="G174" s="3" t="s">
        <v>107</v>
      </c>
      <c r="H174" s="2" t="s">
        <v>62</v>
      </c>
      <c r="I174" s="2" t="s">
        <v>541</v>
      </c>
      <c r="J174" s="3" t="str">
        <f>HYPERLINK("https://www.boe.es/gazeta/dias/1814/12/20/pdfs/GMD-1814-168.pdf#page=1","Abrir facsímil")</f>
        <v>Abrir facsímil</v>
      </c>
      <c r="K174" s="3" t="s">
        <v>64</v>
      </c>
    </row>
    <row r="175" spans="1:11" ht="42" customHeight="1">
      <c r="A175" s="2" t="s">
        <v>539</v>
      </c>
      <c r="B175" s="2" t="s">
        <v>539</v>
      </c>
      <c r="C175" s="2" t="s">
        <v>105</v>
      </c>
      <c r="D175" s="2" t="s">
        <v>18</v>
      </c>
      <c r="E175" s="5">
        <v>-31049</v>
      </c>
      <c r="F175" s="3" t="s">
        <v>542</v>
      </c>
      <c r="G175" s="3" t="s">
        <v>107</v>
      </c>
      <c r="H175" s="2" t="s">
        <v>62</v>
      </c>
      <c r="I175" s="2" t="s">
        <v>543</v>
      </c>
      <c r="J175" s="3" t="str">
        <f>HYPERLINK("https://www.boe.es/gazeta/dias/1814/12/27/pdfs/GMD-1814-171.pdf#page=1","Abrir facsímil")</f>
        <v>Abrir facsímil</v>
      </c>
      <c r="K175" s="3" t="s">
        <v>64</v>
      </c>
    </row>
    <row r="176" spans="1:11" ht="42" customHeight="1">
      <c r="A176" s="2" t="s">
        <v>472</v>
      </c>
      <c r="B176" s="2" t="s">
        <v>472</v>
      </c>
      <c r="C176" s="2" t="s">
        <v>38</v>
      </c>
      <c r="D176" s="2" t="s">
        <v>39</v>
      </c>
      <c r="E176" s="5">
        <v>-31045</v>
      </c>
      <c r="F176" s="3" t="s">
        <v>165</v>
      </c>
      <c r="G176" s="3" t="s">
        <v>87</v>
      </c>
      <c r="H176" s="2" t="s">
        <v>62</v>
      </c>
      <c r="I176" s="2" t="s">
        <v>544</v>
      </c>
      <c r="J176" s="3" t="str">
        <f>HYPERLINK("https://www.boe.es/gazeta/dias/1814/12/31/pdfs/GMD-1814-173.pdf#page=2","Abrir facsímil")</f>
        <v>Abrir facsímil</v>
      </c>
      <c r="K176" s="3" t="s">
        <v>64</v>
      </c>
    </row>
    <row r="177" spans="1:11" ht="42" customHeight="1">
      <c r="A177" s="2" t="s">
        <v>545</v>
      </c>
      <c r="B177" s="2" t="s">
        <v>545</v>
      </c>
      <c r="C177" s="2" t="s">
        <v>38</v>
      </c>
      <c r="D177" s="2" t="s">
        <v>39</v>
      </c>
      <c r="E177" s="5">
        <v>-31089</v>
      </c>
      <c r="F177" s="3" t="s">
        <v>531</v>
      </c>
      <c r="G177" s="3" t="s">
        <v>82</v>
      </c>
      <c r="H177" s="2" t="s">
        <v>62</v>
      </c>
      <c r="I177" s="2" t="s">
        <v>546</v>
      </c>
      <c r="J177" s="3" t="str">
        <f>HYPERLINK("https://www.boe.es/gazeta/dias/1814/11/17/pdfs/GMD-1814-153.pdf#page=3","Abrir facsímil")</f>
        <v>Abrir facsímil</v>
      </c>
      <c r="K177" s="3" t="s">
        <v>64</v>
      </c>
    </row>
    <row r="178" spans="1:11" ht="42" customHeight="1">
      <c r="A178" s="2" t="s">
        <v>547</v>
      </c>
      <c r="B178" s="2" t="s">
        <v>547</v>
      </c>
      <c r="C178" s="2" t="s">
        <v>17</v>
      </c>
      <c r="D178" s="2" t="s">
        <v>18</v>
      </c>
      <c r="E178" s="5">
        <v>-31068</v>
      </c>
      <c r="F178" s="3" t="s">
        <v>548</v>
      </c>
      <c r="G178" s="3" t="s">
        <v>82</v>
      </c>
      <c r="H178" s="2" t="s">
        <v>62</v>
      </c>
      <c r="I178" s="2" t="s">
        <v>549</v>
      </c>
      <c r="J178" s="3" t="str">
        <f>HYPERLINK("https://www.boe.es/gazeta/dias/1814/12/08/pdfs/GMD-1814-162.pdf#page=3","Abrir facsímil")</f>
        <v>Abrir facsímil</v>
      </c>
      <c r="K178" s="3" t="s">
        <v>64</v>
      </c>
    </row>
    <row r="179" spans="1:11" ht="42" customHeight="1">
      <c r="A179" s="2" t="s">
        <v>550</v>
      </c>
      <c r="B179" s="2" t="s">
        <v>550</v>
      </c>
      <c r="C179" s="2" t="s">
        <v>38</v>
      </c>
      <c r="D179" s="2" t="s">
        <v>39</v>
      </c>
      <c r="E179" s="5">
        <v>-31124</v>
      </c>
      <c r="F179" s="3" t="s">
        <v>383</v>
      </c>
      <c r="G179" s="3" t="s">
        <v>87</v>
      </c>
      <c r="H179" s="2" t="s">
        <v>62</v>
      </c>
      <c r="I179" s="2" t="s">
        <v>551</v>
      </c>
      <c r="J179" s="3" t="str">
        <f>HYPERLINK("https://www.boe.es/gazeta/dias/1814/10/13/pdfs/GMD-1814-138.pdf#page=2","Abrir facsímil")</f>
        <v>Abrir facsímil</v>
      </c>
      <c r="K179" s="3" t="s">
        <v>64</v>
      </c>
    </row>
    <row r="180" spans="1:11" ht="42" customHeight="1">
      <c r="A180" s="2" t="s">
        <v>552</v>
      </c>
      <c r="B180" s="2" t="s">
        <v>553</v>
      </c>
      <c r="C180" s="2" t="s">
        <v>38</v>
      </c>
      <c r="D180" s="2" t="s">
        <v>39</v>
      </c>
      <c r="E180" s="5">
        <v>-31192</v>
      </c>
      <c r="F180" s="3" t="s">
        <v>388</v>
      </c>
      <c r="G180" s="3" t="s">
        <v>20</v>
      </c>
      <c r="H180" s="2" t="s">
        <v>62</v>
      </c>
      <c r="I180" s="2" t="s">
        <v>554</v>
      </c>
      <c r="J180" s="3" t="str">
        <f>HYPERLINK("https://www.boe.es/gazeta/dias/1814/08/06/pdfs/GMD-1814-108.pdf#page=7","Abrir facsímil")</f>
        <v>Abrir facsímil</v>
      </c>
      <c r="K180" s="3" t="s">
        <v>64</v>
      </c>
    </row>
    <row r="181" spans="1:11" ht="42" customHeight="1">
      <c r="A181" s="2" t="s">
        <v>555</v>
      </c>
      <c r="B181" s="2" t="s">
        <v>556</v>
      </c>
      <c r="C181" s="2" t="s">
        <v>26</v>
      </c>
      <c r="D181" s="2" t="s">
        <v>27</v>
      </c>
      <c r="E181" s="5">
        <v>-31292</v>
      </c>
      <c r="F181" s="3" t="s">
        <v>557</v>
      </c>
      <c r="G181" s="3" t="s">
        <v>52</v>
      </c>
      <c r="H181" s="2" t="s">
        <v>21</v>
      </c>
      <c r="I181" s="2" t="s">
        <v>558</v>
      </c>
      <c r="J181" s="3" t="str">
        <f>HYPERLINK("https://www.boe.es/gazeta/dias/1814/04/28/pdfs/GRE-1814-63.pdf#page=8","Abrir facsímil")</f>
        <v>Abrir facsímil</v>
      </c>
      <c r="K181" s="3" t="s">
        <v>23</v>
      </c>
    </row>
    <row r="182" spans="1:11" ht="42" customHeight="1">
      <c r="A182" s="2" t="s">
        <v>559</v>
      </c>
      <c r="B182" s="2" t="s">
        <v>560</v>
      </c>
      <c r="C182" s="2" t="s">
        <v>26</v>
      </c>
      <c r="D182" s="2" t="s">
        <v>27</v>
      </c>
      <c r="E182" s="5">
        <v>-31236</v>
      </c>
      <c r="F182" s="3" t="s">
        <v>33</v>
      </c>
      <c r="G182" s="3" t="s">
        <v>20</v>
      </c>
      <c r="H182" s="2" t="s">
        <v>62</v>
      </c>
      <c r="I182" s="2" t="s">
        <v>561</v>
      </c>
      <c r="J182" s="3" t="str">
        <f>HYPERLINK("https://www.boe.es/gazeta/dias/1814/06/23/pdfs/GMD-1814-89.pdf#page=7","Abrir facsímil")</f>
        <v>Abrir facsímil</v>
      </c>
      <c r="K182" s="3" t="s">
        <v>64</v>
      </c>
    </row>
    <row r="183" spans="1:11" ht="42" customHeight="1">
      <c r="A183" s="2" t="s">
        <v>562</v>
      </c>
      <c r="B183" s="2" t="s">
        <v>562</v>
      </c>
      <c r="C183" s="2" t="s">
        <v>17</v>
      </c>
      <c r="D183" s="2" t="s">
        <v>18</v>
      </c>
      <c r="E183" s="5">
        <v>-31108</v>
      </c>
      <c r="F183" s="3" t="s">
        <v>528</v>
      </c>
      <c r="G183" s="3" t="s">
        <v>41</v>
      </c>
      <c r="H183" s="2" t="s">
        <v>62</v>
      </c>
      <c r="I183" s="2" t="s">
        <v>563</v>
      </c>
      <c r="J183" s="3" t="str">
        <f>HYPERLINK("https://www.boe.es/gazeta/dias/1814/10/29/pdfs/GMD-1814-145.pdf#page=4","Abrir facsímil")</f>
        <v>Abrir facsímil</v>
      </c>
      <c r="K183" s="3" t="s">
        <v>64</v>
      </c>
    </row>
    <row r="184" spans="1:11" ht="42" customHeight="1">
      <c r="A184" s="2" t="s">
        <v>564</v>
      </c>
      <c r="B184" s="2" t="s">
        <v>564</v>
      </c>
      <c r="C184" s="2" t="s">
        <v>38</v>
      </c>
      <c r="D184" s="2" t="s">
        <v>39</v>
      </c>
      <c r="E184" s="5">
        <v>-31322</v>
      </c>
      <c r="F184" s="3" t="s">
        <v>114</v>
      </c>
      <c r="G184" s="3" t="s">
        <v>52</v>
      </c>
      <c r="H184" s="2" t="s">
        <v>62</v>
      </c>
      <c r="I184" s="2" t="s">
        <v>565</v>
      </c>
      <c r="J184" s="3" t="str">
        <f>HYPERLINK("https://www.boe.es/gazeta/dias/1814/03/29/pdfs/GRE-1814-44.pdf#page=8","Abrir facsímil")</f>
        <v>Abrir facsímil</v>
      </c>
      <c r="K184" s="3" t="s">
        <v>64</v>
      </c>
    </row>
    <row r="185" spans="1:11" ht="42" customHeight="1">
      <c r="A185" s="2" t="s">
        <v>566</v>
      </c>
      <c r="B185" s="2" t="s">
        <v>567</v>
      </c>
      <c r="C185" s="2" t="s">
        <v>38</v>
      </c>
      <c r="D185" s="2" t="s">
        <v>314</v>
      </c>
      <c r="E185" s="5">
        <v>-31296</v>
      </c>
      <c r="F185" s="3" t="s">
        <v>315</v>
      </c>
      <c r="G185" s="3" t="s">
        <v>52</v>
      </c>
      <c r="H185" s="2" t="s">
        <v>62</v>
      </c>
      <c r="I185" s="2" t="s">
        <v>568</v>
      </c>
      <c r="J185" s="3" t="str">
        <f>HYPERLINK("https://www.boe.es/gazeta/dias/1814/04/24/pdfs/GRE-1814-60E.pdf#page=8","Abrir facsímil")</f>
        <v>Abrir facsímil</v>
      </c>
      <c r="K185" s="3" t="s">
        <v>64</v>
      </c>
    </row>
    <row r="186" spans="1:11" ht="42" customHeight="1">
      <c r="A186" s="2" t="s">
        <v>569</v>
      </c>
      <c r="B186" s="2" t="s">
        <v>570</v>
      </c>
      <c r="C186" s="2" t="s">
        <v>38</v>
      </c>
      <c r="D186" s="2" t="s">
        <v>39</v>
      </c>
      <c r="E186" s="5">
        <v>-31264</v>
      </c>
      <c r="F186" s="3" t="s">
        <v>396</v>
      </c>
      <c r="G186" s="3" t="s">
        <v>82</v>
      </c>
      <c r="H186" s="2" t="s">
        <v>62</v>
      </c>
      <c r="I186" s="2" t="s">
        <v>571</v>
      </c>
      <c r="J186" s="3" t="str">
        <f>HYPERLINK("https://www.boe.es/gazeta/dias/1814/05/26/pdfs/GMD-1814-77.pdf#page=3","Abrir facsímil")</f>
        <v>Abrir facsímil</v>
      </c>
      <c r="K186" s="3" t="s">
        <v>64</v>
      </c>
    </row>
    <row r="187" spans="1:11" ht="42" customHeight="1">
      <c r="A187" s="2" t="s">
        <v>572</v>
      </c>
      <c r="B187" s="2" t="s">
        <v>573</v>
      </c>
      <c r="C187" s="2" t="s">
        <v>38</v>
      </c>
      <c r="D187" s="2" t="s">
        <v>39</v>
      </c>
      <c r="E187" s="5">
        <v>-31124</v>
      </c>
      <c r="F187" s="3" t="s">
        <v>383</v>
      </c>
      <c r="G187" s="3" t="s">
        <v>574</v>
      </c>
      <c r="H187" s="2" t="s">
        <v>62</v>
      </c>
      <c r="I187" s="2" t="s">
        <v>575</v>
      </c>
      <c r="J187" s="3" t="str">
        <f>HYPERLINK("https://www.boe.es/gazeta/dias/1814/10/13/pdfs/GMD-1814-138.pdf#page=10","Abrir facsímil")</f>
        <v>Abrir facsímil</v>
      </c>
      <c r="K187" s="3" t="s">
        <v>64</v>
      </c>
    </row>
    <row r="188" spans="1:11" ht="42" customHeight="1">
      <c r="A188" s="2" t="s">
        <v>572</v>
      </c>
      <c r="B188" s="2" t="s">
        <v>573</v>
      </c>
      <c r="C188" s="2" t="s">
        <v>26</v>
      </c>
      <c r="D188" s="2" t="s">
        <v>27</v>
      </c>
      <c r="E188" s="5">
        <v>-31061</v>
      </c>
      <c r="F188" s="3" t="s">
        <v>329</v>
      </c>
      <c r="G188" s="3" t="s">
        <v>52</v>
      </c>
      <c r="H188" s="2" t="s">
        <v>62</v>
      </c>
      <c r="I188" s="2" t="s">
        <v>576</v>
      </c>
      <c r="J188" s="3" t="str">
        <f>HYPERLINK("https://www.boe.es/gazeta/dias/1814/12/15/pdfs/GMD-1814-165.pdf#page=8","Abrir facsímil")</f>
        <v>Abrir facsímil</v>
      </c>
      <c r="K188" s="3" t="s">
        <v>64</v>
      </c>
    </row>
    <row r="189" spans="1:11" ht="42" customHeight="1">
      <c r="A189" s="2" t="s">
        <v>572</v>
      </c>
      <c r="B189" s="2" t="s">
        <v>573</v>
      </c>
      <c r="C189" s="2" t="s">
        <v>26</v>
      </c>
      <c r="D189" s="2" t="s">
        <v>27</v>
      </c>
      <c r="E189" s="5">
        <v>-31056</v>
      </c>
      <c r="F189" s="3" t="s">
        <v>540</v>
      </c>
      <c r="G189" s="3" t="s">
        <v>577</v>
      </c>
      <c r="H189" s="2" t="s">
        <v>62</v>
      </c>
      <c r="I189" s="2" t="s">
        <v>578</v>
      </c>
      <c r="J189" s="3" t="str">
        <f>HYPERLINK("https://www.boe.es/gazeta/dias/1814/12/20/pdfs/GMD-1814-168.pdf#page=8","Abrir facsímil")</f>
        <v>Abrir facsímil</v>
      </c>
      <c r="K189" s="3" t="s">
        <v>64</v>
      </c>
    </row>
    <row r="190" spans="1:11" ht="42" customHeight="1">
      <c r="A190" s="2" t="s">
        <v>579</v>
      </c>
      <c r="B190" s="2" t="s">
        <v>580</v>
      </c>
      <c r="C190" s="2" t="s">
        <v>38</v>
      </c>
      <c r="D190" s="2" t="s">
        <v>39</v>
      </c>
      <c r="E190" s="5">
        <v>-31308</v>
      </c>
      <c r="F190" s="3" t="s">
        <v>210</v>
      </c>
      <c r="G190" s="3" t="s">
        <v>20</v>
      </c>
      <c r="H190" s="2" t="s">
        <v>62</v>
      </c>
      <c r="I190" s="2" t="s">
        <v>581</v>
      </c>
      <c r="J190" s="3" t="str">
        <f>HYPERLINK("https://www.boe.es/gazeta/dias/1814/04/12/pdfs/GRE-1814-52.pdf#page=7","Abrir facsímil")</f>
        <v>Abrir facsímil</v>
      </c>
      <c r="K190" s="3" t="s">
        <v>64</v>
      </c>
    </row>
    <row r="191" spans="1:11" ht="42" customHeight="1">
      <c r="A191" s="2" t="s">
        <v>579</v>
      </c>
      <c r="B191" s="2" t="s">
        <v>580</v>
      </c>
      <c r="C191" s="2" t="s">
        <v>38</v>
      </c>
      <c r="D191" s="2" t="s">
        <v>39</v>
      </c>
      <c r="E191" s="5">
        <v>-31234</v>
      </c>
      <c r="F191" s="3" t="s">
        <v>462</v>
      </c>
      <c r="G191" s="3" t="s">
        <v>41</v>
      </c>
      <c r="H191" s="2" t="s">
        <v>62</v>
      </c>
      <c r="I191" s="2" t="s">
        <v>582</v>
      </c>
      <c r="J191" s="3" t="str">
        <f>HYPERLINK("https://www.boe.es/gazeta/dias/1814/06/25/pdfs/GMD-1814-90.pdf#page=4","Abrir facsímil")</f>
        <v>Abrir facsímil</v>
      </c>
      <c r="K191" s="3" t="s">
        <v>64</v>
      </c>
    </row>
    <row r="192" spans="1:11" ht="42" customHeight="1">
      <c r="A192" s="2" t="s">
        <v>583</v>
      </c>
      <c r="B192" s="2" t="s">
        <v>584</v>
      </c>
      <c r="C192" s="2" t="s">
        <v>38</v>
      </c>
      <c r="D192" s="2" t="s">
        <v>39</v>
      </c>
      <c r="E192" s="5">
        <v>-31175</v>
      </c>
      <c r="F192" s="3" t="s">
        <v>145</v>
      </c>
      <c r="G192" s="3" t="s">
        <v>99</v>
      </c>
      <c r="H192" s="2" t="s">
        <v>62</v>
      </c>
      <c r="I192" s="2" t="s">
        <v>585</v>
      </c>
      <c r="J192" s="3" t="str">
        <f>HYPERLINK("https://www.boe.es/gazeta/dias/1814/08/23/pdfs/GMD-1814-115.pdf#page=5","Abrir facsímil")</f>
        <v>Abrir facsímil</v>
      </c>
      <c r="K192" s="3" t="s">
        <v>64</v>
      </c>
    </row>
    <row r="193" spans="1:11" ht="42" customHeight="1">
      <c r="A193" s="2" t="s">
        <v>586</v>
      </c>
      <c r="B193" s="2" t="s">
        <v>587</v>
      </c>
      <c r="C193" s="2" t="s">
        <v>38</v>
      </c>
      <c r="D193" s="2" t="s">
        <v>39</v>
      </c>
      <c r="E193" s="5">
        <v>-31210</v>
      </c>
      <c r="F193" s="3" t="s">
        <v>141</v>
      </c>
      <c r="G193" s="3" t="s">
        <v>99</v>
      </c>
      <c r="H193" s="2" t="s">
        <v>62</v>
      </c>
      <c r="I193" s="2" t="s">
        <v>588</v>
      </c>
      <c r="J193" s="3" t="str">
        <f>HYPERLINK("https://www.boe.es/gazeta/dias/1814/07/19/pdfs/GMD-1814-100.pdf#page=5","Abrir facsímil")</f>
        <v>Abrir facsímil</v>
      </c>
      <c r="K193" s="3" t="s">
        <v>64</v>
      </c>
    </row>
    <row r="194" spans="1:11" ht="42" customHeight="1">
      <c r="A194" s="2" t="s">
        <v>589</v>
      </c>
      <c r="B194" s="2" t="s">
        <v>589</v>
      </c>
      <c r="C194" s="2" t="s">
        <v>45</v>
      </c>
      <c r="D194" s="2" t="s">
        <v>18</v>
      </c>
      <c r="E194" s="5">
        <v>-31313</v>
      </c>
      <c r="F194" s="3" t="s">
        <v>239</v>
      </c>
      <c r="G194" s="3" t="s">
        <v>590</v>
      </c>
      <c r="H194" s="2" t="s">
        <v>62</v>
      </c>
      <c r="I194" s="2" t="s">
        <v>591</v>
      </c>
      <c r="J194" s="3" t="str">
        <f>HYPERLINK("https://www.boe.es/gazeta/dias/1814/04/07/pdfs/GRE-1814-50.pdf#page=8","Abrir facsímil")</f>
        <v>Abrir facsímil</v>
      </c>
      <c r="K194" s="3" t="s">
        <v>64</v>
      </c>
    </row>
    <row r="195" spans="1:11" ht="42" customHeight="1">
      <c r="A195" s="2" t="s">
        <v>592</v>
      </c>
      <c r="B195" s="2" t="s">
        <v>593</v>
      </c>
      <c r="C195" s="2" t="s">
        <v>38</v>
      </c>
      <c r="D195" s="2" t="s">
        <v>39</v>
      </c>
      <c r="E195" s="5">
        <v>-31364</v>
      </c>
      <c r="F195" s="3" t="s">
        <v>594</v>
      </c>
      <c r="G195" s="3" t="s">
        <v>57</v>
      </c>
      <c r="H195" s="2" t="s">
        <v>62</v>
      </c>
      <c r="I195" s="2" t="s">
        <v>595</v>
      </c>
      <c r="J195" s="3" t="str">
        <f>HYPERLINK("https://www.boe.es/gazeta/dias/1814/02/15/pdfs/GRE-1814-21.pdf#page=6","Abrir facsímil")</f>
        <v>Abrir facsímil</v>
      </c>
      <c r="K195" s="3" t="s">
        <v>64</v>
      </c>
    </row>
    <row r="196" spans="1:11" ht="42" customHeight="1">
      <c r="A196" s="2" t="s">
        <v>596</v>
      </c>
      <c r="B196" s="2" t="s">
        <v>597</v>
      </c>
      <c r="C196" s="2" t="s">
        <v>26</v>
      </c>
      <c r="D196" s="2" t="s">
        <v>27</v>
      </c>
      <c r="E196" s="5">
        <v>-31360</v>
      </c>
      <c r="F196" s="3" t="s">
        <v>480</v>
      </c>
      <c r="G196" s="3" t="s">
        <v>52</v>
      </c>
      <c r="H196" s="2" t="s">
        <v>62</v>
      </c>
      <c r="I196" s="2" t="s">
        <v>598</v>
      </c>
      <c r="J196" s="3" t="str">
        <f>HYPERLINK("https://www.boe.es/gazeta/dias/1814/02/19/pdfs/GRE-1814-23.pdf#page=8","Abrir facsímil")</f>
        <v>Abrir facsímil</v>
      </c>
      <c r="K196" s="3" t="s">
        <v>64</v>
      </c>
    </row>
    <row r="197" spans="1:11" ht="42" customHeight="1">
      <c r="A197" s="2" t="s">
        <v>596</v>
      </c>
      <c r="B197" s="2" t="s">
        <v>597</v>
      </c>
      <c r="C197" s="2" t="s">
        <v>26</v>
      </c>
      <c r="D197" s="2" t="s">
        <v>27</v>
      </c>
      <c r="E197" s="5">
        <v>-31266</v>
      </c>
      <c r="F197" s="3" t="s">
        <v>191</v>
      </c>
      <c r="G197" s="3" t="s">
        <v>57</v>
      </c>
      <c r="H197" s="2" t="s">
        <v>62</v>
      </c>
      <c r="I197" s="2" t="s">
        <v>599</v>
      </c>
      <c r="J197" s="3" t="str">
        <f>HYPERLINK("https://www.boe.es/gazeta/dias/1814/05/24/pdfs/GMD-1814-76.pdf#page=6","Abrir facsímil")</f>
        <v>Abrir facsímil</v>
      </c>
      <c r="K197" s="3" t="s">
        <v>64</v>
      </c>
    </row>
    <row r="198" spans="1:11" ht="42" customHeight="1">
      <c r="A198" s="2" t="s">
        <v>600</v>
      </c>
      <c r="B198" s="2" t="s">
        <v>601</v>
      </c>
      <c r="C198" s="2" t="s">
        <v>38</v>
      </c>
      <c r="D198" s="2" t="s">
        <v>39</v>
      </c>
      <c r="E198" s="5">
        <v>-31180</v>
      </c>
      <c r="F198" s="3" t="s">
        <v>520</v>
      </c>
      <c r="G198" s="3" t="s">
        <v>602</v>
      </c>
      <c r="H198" s="2" t="s">
        <v>62</v>
      </c>
      <c r="I198" s="2" t="s">
        <v>603</v>
      </c>
      <c r="J198" s="3" t="str">
        <f>HYPERLINK("https://www.boe.es/gazeta/dias/1814/08/18/pdfs/GMD-1814-113.pdf#page=8","Abrir facsímil")</f>
        <v>Abrir facsímil</v>
      </c>
      <c r="K198" s="3" t="s">
        <v>64</v>
      </c>
    </row>
    <row r="199" spans="1:11" ht="42" customHeight="1">
      <c r="A199" s="2" t="s">
        <v>604</v>
      </c>
      <c r="B199" s="2" t="s">
        <v>605</v>
      </c>
      <c r="C199" s="2" t="s">
        <v>32</v>
      </c>
      <c r="D199" s="2" t="s">
        <v>18</v>
      </c>
      <c r="E199" s="5">
        <v>-31229</v>
      </c>
      <c r="F199" s="3" t="s">
        <v>502</v>
      </c>
      <c r="G199" s="3" t="s">
        <v>137</v>
      </c>
      <c r="H199" s="2" t="s">
        <v>62</v>
      </c>
      <c r="I199" s="2" t="s">
        <v>606</v>
      </c>
      <c r="J199" s="3" t="str">
        <f>HYPERLINK("https://www.boe.es/gazeta/dias/1814/06/30/pdfs/GMD-1814-92.pdf#page=9","Abrir facsímil")</f>
        <v>Abrir facsímil</v>
      </c>
      <c r="K199" s="3" t="s">
        <v>64</v>
      </c>
    </row>
    <row r="200" spans="1:11" ht="42" customHeight="1">
      <c r="A200" s="2" t="s">
        <v>607</v>
      </c>
      <c r="B200" s="2" t="s">
        <v>608</v>
      </c>
      <c r="C200" s="2" t="s">
        <v>26</v>
      </c>
      <c r="D200" s="2" t="s">
        <v>27</v>
      </c>
      <c r="E200" s="5">
        <v>-31224</v>
      </c>
      <c r="F200" s="3" t="s">
        <v>609</v>
      </c>
      <c r="G200" s="3" t="s">
        <v>20</v>
      </c>
      <c r="H200" s="2" t="s">
        <v>62</v>
      </c>
      <c r="I200" s="2" t="s">
        <v>610</v>
      </c>
      <c r="J200" s="3" t="str">
        <f>HYPERLINK("https://www.boe.es/gazeta/dias/1814/07/05/pdfs/GMD-1814-94.pdf#page=7","Abrir facsímil")</f>
        <v>Abrir facsímil</v>
      </c>
      <c r="K200" s="3" t="s">
        <v>64</v>
      </c>
    </row>
    <row r="201" spans="1:11" ht="42" customHeight="1">
      <c r="A201" s="2" t="s">
        <v>611</v>
      </c>
      <c r="B201" s="2" t="s">
        <v>612</v>
      </c>
      <c r="C201" s="2" t="s">
        <v>105</v>
      </c>
      <c r="D201" s="2" t="s">
        <v>18</v>
      </c>
      <c r="E201" s="5">
        <v>-31322</v>
      </c>
      <c r="F201" s="3" t="s">
        <v>114</v>
      </c>
      <c r="G201" s="3" t="s">
        <v>52</v>
      </c>
      <c r="H201" s="2" t="s">
        <v>62</v>
      </c>
      <c r="I201" s="2" t="s">
        <v>613</v>
      </c>
      <c r="J201" s="3" t="str">
        <f>HYPERLINK("https://www.boe.es/gazeta/dias/1814/03/29/pdfs/GRE-1814-44.pdf#page=8","Abrir facsímil")</f>
        <v>Abrir facsímil</v>
      </c>
      <c r="K201" s="3" t="s">
        <v>64</v>
      </c>
    </row>
    <row r="202" spans="1:11" ht="42" customHeight="1">
      <c r="A202" s="2" t="s">
        <v>614</v>
      </c>
      <c r="B202" s="2" t="s">
        <v>615</v>
      </c>
      <c r="C202" s="2" t="s">
        <v>38</v>
      </c>
      <c r="D202" s="2" t="s">
        <v>39</v>
      </c>
      <c r="E202" s="5">
        <v>-31220</v>
      </c>
      <c r="F202" s="3" t="s">
        <v>122</v>
      </c>
      <c r="G202" s="3" t="s">
        <v>99</v>
      </c>
      <c r="H202" s="2" t="s">
        <v>62</v>
      </c>
      <c r="I202" s="2" t="s">
        <v>616</v>
      </c>
      <c r="J202" s="3" t="str">
        <f>HYPERLINK("https://www.boe.es/gazeta/dias/1814/07/09/pdfs/GMD-1814-96.pdf#page=5","Abrir facsímil")</f>
        <v>Abrir facsímil</v>
      </c>
      <c r="K202" s="3" t="s">
        <v>64</v>
      </c>
    </row>
    <row r="203" spans="1:11" ht="42" customHeight="1">
      <c r="A203" s="2" t="s">
        <v>617</v>
      </c>
      <c r="B203" s="2" t="s">
        <v>618</v>
      </c>
      <c r="C203" s="2" t="s">
        <v>17</v>
      </c>
      <c r="D203" s="2" t="s">
        <v>18</v>
      </c>
      <c r="E203" s="5">
        <v>-31119</v>
      </c>
      <c r="F203" s="3" t="s">
        <v>136</v>
      </c>
      <c r="G203" s="3" t="s">
        <v>137</v>
      </c>
      <c r="H203" s="2" t="s">
        <v>62</v>
      </c>
      <c r="I203" s="2" t="s">
        <v>619</v>
      </c>
      <c r="J203" s="3" t="str">
        <f>HYPERLINK("https://www.boe.es/gazeta/dias/1814/10/18/pdfs/GMD-1814-140.pdf#page=9","Abrir facsímil")</f>
        <v>Abrir facsímil</v>
      </c>
      <c r="K203" s="3" t="s">
        <v>64</v>
      </c>
    </row>
    <row r="204" spans="1:11" ht="42" customHeight="1">
      <c r="A204" s="2" t="s">
        <v>620</v>
      </c>
      <c r="B204" s="2" t="s">
        <v>620</v>
      </c>
      <c r="C204" s="2" t="s">
        <v>38</v>
      </c>
      <c r="D204" s="2" t="s">
        <v>39</v>
      </c>
      <c r="E204" s="5">
        <v>-31329</v>
      </c>
      <c r="F204" s="3" t="s">
        <v>621</v>
      </c>
      <c r="G204" s="3" t="s">
        <v>622</v>
      </c>
      <c r="H204" s="2" t="s">
        <v>62</v>
      </c>
      <c r="I204" s="2" t="s">
        <v>623</v>
      </c>
      <c r="J204" s="3" t="str">
        <f>HYPERLINK("https://www.boe.es/gazeta/dias/1814/03/22/pdfs/GRE-1814-39.pdf#page=2","Abrir facsímil")</f>
        <v>Abrir facsímil</v>
      </c>
      <c r="K204" s="3" t="s">
        <v>64</v>
      </c>
    </row>
    <row r="205" spans="1:11" ht="42" customHeight="1">
      <c r="A205" s="2" t="s">
        <v>624</v>
      </c>
      <c r="B205" s="2" t="s">
        <v>624</v>
      </c>
      <c r="C205" s="2" t="s">
        <v>38</v>
      </c>
      <c r="D205" s="2" t="s">
        <v>39</v>
      </c>
      <c r="E205" s="5">
        <v>-31329</v>
      </c>
      <c r="F205" s="3" t="s">
        <v>621</v>
      </c>
      <c r="G205" s="3" t="s">
        <v>622</v>
      </c>
      <c r="H205" s="2" t="s">
        <v>62</v>
      </c>
      <c r="I205" s="2" t="s">
        <v>625</v>
      </c>
      <c r="J205" s="3" t="str">
        <f>HYPERLINK("https://www.boe.es/gazeta/dias/1814/03/22/pdfs/GRE-1814-39.pdf#page=2","Abrir facsímil")</f>
        <v>Abrir facsímil</v>
      </c>
      <c r="K205" s="3" t="s">
        <v>64</v>
      </c>
    </row>
    <row r="206" spans="1:11" ht="42" customHeight="1">
      <c r="A206" s="2" t="s">
        <v>626</v>
      </c>
      <c r="B206" s="2" t="s">
        <v>627</v>
      </c>
      <c r="C206" s="2" t="s">
        <v>17</v>
      </c>
      <c r="D206" s="2" t="s">
        <v>18</v>
      </c>
      <c r="E206" s="5">
        <v>-31192</v>
      </c>
      <c r="F206" s="3" t="s">
        <v>388</v>
      </c>
      <c r="G206" s="3" t="s">
        <v>20</v>
      </c>
      <c r="H206" s="2" t="s">
        <v>62</v>
      </c>
      <c r="I206" s="2" t="s">
        <v>628</v>
      </c>
      <c r="J206" s="3" t="str">
        <f>HYPERLINK("https://www.boe.es/gazeta/dias/1814/08/06/pdfs/GMD-1814-108.pdf#page=7","Abrir facsímil")</f>
        <v>Abrir facsímil</v>
      </c>
      <c r="K206" s="3" t="s">
        <v>64</v>
      </c>
    </row>
    <row r="207" spans="1:11" ht="42" customHeight="1">
      <c r="A207" s="2" t="s">
        <v>629</v>
      </c>
      <c r="B207" s="2" t="s">
        <v>629</v>
      </c>
      <c r="C207" s="2" t="s">
        <v>38</v>
      </c>
      <c r="D207" s="2" t="s">
        <v>39</v>
      </c>
      <c r="E207" s="5">
        <v>-31404</v>
      </c>
      <c r="F207" s="3" t="s">
        <v>630</v>
      </c>
      <c r="G207" s="3" t="s">
        <v>631</v>
      </c>
      <c r="H207" s="2" t="s">
        <v>62</v>
      </c>
      <c r="I207" s="2" t="s">
        <v>632</v>
      </c>
      <c r="J207" s="3" t="str">
        <f>HYPERLINK("https://www.boe.es/gazeta/dias/1814/01/06/pdfs/GRE-1814-3.pdf#page=4","Abrir facsímil")</f>
        <v>Abrir facsímil</v>
      </c>
      <c r="K207" s="3" t="s">
        <v>64</v>
      </c>
    </row>
    <row r="208" spans="1:11" ht="42" customHeight="1">
      <c r="A208" s="2" t="s">
        <v>629</v>
      </c>
      <c r="B208" s="2" t="s">
        <v>629</v>
      </c>
      <c r="C208" s="2" t="s">
        <v>38</v>
      </c>
      <c r="D208" s="2" t="s">
        <v>314</v>
      </c>
      <c r="E208" s="5">
        <v>-31341</v>
      </c>
      <c r="F208" s="3" t="s">
        <v>354</v>
      </c>
      <c r="G208" s="3" t="s">
        <v>87</v>
      </c>
      <c r="H208" s="2" t="s">
        <v>62</v>
      </c>
      <c r="I208" s="2" t="s">
        <v>633</v>
      </c>
      <c r="J208" s="3" t="str">
        <f>HYPERLINK("https://www.boe.es/gazeta/dias/1814/03/10/pdfs/GRE-1814-34E.pdf#page=2","Abrir facsímil")</f>
        <v>Abrir facsímil</v>
      </c>
      <c r="K208" s="3" t="s">
        <v>64</v>
      </c>
    </row>
    <row r="209" spans="1:11" ht="42" customHeight="1">
      <c r="A209" s="2" t="s">
        <v>634</v>
      </c>
      <c r="B209" s="2" t="s">
        <v>635</v>
      </c>
      <c r="C209" s="2" t="s">
        <v>38</v>
      </c>
      <c r="D209" s="2" t="s">
        <v>314</v>
      </c>
      <c r="E209" s="5">
        <v>-31341</v>
      </c>
      <c r="F209" s="3" t="s">
        <v>354</v>
      </c>
      <c r="G209" s="3" t="s">
        <v>107</v>
      </c>
      <c r="H209" s="2" t="s">
        <v>62</v>
      </c>
      <c r="I209" s="2" t="s">
        <v>636</v>
      </c>
      <c r="J209" s="3" t="str">
        <f>HYPERLINK("https://www.boe.es/gazeta/dias/1814/03/10/pdfs/GRE-1814-34E.pdf#page=1","Abrir facsímil")</f>
        <v>Abrir facsímil</v>
      </c>
      <c r="K209" s="3" t="s">
        <v>64</v>
      </c>
    </row>
    <row r="210" spans="1:11" ht="42" customHeight="1">
      <c r="A210" s="2" t="s">
        <v>637</v>
      </c>
      <c r="B210" s="2" t="s">
        <v>638</v>
      </c>
      <c r="C210" s="2" t="s">
        <v>26</v>
      </c>
      <c r="D210" s="2" t="s">
        <v>27</v>
      </c>
      <c r="E210" s="5">
        <v>-31059</v>
      </c>
      <c r="F210" s="3" t="s">
        <v>263</v>
      </c>
      <c r="G210" s="3" t="s">
        <v>264</v>
      </c>
      <c r="H210" s="2" t="s">
        <v>62</v>
      </c>
      <c r="I210" s="2" t="s">
        <v>639</v>
      </c>
      <c r="J210" s="3" t="str">
        <f>HYPERLINK("https://www.boe.es/gazeta/dias/1814/12/17/pdfs/GMD-1814-167.pdf#page=7","Abrir facsímil")</f>
        <v>Abrir facsímil</v>
      </c>
      <c r="K210" s="3" t="s">
        <v>64</v>
      </c>
    </row>
    <row r="211" spans="1:11" ht="42" customHeight="1">
      <c r="A211" s="2" t="s">
        <v>640</v>
      </c>
      <c r="B211" s="2" t="s">
        <v>640</v>
      </c>
      <c r="C211" s="2" t="s">
        <v>32</v>
      </c>
      <c r="D211" s="2" t="s">
        <v>18</v>
      </c>
      <c r="E211" s="5">
        <v>-31339</v>
      </c>
      <c r="F211" s="3" t="s">
        <v>641</v>
      </c>
      <c r="G211" s="3" t="s">
        <v>52</v>
      </c>
      <c r="H211" s="2" t="s">
        <v>62</v>
      </c>
      <c r="I211" s="2" t="s">
        <v>642</v>
      </c>
      <c r="J211" s="3" t="str">
        <f>HYPERLINK("https://www.boe.es/gazeta/dias/1814/03/12/pdfs/GRE-1814-35.pdf#page=8","Abrir facsímil")</f>
        <v>Abrir facsímil</v>
      </c>
      <c r="K211" s="3" t="s">
        <v>64</v>
      </c>
    </row>
    <row r="212" spans="1:11" ht="42" customHeight="1">
      <c r="A212" s="2" t="s">
        <v>643</v>
      </c>
      <c r="B212" s="2" t="s">
        <v>644</v>
      </c>
      <c r="C212" s="2" t="s">
        <v>38</v>
      </c>
      <c r="D212" s="2" t="s">
        <v>39</v>
      </c>
      <c r="E212" s="5">
        <v>-31315</v>
      </c>
      <c r="F212" s="3" t="s">
        <v>645</v>
      </c>
      <c r="G212" s="3" t="s">
        <v>99</v>
      </c>
      <c r="H212" s="2" t="s">
        <v>62</v>
      </c>
      <c r="I212" s="2" t="s">
        <v>646</v>
      </c>
      <c r="J212" s="3" t="str">
        <f>HYPERLINK("https://www.boe.es/gazeta/dias/1814/04/05/pdfs/GRE-1814-49.pdf#page=5","Abrir facsímil")</f>
        <v>Abrir facsímil</v>
      </c>
      <c r="K212" s="3" t="s">
        <v>64</v>
      </c>
    </row>
    <row r="213" spans="1:11" ht="42" customHeight="1">
      <c r="A213" s="2" t="s">
        <v>647</v>
      </c>
      <c r="B213" s="2" t="s">
        <v>648</v>
      </c>
      <c r="C213" s="2" t="s">
        <v>38</v>
      </c>
      <c r="D213" s="2" t="s">
        <v>39</v>
      </c>
      <c r="E213" s="5">
        <v>-31063</v>
      </c>
      <c r="F213" s="3" t="s">
        <v>649</v>
      </c>
      <c r="G213" s="3" t="s">
        <v>52</v>
      </c>
      <c r="H213" s="2" t="s">
        <v>62</v>
      </c>
      <c r="I213" s="2" t="s">
        <v>650</v>
      </c>
      <c r="J213" s="3" t="str">
        <f>HYPERLINK("https://www.boe.es/gazeta/dias/1814/12/13/pdfs/GMD-1814-164.pdf#page=8","Abrir facsímil")</f>
        <v>Abrir facsímil</v>
      </c>
      <c r="K213" s="3" t="s">
        <v>64</v>
      </c>
    </row>
    <row r="214" spans="1:11" ht="42" customHeight="1">
      <c r="A214" s="2" t="s">
        <v>651</v>
      </c>
      <c r="B214" s="2" t="s">
        <v>652</v>
      </c>
      <c r="C214" s="2" t="s">
        <v>17</v>
      </c>
      <c r="D214" s="2" t="s">
        <v>314</v>
      </c>
      <c r="E214" s="5">
        <v>-31296</v>
      </c>
      <c r="F214" s="3" t="s">
        <v>315</v>
      </c>
      <c r="G214" s="3" t="s">
        <v>52</v>
      </c>
      <c r="H214" s="2" t="s">
        <v>62</v>
      </c>
      <c r="I214" s="2" t="s">
        <v>653</v>
      </c>
      <c r="J214" s="3" t="str">
        <f>HYPERLINK("https://www.boe.es/gazeta/dias/1814/04/24/pdfs/GRE-1814-60E.pdf#page=8","Abrir facsímil")</f>
        <v>Abrir facsímil</v>
      </c>
      <c r="K214" s="3" t="s">
        <v>64</v>
      </c>
    </row>
    <row r="215" spans="1:11" ht="42" customHeight="1">
      <c r="A215" s="2" t="s">
        <v>654</v>
      </c>
      <c r="B215" s="2" t="s">
        <v>655</v>
      </c>
      <c r="C215" s="2" t="s">
        <v>26</v>
      </c>
      <c r="D215" s="2" t="s">
        <v>27</v>
      </c>
      <c r="E215" s="5">
        <v>-31243</v>
      </c>
      <c r="F215" s="3" t="s">
        <v>500</v>
      </c>
      <c r="G215" s="3" t="s">
        <v>137</v>
      </c>
      <c r="H215" s="2" t="s">
        <v>62</v>
      </c>
      <c r="I215" s="2" t="s">
        <v>656</v>
      </c>
      <c r="J215" s="3" t="str">
        <f>HYPERLINK("https://www.boe.es/gazeta/dias/1814/06/16/pdfs/GMD-1814-86.pdf#page=9","Abrir facsímil")</f>
        <v>Abrir facsímil</v>
      </c>
      <c r="K215" s="3" t="s">
        <v>64</v>
      </c>
    </row>
    <row r="216" spans="1:11" ht="42" customHeight="1">
      <c r="A216" s="2" t="s">
        <v>657</v>
      </c>
      <c r="B216" s="2" t="s">
        <v>658</v>
      </c>
      <c r="C216" s="2" t="s">
        <v>32</v>
      </c>
      <c r="D216" s="2" t="s">
        <v>18</v>
      </c>
      <c r="E216" s="5">
        <v>-31145</v>
      </c>
      <c r="F216" s="3" t="s">
        <v>523</v>
      </c>
      <c r="G216" s="3" t="s">
        <v>20</v>
      </c>
      <c r="H216" s="2" t="s">
        <v>62</v>
      </c>
      <c r="I216" s="2" t="s">
        <v>659</v>
      </c>
      <c r="J216" s="3" t="str">
        <f>HYPERLINK("https://www.boe.es/gazeta/dias/1814/09/22/pdfs/GMD-1814-129.pdf#page=7","Abrir facsímil")</f>
        <v>Abrir facsímil</v>
      </c>
      <c r="K216" s="3" t="s">
        <v>64</v>
      </c>
    </row>
    <row r="217" spans="1:11" ht="42" customHeight="1">
      <c r="A217" s="2" t="s">
        <v>660</v>
      </c>
      <c r="B217" s="2" t="s">
        <v>661</v>
      </c>
      <c r="C217" s="2" t="s">
        <v>144</v>
      </c>
      <c r="D217" s="2" t="s">
        <v>18</v>
      </c>
      <c r="E217" s="5">
        <v>-31395</v>
      </c>
      <c r="F217" s="3" t="s">
        <v>662</v>
      </c>
      <c r="G217" s="3" t="s">
        <v>52</v>
      </c>
      <c r="H217" s="2" t="s">
        <v>62</v>
      </c>
      <c r="I217" s="2" t="s">
        <v>663</v>
      </c>
      <c r="J217" s="3" t="str">
        <f>HYPERLINK("https://www.boe.es/gazeta/dias/1814/01/15/pdfs/GRE-1814-8.pdf#page=8","Abrir facsímil")</f>
        <v>Abrir facsímil</v>
      </c>
      <c r="K217" s="3" t="s">
        <v>64</v>
      </c>
    </row>
    <row r="218" spans="1:11" ht="42" customHeight="1">
      <c r="A218" s="2" t="s">
        <v>664</v>
      </c>
      <c r="B218" s="2" t="s">
        <v>665</v>
      </c>
      <c r="C218" s="2" t="s">
        <v>45</v>
      </c>
      <c r="D218" s="2" t="s">
        <v>18</v>
      </c>
      <c r="E218" s="5">
        <v>-31262</v>
      </c>
      <c r="F218" s="3" t="s">
        <v>254</v>
      </c>
      <c r="G218" s="3" t="s">
        <v>666</v>
      </c>
      <c r="H218" s="2" t="s">
        <v>62</v>
      </c>
      <c r="I218" s="2" t="s">
        <v>667</v>
      </c>
      <c r="J218" s="3" t="str">
        <f>HYPERLINK("https://www.boe.es/gazeta/dias/1814/05/28/pdfs/GMD-1814-78.pdf#page=8","Abrir facsímil")</f>
        <v>Abrir facsímil</v>
      </c>
      <c r="K218" s="3" t="s">
        <v>64</v>
      </c>
    </row>
    <row r="219" spans="1:11" ht="42" customHeight="1">
      <c r="A219" s="2" t="s">
        <v>668</v>
      </c>
      <c r="B219" s="2" t="s">
        <v>669</v>
      </c>
      <c r="C219" s="2" t="s">
        <v>17</v>
      </c>
      <c r="D219" s="2" t="s">
        <v>18</v>
      </c>
      <c r="E219" s="5">
        <v>-31306</v>
      </c>
      <c r="F219" s="3" t="s">
        <v>670</v>
      </c>
      <c r="G219" s="3" t="s">
        <v>52</v>
      </c>
      <c r="H219" s="2" t="s">
        <v>62</v>
      </c>
      <c r="I219" s="2" t="s">
        <v>671</v>
      </c>
      <c r="J219" s="3" t="str">
        <f>HYPERLINK("https://www.boe.es/gazeta/dias/1814/04/14/pdfs/GRE-1814-53.pdf#page=8","Abrir facsímil")</f>
        <v>Abrir facsímil</v>
      </c>
      <c r="K219" s="3" t="s">
        <v>64</v>
      </c>
    </row>
    <row r="220" spans="1:11" ht="42" customHeight="1">
      <c r="A220" s="2" t="s">
        <v>672</v>
      </c>
      <c r="B220" s="2" t="s">
        <v>673</v>
      </c>
      <c r="C220" s="2" t="s">
        <v>17</v>
      </c>
      <c r="D220" s="2" t="s">
        <v>18</v>
      </c>
      <c r="E220" s="5">
        <v>-31110</v>
      </c>
      <c r="F220" s="3" t="s">
        <v>149</v>
      </c>
      <c r="G220" s="3" t="s">
        <v>52</v>
      </c>
      <c r="H220" s="2" t="s">
        <v>62</v>
      </c>
      <c r="I220" s="2" t="s">
        <v>674</v>
      </c>
      <c r="J220" s="3" t="str">
        <f>HYPERLINK("https://www.boe.es/gazeta/dias/1814/10/27/pdfs/GMD-1814-144.pdf#page=8","Abrir facsímil")</f>
        <v>Abrir facsímil</v>
      </c>
      <c r="K220" s="3" t="s">
        <v>64</v>
      </c>
    </row>
    <row r="221" spans="1:11" ht="42" customHeight="1">
      <c r="A221" s="2" t="s">
        <v>675</v>
      </c>
      <c r="B221" s="2" t="s">
        <v>676</v>
      </c>
      <c r="C221" s="2" t="s">
        <v>38</v>
      </c>
      <c r="D221" s="2" t="s">
        <v>39</v>
      </c>
      <c r="E221" s="5">
        <v>-31080</v>
      </c>
      <c r="F221" s="3" t="s">
        <v>286</v>
      </c>
      <c r="G221" s="3" t="s">
        <v>677</v>
      </c>
      <c r="H221" s="2" t="s">
        <v>62</v>
      </c>
      <c r="I221" s="2" t="s">
        <v>678</v>
      </c>
      <c r="J221" s="3" t="str">
        <f>HYPERLINK("https://www.boe.es/gazeta/dias/1814/11/26/pdfs/GMD-1814-157.pdf#page=7","Abrir facsímil")</f>
        <v>Abrir facsímil</v>
      </c>
      <c r="K221" s="3" t="s">
        <v>64</v>
      </c>
    </row>
    <row r="222" spans="1:11" ht="42" customHeight="1">
      <c r="A222" s="2" t="s">
        <v>679</v>
      </c>
      <c r="B222" s="2" t="s">
        <v>679</v>
      </c>
      <c r="C222" s="2" t="s">
        <v>38</v>
      </c>
      <c r="D222" s="2" t="s">
        <v>39</v>
      </c>
      <c r="E222" s="5">
        <v>-31294</v>
      </c>
      <c r="F222" s="3" t="s">
        <v>680</v>
      </c>
      <c r="G222" s="3" t="s">
        <v>82</v>
      </c>
      <c r="H222" s="2" t="s">
        <v>62</v>
      </c>
      <c r="I222" s="2" t="s">
        <v>681</v>
      </c>
      <c r="J222" s="3" t="str">
        <f>HYPERLINK("https://www.boe.es/gazeta/dias/1814/04/26/pdfs/GRE-1814-61.pdf#page=3","Abrir facsímil")</f>
        <v>Abrir facsímil</v>
      </c>
      <c r="K222" s="3" t="s">
        <v>64</v>
      </c>
    </row>
    <row r="223" spans="1:11" ht="42" customHeight="1">
      <c r="A223" s="2" t="s">
        <v>682</v>
      </c>
      <c r="B223" s="2" t="s">
        <v>683</v>
      </c>
      <c r="C223" s="2" t="s">
        <v>17</v>
      </c>
      <c r="D223" s="2" t="s">
        <v>18</v>
      </c>
      <c r="E223" s="5">
        <v>-31124</v>
      </c>
      <c r="F223" s="3" t="s">
        <v>383</v>
      </c>
      <c r="G223" s="3" t="s">
        <v>322</v>
      </c>
      <c r="H223" s="2" t="s">
        <v>62</v>
      </c>
      <c r="I223" s="2" t="s">
        <v>684</v>
      </c>
      <c r="J223" s="3" t="str">
        <f>HYPERLINK("https://www.boe.es/gazeta/dias/1814/10/13/pdfs/GMD-1814-138.pdf#page=12","Abrir facsímil")</f>
        <v>Abrir facsímil</v>
      </c>
      <c r="K223" s="3" t="s">
        <v>64</v>
      </c>
    </row>
    <row r="224" spans="1:11" ht="42" customHeight="1">
      <c r="A224" s="2" t="s">
        <v>685</v>
      </c>
      <c r="B224" s="2" t="s">
        <v>686</v>
      </c>
      <c r="C224" s="2" t="s">
        <v>687</v>
      </c>
      <c r="D224" s="2" t="s">
        <v>27</v>
      </c>
      <c r="E224" s="5">
        <v>-31154</v>
      </c>
      <c r="F224" s="3" t="s">
        <v>688</v>
      </c>
      <c r="G224" s="3" t="s">
        <v>52</v>
      </c>
      <c r="H224" s="2" t="s">
        <v>62</v>
      </c>
      <c r="I224" s="2" t="s">
        <v>689</v>
      </c>
      <c r="J224" s="3" t="str">
        <f>HYPERLINK("https://www.boe.es/gazeta/dias/1814/09/13/pdfs/GMD-1814-125.pdf#page=8","Abrir facsímil")</f>
        <v>Abrir facsímil</v>
      </c>
      <c r="K224" s="3" t="s">
        <v>64</v>
      </c>
    </row>
    <row r="225" spans="1:11" ht="42" customHeight="1">
      <c r="A225" s="2" t="s">
        <v>690</v>
      </c>
      <c r="B225" s="2" t="s">
        <v>691</v>
      </c>
      <c r="C225" s="2" t="s">
        <v>32</v>
      </c>
      <c r="D225" s="2" t="s">
        <v>18</v>
      </c>
      <c r="E225" s="5">
        <v>-31210</v>
      </c>
      <c r="F225" s="3" t="s">
        <v>141</v>
      </c>
      <c r="G225" s="3" t="s">
        <v>52</v>
      </c>
      <c r="H225" s="2" t="s">
        <v>62</v>
      </c>
      <c r="I225" s="2" t="s">
        <v>692</v>
      </c>
      <c r="J225" s="3" t="str">
        <f>HYPERLINK("https://www.boe.es/gazeta/dias/1814/07/19/pdfs/GMD-1814-100.pdf#page=8","Abrir facsímil")</f>
        <v>Abrir facsímil</v>
      </c>
      <c r="K225" s="3" t="s">
        <v>64</v>
      </c>
    </row>
    <row r="226" spans="1:11" ht="42" customHeight="1">
      <c r="A226" s="2" t="s">
        <v>693</v>
      </c>
      <c r="B226" s="2" t="s">
        <v>694</v>
      </c>
      <c r="C226" s="2" t="s">
        <v>38</v>
      </c>
      <c r="D226" s="2" t="s">
        <v>39</v>
      </c>
      <c r="E226" s="5">
        <v>-31369</v>
      </c>
      <c r="F226" s="3" t="s">
        <v>695</v>
      </c>
      <c r="G226" s="3" t="s">
        <v>99</v>
      </c>
      <c r="H226" s="2" t="s">
        <v>62</v>
      </c>
      <c r="I226" s="2" t="s">
        <v>696</v>
      </c>
      <c r="J226" s="3" t="str">
        <f>HYPERLINK("https://www.boe.es/gazeta/dias/1814/02/10/pdfs/GRE-1814-19.pdf#page=5","Abrir facsímil")</f>
        <v>Abrir facsímil</v>
      </c>
      <c r="K226" s="3" t="s">
        <v>64</v>
      </c>
    </row>
    <row r="227" spans="1:11" ht="42" customHeight="1">
      <c r="A227" s="2" t="s">
        <v>697</v>
      </c>
      <c r="B227" s="2" t="s">
        <v>697</v>
      </c>
      <c r="C227" s="2" t="s">
        <v>38</v>
      </c>
      <c r="D227" s="2" t="s">
        <v>39</v>
      </c>
      <c r="E227" s="5">
        <v>-31390</v>
      </c>
      <c r="F227" s="3" t="s">
        <v>349</v>
      </c>
      <c r="G227" s="3" t="s">
        <v>52</v>
      </c>
      <c r="H227" s="2" t="s">
        <v>62</v>
      </c>
      <c r="I227" s="2" t="s">
        <v>698</v>
      </c>
      <c r="J227" s="3" t="str">
        <f>HYPERLINK("https://www.boe.es/gazeta/dias/1814/01/20/pdfs/GRE-1814-10.pdf#page=8","Abrir facsímil")</f>
        <v>Abrir facsímil</v>
      </c>
      <c r="K227" s="3" t="s">
        <v>64</v>
      </c>
    </row>
    <row r="228" spans="1:11" ht="42" customHeight="1">
      <c r="A228" s="2" t="s">
        <v>697</v>
      </c>
      <c r="B228" s="2" t="s">
        <v>697</v>
      </c>
      <c r="C228" s="2" t="s">
        <v>144</v>
      </c>
      <c r="D228" s="2" t="s">
        <v>18</v>
      </c>
      <c r="E228" s="5">
        <v>-31308</v>
      </c>
      <c r="F228" s="3" t="s">
        <v>210</v>
      </c>
      <c r="G228" s="3" t="s">
        <v>52</v>
      </c>
      <c r="H228" s="2" t="s">
        <v>62</v>
      </c>
      <c r="I228" s="2" t="s">
        <v>699</v>
      </c>
      <c r="J228" s="3" t="str">
        <f>HYPERLINK("https://www.boe.es/gazeta/dias/1814/04/12/pdfs/GRE-1814-52.pdf#page=8","Abrir facsímil")</f>
        <v>Abrir facsímil</v>
      </c>
      <c r="K228" s="3" t="s">
        <v>64</v>
      </c>
    </row>
    <row r="229" spans="1:11" ht="42" customHeight="1">
      <c r="A229" s="2" t="s">
        <v>697</v>
      </c>
      <c r="B229" s="2" t="s">
        <v>697</v>
      </c>
      <c r="C229" s="2" t="s">
        <v>38</v>
      </c>
      <c r="D229" s="2" t="s">
        <v>314</v>
      </c>
      <c r="E229" s="5">
        <v>-31296</v>
      </c>
      <c r="F229" s="3" t="s">
        <v>315</v>
      </c>
      <c r="G229" s="3" t="s">
        <v>52</v>
      </c>
      <c r="H229" s="2" t="s">
        <v>62</v>
      </c>
      <c r="I229" s="2" t="s">
        <v>700</v>
      </c>
      <c r="J229" s="3" t="str">
        <f>HYPERLINK("https://www.boe.es/gazeta/dias/1814/04/24/pdfs/GRE-1814-60E.pdf#page=8","Abrir facsímil")</f>
        <v>Abrir facsímil</v>
      </c>
      <c r="K229" s="3" t="s">
        <v>64</v>
      </c>
    </row>
    <row r="230" spans="1:11" ht="42" customHeight="1">
      <c r="A230" s="2" t="s">
        <v>697</v>
      </c>
      <c r="B230" s="2" t="s">
        <v>697</v>
      </c>
      <c r="C230" s="2" t="s">
        <v>38</v>
      </c>
      <c r="D230" s="2" t="s">
        <v>39</v>
      </c>
      <c r="E230" s="5">
        <v>-31283</v>
      </c>
      <c r="F230" s="3" t="s">
        <v>701</v>
      </c>
      <c r="G230" s="3" t="s">
        <v>52</v>
      </c>
      <c r="H230" s="2" t="s">
        <v>62</v>
      </c>
      <c r="I230" s="2" t="s">
        <v>702</v>
      </c>
      <c r="J230" s="3" t="str">
        <f>HYPERLINK("https://www.boe.es/gazeta/dias/1814/05/07/pdfs/GRE-1814-67.pdf#page=8","Abrir facsímil")</f>
        <v>Abrir facsímil</v>
      </c>
      <c r="K230" s="3" t="s">
        <v>64</v>
      </c>
    </row>
    <row r="231" spans="1:11" ht="42" customHeight="1">
      <c r="A231" s="2" t="s">
        <v>697</v>
      </c>
      <c r="B231" s="2" t="s">
        <v>697</v>
      </c>
      <c r="C231" s="2" t="s">
        <v>17</v>
      </c>
      <c r="D231" s="2" t="s">
        <v>18</v>
      </c>
      <c r="E231" s="5">
        <v>-31241</v>
      </c>
      <c r="F231" s="3" t="s">
        <v>703</v>
      </c>
      <c r="G231" s="3" t="s">
        <v>704</v>
      </c>
      <c r="H231" s="2" t="s">
        <v>62</v>
      </c>
      <c r="I231" s="2" t="s">
        <v>705</v>
      </c>
      <c r="J231" s="3" t="str">
        <f>HYPERLINK("https://www.boe.es/gazeta/dias/1814/06/18/pdfs/GMD-1814-87.pdf#page=10","Abrir facsímil")</f>
        <v>Abrir facsímil</v>
      </c>
      <c r="K231" s="3" t="s">
        <v>64</v>
      </c>
    </row>
    <row r="232" spans="1:11" ht="42" customHeight="1">
      <c r="A232" s="2" t="s">
        <v>697</v>
      </c>
      <c r="B232" s="2" t="s">
        <v>697</v>
      </c>
      <c r="C232" s="2" t="s">
        <v>38</v>
      </c>
      <c r="D232" s="2" t="s">
        <v>39</v>
      </c>
      <c r="E232" s="5">
        <v>-31215</v>
      </c>
      <c r="F232" s="3" t="s">
        <v>372</v>
      </c>
      <c r="G232" s="3" t="s">
        <v>704</v>
      </c>
      <c r="H232" s="2" t="s">
        <v>62</v>
      </c>
      <c r="I232" s="2" t="s">
        <v>706</v>
      </c>
      <c r="J232" s="3" t="str">
        <f>HYPERLINK("https://www.boe.es/gazeta/dias/1814/07/14/pdfs/GMD-1814-98.pdf#page=10","Abrir facsímil")</f>
        <v>Abrir facsímil</v>
      </c>
      <c r="K232" s="3" t="s">
        <v>64</v>
      </c>
    </row>
    <row r="233" spans="1:11" ht="42" customHeight="1">
      <c r="A233" s="2" t="s">
        <v>697</v>
      </c>
      <c r="B233" s="2" t="s">
        <v>697</v>
      </c>
      <c r="C233" s="2" t="s">
        <v>17</v>
      </c>
      <c r="D233" s="2" t="s">
        <v>18</v>
      </c>
      <c r="E233" s="5">
        <v>-31112</v>
      </c>
      <c r="F233" s="3" t="s">
        <v>707</v>
      </c>
      <c r="G233" s="3" t="s">
        <v>708</v>
      </c>
      <c r="H233" s="2" t="s">
        <v>62</v>
      </c>
      <c r="I233" s="2" t="s">
        <v>709</v>
      </c>
      <c r="J233" s="3" t="str">
        <f>HYPERLINK("https://www.boe.es/gazeta/dias/1814/10/25/pdfs/GMD-1814-143.pdf#page=8","Abrir facsímil")</f>
        <v>Abrir facsímil</v>
      </c>
      <c r="K233" s="3" t="s">
        <v>64</v>
      </c>
    </row>
    <row r="234" spans="1:11" ht="42" customHeight="1">
      <c r="A234" s="2" t="s">
        <v>697</v>
      </c>
      <c r="B234" s="2" t="s">
        <v>697</v>
      </c>
      <c r="C234" s="2" t="s">
        <v>17</v>
      </c>
      <c r="D234" s="2" t="s">
        <v>18</v>
      </c>
      <c r="E234" s="5">
        <v>-31080</v>
      </c>
      <c r="F234" s="3" t="s">
        <v>286</v>
      </c>
      <c r="G234" s="3" t="s">
        <v>677</v>
      </c>
      <c r="H234" s="2" t="s">
        <v>62</v>
      </c>
      <c r="I234" s="2" t="s">
        <v>710</v>
      </c>
      <c r="J234" s="3" t="str">
        <f>HYPERLINK("https://www.boe.es/gazeta/dias/1814/11/26/pdfs/GMD-1814-157.pdf#page=7","Abrir facsímil")</f>
        <v>Abrir facsímil</v>
      </c>
      <c r="K234" s="3" t="s">
        <v>64</v>
      </c>
    </row>
    <row r="235" spans="1:11" ht="42" customHeight="1">
      <c r="A235" s="2" t="s">
        <v>697</v>
      </c>
      <c r="B235" s="2" t="s">
        <v>697</v>
      </c>
      <c r="C235" s="2" t="s">
        <v>38</v>
      </c>
      <c r="D235" s="2" t="s">
        <v>39</v>
      </c>
      <c r="E235" s="5">
        <v>-31059</v>
      </c>
      <c r="F235" s="3" t="s">
        <v>263</v>
      </c>
      <c r="G235" s="3" t="s">
        <v>711</v>
      </c>
      <c r="H235" s="2" t="s">
        <v>62</v>
      </c>
      <c r="I235" s="2" t="s">
        <v>712</v>
      </c>
      <c r="J235" s="3" t="str">
        <f>HYPERLINK("https://www.boe.es/gazeta/dias/1814/12/17/pdfs/GMD-1814-167.pdf#page=4","Abrir facsímil")</f>
        <v>Abrir facsímil</v>
      </c>
      <c r="K235" s="3" t="s">
        <v>64</v>
      </c>
    </row>
    <row r="236" spans="1:11" ht="42" customHeight="1">
      <c r="A236" s="2" t="s">
        <v>713</v>
      </c>
      <c r="B236" s="2" t="s">
        <v>714</v>
      </c>
      <c r="C236" s="2" t="s">
        <v>45</v>
      </c>
      <c r="D236" s="2" t="s">
        <v>18</v>
      </c>
      <c r="E236" s="5">
        <v>-31383</v>
      </c>
      <c r="F236" s="3" t="s">
        <v>715</v>
      </c>
      <c r="G236" s="3" t="s">
        <v>20</v>
      </c>
      <c r="H236" s="2" t="s">
        <v>62</v>
      </c>
      <c r="I236" s="2" t="s">
        <v>716</v>
      </c>
      <c r="J236" s="3" t="str">
        <f>HYPERLINK("https://www.boe.es/gazeta/dias/1814/01/27/pdfs/GRE-1814-13.pdf#page=7","Abrir facsímil")</f>
        <v>Abrir facsímil</v>
      </c>
      <c r="K236" s="3" t="s">
        <v>64</v>
      </c>
    </row>
    <row r="237" spans="1:11" ht="42" customHeight="1">
      <c r="A237" s="2" t="s">
        <v>717</v>
      </c>
      <c r="B237" s="2" t="s">
        <v>718</v>
      </c>
      <c r="C237" s="2" t="s">
        <v>26</v>
      </c>
      <c r="D237" s="2" t="s">
        <v>27</v>
      </c>
      <c r="E237" s="5">
        <v>-31182</v>
      </c>
      <c r="F237" s="3" t="s">
        <v>19</v>
      </c>
      <c r="G237" s="3" t="s">
        <v>82</v>
      </c>
      <c r="H237" s="2" t="s">
        <v>62</v>
      </c>
      <c r="I237" s="2" t="s">
        <v>719</v>
      </c>
      <c r="J237" s="3" t="str">
        <f>HYPERLINK("https://www.boe.es/gazeta/dias/1814/08/16/pdfs/GMD-1814-112.pdf#page=3","Abrir facsímil")</f>
        <v>Abrir facsímil</v>
      </c>
      <c r="K237" s="3" t="s">
        <v>64</v>
      </c>
    </row>
    <row r="238" spans="1:11" ht="42" customHeight="1">
      <c r="A238" s="2" t="s">
        <v>720</v>
      </c>
      <c r="B238" s="2" t="s">
        <v>721</v>
      </c>
      <c r="C238" s="2" t="s">
        <v>26</v>
      </c>
      <c r="D238" s="2" t="s">
        <v>27</v>
      </c>
      <c r="E238" s="5">
        <v>-31122</v>
      </c>
      <c r="F238" s="3" t="s">
        <v>28</v>
      </c>
      <c r="G238" s="3" t="s">
        <v>57</v>
      </c>
      <c r="H238" s="2" t="s">
        <v>62</v>
      </c>
      <c r="I238" s="2" t="s">
        <v>722</v>
      </c>
      <c r="J238" s="3" t="str">
        <f>HYPERLINK("https://www.boe.es/gazeta/dias/1814/10/15/pdfs/GMD-1814-139.pdf#page=6","Abrir facsímil")</f>
        <v>Abrir facsímil</v>
      </c>
      <c r="K238" s="3" t="s">
        <v>64</v>
      </c>
    </row>
    <row r="239" spans="1:11" ht="42" customHeight="1">
      <c r="A239" s="2" t="s">
        <v>723</v>
      </c>
      <c r="B239" s="2" t="s">
        <v>724</v>
      </c>
      <c r="C239" s="2" t="s">
        <v>38</v>
      </c>
      <c r="D239" s="2" t="s">
        <v>39</v>
      </c>
      <c r="E239" s="5">
        <v>-31075</v>
      </c>
      <c r="F239" s="3" t="s">
        <v>537</v>
      </c>
      <c r="G239" s="3" t="s">
        <v>52</v>
      </c>
      <c r="H239" s="2" t="s">
        <v>62</v>
      </c>
      <c r="I239" s="2" t="s">
        <v>725</v>
      </c>
      <c r="J239" s="3" t="str">
        <f>HYPERLINK("https://www.boe.es/gazeta/dias/1814/12/01/pdfs/GMD-1814-159.pdf#page=8","Abrir facsímil")</f>
        <v>Abrir facsímil</v>
      </c>
      <c r="K239" s="3" t="s">
        <v>64</v>
      </c>
    </row>
    <row r="240" spans="1:11" ht="42" customHeight="1">
      <c r="A240" s="2" t="s">
        <v>726</v>
      </c>
      <c r="B240" s="2" t="s">
        <v>727</v>
      </c>
      <c r="C240" s="2" t="s">
        <v>144</v>
      </c>
      <c r="D240" s="2" t="s">
        <v>18</v>
      </c>
      <c r="E240" s="5">
        <v>-31287</v>
      </c>
      <c r="F240" s="3" t="s">
        <v>491</v>
      </c>
      <c r="G240" s="3" t="s">
        <v>52</v>
      </c>
      <c r="H240" s="2" t="s">
        <v>62</v>
      </c>
      <c r="I240" s="2" t="s">
        <v>728</v>
      </c>
      <c r="J240" s="3" t="str">
        <f>HYPERLINK("https://www.boe.es/gazeta/dias/1814/05/03/pdfs/GRE-1814-65.pdf#page=8","Abrir facsímil")</f>
        <v>Abrir facsímil</v>
      </c>
      <c r="K240" s="3" t="s">
        <v>64</v>
      </c>
    </row>
    <row r="241" spans="1:11" ht="42" customHeight="1">
      <c r="A241" s="2" t="s">
        <v>729</v>
      </c>
      <c r="B241" s="2" t="s">
        <v>730</v>
      </c>
      <c r="C241" s="2" t="s">
        <v>38</v>
      </c>
      <c r="D241" s="2" t="s">
        <v>39</v>
      </c>
      <c r="E241" s="5">
        <v>-31112</v>
      </c>
      <c r="F241" s="3" t="s">
        <v>707</v>
      </c>
      <c r="G241" s="3" t="s">
        <v>41</v>
      </c>
      <c r="H241" s="2" t="s">
        <v>62</v>
      </c>
      <c r="I241" s="2" t="s">
        <v>731</v>
      </c>
      <c r="J241" s="3" t="str">
        <f>HYPERLINK("https://www.boe.es/gazeta/dias/1814/10/25/pdfs/GMD-1814-143.pdf#page=4","Abrir facsímil")</f>
        <v>Abrir facsímil</v>
      </c>
      <c r="K241" s="3" t="s">
        <v>64</v>
      </c>
    </row>
    <row r="242" spans="1:11" ht="42" customHeight="1">
      <c r="A242" s="2" t="s">
        <v>732</v>
      </c>
      <c r="B242" s="2" t="s">
        <v>733</v>
      </c>
      <c r="C242" s="2" t="s">
        <v>38</v>
      </c>
      <c r="D242" s="2" t="s">
        <v>39</v>
      </c>
      <c r="E242" s="5">
        <v>-31152</v>
      </c>
      <c r="F242" s="3" t="s">
        <v>199</v>
      </c>
      <c r="G242" s="3" t="s">
        <v>41</v>
      </c>
      <c r="H242" s="2" t="s">
        <v>21</v>
      </c>
      <c r="I242" s="2" t="s">
        <v>734</v>
      </c>
      <c r="J242" s="3" t="str">
        <f>HYPERLINK("https://www.boe.es/gazeta/dias/1814/09/15/pdfs/GMD-1814-126.pdf#page=4","Abrir facsímil")</f>
        <v>Abrir facsímil</v>
      </c>
      <c r="K242" s="3" t="s">
        <v>23</v>
      </c>
    </row>
    <row r="243" spans="1:11" ht="42" customHeight="1">
      <c r="A243" s="2" t="s">
        <v>735</v>
      </c>
      <c r="B243" s="2" t="s">
        <v>736</v>
      </c>
      <c r="C243" s="2" t="s">
        <v>26</v>
      </c>
      <c r="D243" s="2" t="s">
        <v>27</v>
      </c>
      <c r="E243" s="5">
        <v>-31297</v>
      </c>
      <c r="F243" s="3" t="s">
        <v>737</v>
      </c>
      <c r="G243" s="3" t="s">
        <v>52</v>
      </c>
      <c r="H243" s="2" t="s">
        <v>21</v>
      </c>
      <c r="I243" s="2" t="s">
        <v>738</v>
      </c>
      <c r="J243" s="3" t="str">
        <f>HYPERLINK("https://www.boe.es/gazeta/dias/1814/04/23/pdfs/GRE-1814-59.pdf#page=8","Abrir facsímil")</f>
        <v>Abrir facsímil</v>
      </c>
      <c r="K243" s="3" t="s">
        <v>23</v>
      </c>
    </row>
    <row r="244" spans="1:11" ht="42" customHeight="1">
      <c r="A244" s="2" t="s">
        <v>735</v>
      </c>
      <c r="B244" s="2" t="s">
        <v>736</v>
      </c>
      <c r="C244" s="2" t="s">
        <v>26</v>
      </c>
      <c r="D244" s="2" t="s">
        <v>27</v>
      </c>
      <c r="E244" s="5">
        <v>-31124</v>
      </c>
      <c r="F244" s="3" t="s">
        <v>383</v>
      </c>
      <c r="G244" s="3" t="s">
        <v>574</v>
      </c>
      <c r="H244" s="2" t="s">
        <v>21</v>
      </c>
      <c r="I244" s="2" t="s">
        <v>739</v>
      </c>
      <c r="J244" s="3" t="str">
        <f>HYPERLINK("https://www.boe.es/gazeta/dias/1814/10/13/pdfs/GMD-1814-138.pdf#page=10","Abrir facsímil")</f>
        <v>Abrir facsímil</v>
      </c>
      <c r="K244" s="3" t="s">
        <v>23</v>
      </c>
    </row>
    <row r="245" spans="1:11" ht="42" customHeight="1">
      <c r="A245" s="2" t="s">
        <v>740</v>
      </c>
      <c r="B245" s="2" t="s">
        <v>741</v>
      </c>
      <c r="C245" s="2" t="s">
        <v>38</v>
      </c>
      <c r="D245" s="2" t="s">
        <v>39</v>
      </c>
      <c r="E245" s="5">
        <v>-31308</v>
      </c>
      <c r="F245" s="3" t="s">
        <v>210</v>
      </c>
      <c r="G245" s="3" t="s">
        <v>20</v>
      </c>
      <c r="H245" s="2" t="s">
        <v>62</v>
      </c>
      <c r="I245" s="2" t="s">
        <v>742</v>
      </c>
      <c r="J245" s="3" t="str">
        <f>HYPERLINK("https://www.boe.es/gazeta/dias/1814/04/12/pdfs/GRE-1814-52.pdf#page=7","Abrir facsímil")</f>
        <v>Abrir facsímil</v>
      </c>
      <c r="K245" s="3" t="s">
        <v>64</v>
      </c>
    </row>
    <row r="246" spans="1:11" ht="42" customHeight="1">
      <c r="A246" s="2" t="s">
        <v>743</v>
      </c>
      <c r="B246" s="2" t="s">
        <v>744</v>
      </c>
      <c r="C246" s="2" t="s">
        <v>26</v>
      </c>
      <c r="D246" s="2" t="s">
        <v>27</v>
      </c>
      <c r="E246" s="5">
        <v>-31215</v>
      </c>
      <c r="F246" s="3" t="s">
        <v>372</v>
      </c>
      <c r="G246" s="3" t="s">
        <v>52</v>
      </c>
      <c r="H246" s="2" t="s">
        <v>21</v>
      </c>
      <c r="I246" s="2" t="s">
        <v>745</v>
      </c>
      <c r="J246" s="3" t="str">
        <f>HYPERLINK("https://www.boe.es/gazeta/dias/1814/07/14/pdfs/GMD-1814-98.pdf#page=8","Abrir facsímil")</f>
        <v>Abrir facsímil</v>
      </c>
      <c r="K246" s="3" t="s">
        <v>23</v>
      </c>
    </row>
    <row r="247" spans="1:11" ht="42" customHeight="1">
      <c r="A247" s="2" t="s">
        <v>746</v>
      </c>
      <c r="B247" s="2" t="s">
        <v>746</v>
      </c>
      <c r="C247" s="2" t="s">
        <v>38</v>
      </c>
      <c r="D247" s="2" t="s">
        <v>39</v>
      </c>
      <c r="E247" s="5">
        <v>-31152</v>
      </c>
      <c r="F247" s="3" t="s">
        <v>199</v>
      </c>
      <c r="G247" s="3" t="s">
        <v>87</v>
      </c>
      <c r="H247" s="2" t="s">
        <v>62</v>
      </c>
      <c r="I247" s="2" t="s">
        <v>747</v>
      </c>
      <c r="J247" s="3" t="str">
        <f>HYPERLINK("https://www.boe.es/gazeta/dias/1814/09/15/pdfs/GMD-1814-126.pdf#page=2","Abrir facsímil")</f>
        <v>Abrir facsímil</v>
      </c>
      <c r="K247" s="3" t="s">
        <v>64</v>
      </c>
    </row>
    <row r="248" spans="1:11" ht="42" customHeight="1">
      <c r="A248" s="2" t="s">
        <v>748</v>
      </c>
      <c r="B248" s="2" t="s">
        <v>748</v>
      </c>
      <c r="C248" s="2" t="s">
        <v>26</v>
      </c>
      <c r="D248" s="2" t="s">
        <v>27</v>
      </c>
      <c r="E248" s="5">
        <v>-31327</v>
      </c>
      <c r="F248" s="3" t="s">
        <v>180</v>
      </c>
      <c r="G248" s="3" t="s">
        <v>57</v>
      </c>
      <c r="H248" s="2" t="s">
        <v>62</v>
      </c>
      <c r="I248" s="2" t="s">
        <v>749</v>
      </c>
      <c r="J248" s="3" t="str">
        <f>HYPERLINK("https://www.boe.es/gazeta/dias/1814/03/24/pdfs/GRE-1814-41.pdf#page=6","Abrir facsímil")</f>
        <v>Abrir facsímil</v>
      </c>
      <c r="K248" s="3" t="s">
        <v>64</v>
      </c>
    </row>
    <row r="249" spans="1:11" ht="42" customHeight="1">
      <c r="A249" s="2" t="s">
        <v>750</v>
      </c>
      <c r="B249" s="2" t="s">
        <v>751</v>
      </c>
      <c r="C249" s="2" t="s">
        <v>38</v>
      </c>
      <c r="D249" s="2" t="s">
        <v>39</v>
      </c>
      <c r="E249" s="5">
        <v>-31308</v>
      </c>
      <c r="F249" s="3" t="s">
        <v>210</v>
      </c>
      <c r="G249" s="3" t="s">
        <v>20</v>
      </c>
      <c r="H249" s="2" t="s">
        <v>62</v>
      </c>
      <c r="I249" s="2" t="s">
        <v>752</v>
      </c>
      <c r="J249" s="3" t="str">
        <f>HYPERLINK("https://www.boe.es/gazeta/dias/1814/04/12/pdfs/GRE-1814-52.pdf#page=7","Abrir facsímil")</f>
        <v>Abrir facsímil</v>
      </c>
      <c r="K249" s="3" t="s">
        <v>64</v>
      </c>
    </row>
    <row r="250" spans="1:11" ht="42" customHeight="1">
      <c r="A250" s="2" t="s">
        <v>753</v>
      </c>
      <c r="B250" s="2" t="s">
        <v>754</v>
      </c>
      <c r="C250" s="2" t="s">
        <v>17</v>
      </c>
      <c r="D250" s="2" t="s">
        <v>18</v>
      </c>
      <c r="E250" s="5">
        <v>-31096</v>
      </c>
      <c r="F250" s="3" t="s">
        <v>223</v>
      </c>
      <c r="G250" s="3" t="s">
        <v>41</v>
      </c>
      <c r="H250" s="2" t="s">
        <v>62</v>
      </c>
      <c r="I250" s="2" t="s">
        <v>755</v>
      </c>
      <c r="J250" s="3" t="str">
        <f>HYPERLINK("https://www.boe.es/gazeta/dias/1814/11/10/pdfs/GMD-1814-150.pdf#page=4","Abrir facsímil")</f>
        <v>Abrir facsímil</v>
      </c>
      <c r="K250" s="3" t="s">
        <v>64</v>
      </c>
    </row>
    <row r="251" spans="1:11" ht="42" customHeight="1">
      <c r="A251" s="2" t="s">
        <v>756</v>
      </c>
      <c r="B251" s="2" t="s">
        <v>757</v>
      </c>
      <c r="C251" s="2" t="s">
        <v>38</v>
      </c>
      <c r="D251" s="2" t="s">
        <v>39</v>
      </c>
      <c r="E251" s="5">
        <v>-31392</v>
      </c>
      <c r="F251" s="3" t="s">
        <v>195</v>
      </c>
      <c r="G251" s="3" t="s">
        <v>758</v>
      </c>
      <c r="H251" s="2" t="s">
        <v>62</v>
      </c>
      <c r="I251" s="2" t="s">
        <v>759</v>
      </c>
      <c r="J251" s="3" t="str">
        <f>HYPERLINK("https://www.boe.es/gazeta/dias/1814/01/18/pdfs/GRE-1814-9.pdf#page=8","Abrir facsímil")</f>
        <v>Abrir facsímil</v>
      </c>
      <c r="K251" s="3" t="s">
        <v>64</v>
      </c>
    </row>
    <row r="252" spans="1:11" ht="42" customHeight="1">
      <c r="A252" s="2" t="s">
        <v>760</v>
      </c>
      <c r="B252" s="2" t="s">
        <v>760</v>
      </c>
      <c r="C252" s="2" t="s">
        <v>17</v>
      </c>
      <c r="D252" s="2" t="s">
        <v>18</v>
      </c>
      <c r="E252" s="5">
        <v>-31094</v>
      </c>
      <c r="F252" s="3" t="s">
        <v>761</v>
      </c>
      <c r="G252" s="3" t="s">
        <v>41</v>
      </c>
      <c r="H252" s="2" t="s">
        <v>62</v>
      </c>
      <c r="I252" s="2" t="s">
        <v>762</v>
      </c>
      <c r="J252" s="3" t="str">
        <f>HYPERLINK("https://www.boe.es/gazeta/dias/1814/11/12/pdfs/GMD-1814-151.pdf#page=4","Abrir facsímil")</f>
        <v>Abrir facsímil</v>
      </c>
      <c r="K252" s="3" t="s">
        <v>64</v>
      </c>
    </row>
    <row r="253" spans="1:11" ht="42" customHeight="1">
      <c r="A253" s="2" t="s">
        <v>763</v>
      </c>
      <c r="B253" s="2" t="s">
        <v>764</v>
      </c>
      <c r="C253" s="2" t="s">
        <v>45</v>
      </c>
      <c r="D253" s="2" t="s">
        <v>18</v>
      </c>
      <c r="E253" s="5">
        <v>-31129</v>
      </c>
      <c r="F253" s="3" t="s">
        <v>418</v>
      </c>
      <c r="G253" s="3" t="s">
        <v>20</v>
      </c>
      <c r="H253" s="2" t="s">
        <v>62</v>
      </c>
      <c r="I253" s="2" t="s">
        <v>765</v>
      </c>
      <c r="J253" s="3" t="str">
        <f>HYPERLINK("https://www.boe.es/gazeta/dias/1814/10/08/pdfs/GMD-1814-136.pdf#page=7","Abrir facsímil")</f>
        <v>Abrir facsímil</v>
      </c>
      <c r="K253" s="3" t="s">
        <v>64</v>
      </c>
    </row>
    <row r="254" spans="1:11" ht="42" customHeight="1">
      <c r="A254" s="2" t="s">
        <v>766</v>
      </c>
      <c r="B254" s="2" t="s">
        <v>767</v>
      </c>
      <c r="C254" s="2" t="s">
        <v>26</v>
      </c>
      <c r="D254" s="2" t="s">
        <v>27</v>
      </c>
      <c r="E254" s="5">
        <v>-31213</v>
      </c>
      <c r="F254" s="3" t="s">
        <v>276</v>
      </c>
      <c r="G254" s="3" t="s">
        <v>57</v>
      </c>
      <c r="H254" s="2" t="s">
        <v>62</v>
      </c>
      <c r="I254" s="2" t="s">
        <v>768</v>
      </c>
      <c r="J254" s="3" t="str">
        <f>HYPERLINK("https://www.boe.es/gazeta/dias/1814/07/16/pdfs/GMD-1814-99.pdf#page=6","Abrir facsímil")</f>
        <v>Abrir facsímil</v>
      </c>
      <c r="K254" s="3" t="s">
        <v>64</v>
      </c>
    </row>
    <row r="255" spans="1:11" ht="42" customHeight="1">
      <c r="A255" s="2" t="s">
        <v>769</v>
      </c>
      <c r="B255" s="2" t="s">
        <v>770</v>
      </c>
      <c r="C255" s="2" t="s">
        <v>38</v>
      </c>
      <c r="D255" s="2" t="s">
        <v>39</v>
      </c>
      <c r="E255" s="5">
        <v>-31395</v>
      </c>
      <c r="F255" s="3" t="s">
        <v>662</v>
      </c>
      <c r="G255" s="3" t="s">
        <v>41</v>
      </c>
      <c r="H255" s="2" t="s">
        <v>62</v>
      </c>
      <c r="I255" s="2" t="s">
        <v>771</v>
      </c>
      <c r="J255" s="3" t="str">
        <f>HYPERLINK("https://www.boe.es/gazeta/dias/1814/01/15/pdfs/GRE-1814-8.pdf#page=4","Abrir facsímil")</f>
        <v>Abrir facsímil</v>
      </c>
      <c r="K255" s="3" t="s">
        <v>64</v>
      </c>
    </row>
    <row r="256" spans="1:11" ht="42" customHeight="1">
      <c r="A256" s="2" t="s">
        <v>772</v>
      </c>
      <c r="B256" s="2" t="s">
        <v>772</v>
      </c>
      <c r="C256" s="2" t="s">
        <v>26</v>
      </c>
      <c r="D256" s="2" t="s">
        <v>27</v>
      </c>
      <c r="E256" s="5">
        <v>-31278</v>
      </c>
      <c r="F256" s="3" t="s">
        <v>773</v>
      </c>
      <c r="G256" s="3" t="s">
        <v>774</v>
      </c>
      <c r="H256" s="2" t="s">
        <v>62</v>
      </c>
      <c r="I256" s="2" t="s">
        <v>775</v>
      </c>
      <c r="J256" s="3" t="str">
        <f>HYPERLINK("https://www.boe.es/gazeta/dias/1814/05/12/pdfs/GMD-1814-69.pdf#page=8","Abrir facsímil")</f>
        <v>Abrir facsímil</v>
      </c>
      <c r="K256" s="3" t="s">
        <v>64</v>
      </c>
    </row>
    <row r="257" spans="1:11" ht="42" customHeight="1">
      <c r="A257" s="2" t="s">
        <v>776</v>
      </c>
      <c r="B257" s="2" t="s">
        <v>777</v>
      </c>
      <c r="C257" s="2" t="s">
        <v>17</v>
      </c>
      <c r="D257" s="2" t="s">
        <v>18</v>
      </c>
      <c r="E257" s="5">
        <v>-31392</v>
      </c>
      <c r="F257" s="3" t="s">
        <v>195</v>
      </c>
      <c r="G257" s="3" t="s">
        <v>107</v>
      </c>
      <c r="H257" s="2" t="s">
        <v>62</v>
      </c>
      <c r="I257" s="2" t="s">
        <v>778</v>
      </c>
      <c r="J257" s="3" t="str">
        <f>HYPERLINK("https://www.boe.es/gazeta/dias/1814/01/18/pdfs/GRE-1814-9.pdf#page=1","Abrir facsímil")</f>
        <v>Abrir facsímil</v>
      </c>
      <c r="K257" s="3" t="s">
        <v>64</v>
      </c>
    </row>
    <row r="258" spans="1:11" ht="42" customHeight="1">
      <c r="A258" s="2" t="s">
        <v>779</v>
      </c>
      <c r="B258" s="2" t="s">
        <v>780</v>
      </c>
      <c r="C258" s="2" t="s">
        <v>26</v>
      </c>
      <c r="D258" s="2" t="s">
        <v>27</v>
      </c>
      <c r="E258" s="5">
        <v>-31392</v>
      </c>
      <c r="F258" s="3" t="s">
        <v>195</v>
      </c>
      <c r="G258" s="3" t="s">
        <v>82</v>
      </c>
      <c r="H258" s="2" t="s">
        <v>62</v>
      </c>
      <c r="I258" s="2" t="s">
        <v>781</v>
      </c>
      <c r="J258" s="3" t="str">
        <f>HYPERLINK("https://www.boe.es/gazeta/dias/1814/01/18/pdfs/GRE-1814-9.pdf#page=3","Abrir facsímil")</f>
        <v>Abrir facsímil</v>
      </c>
      <c r="K258" s="3" t="s">
        <v>64</v>
      </c>
    </row>
    <row r="259" spans="1:11" ht="42" customHeight="1">
      <c r="A259" s="2" t="s">
        <v>782</v>
      </c>
      <c r="B259" s="2" t="s">
        <v>782</v>
      </c>
      <c r="C259" s="2" t="s">
        <v>38</v>
      </c>
      <c r="D259" s="2" t="s">
        <v>39</v>
      </c>
      <c r="E259" s="5">
        <v>-31385</v>
      </c>
      <c r="F259" s="3" t="s">
        <v>783</v>
      </c>
      <c r="G259" s="3" t="s">
        <v>82</v>
      </c>
      <c r="H259" s="2" t="s">
        <v>62</v>
      </c>
      <c r="I259" s="2" t="s">
        <v>784</v>
      </c>
      <c r="J259" s="3" t="str">
        <f>HYPERLINK("https://www.boe.es/gazeta/dias/1814/01/25/pdfs/GRE-1814-12.pdf#page=3","Abrir facsímil")</f>
        <v>Abrir facsímil</v>
      </c>
      <c r="K259" s="3" t="s">
        <v>64</v>
      </c>
    </row>
    <row r="260" spans="1:11" ht="42" customHeight="1">
      <c r="A260" s="2" t="s">
        <v>785</v>
      </c>
      <c r="B260" s="2" t="s">
        <v>786</v>
      </c>
      <c r="C260" s="2" t="s">
        <v>26</v>
      </c>
      <c r="D260" s="2" t="s">
        <v>27</v>
      </c>
      <c r="E260" s="5">
        <v>-31143</v>
      </c>
      <c r="F260" s="3" t="s">
        <v>787</v>
      </c>
      <c r="G260" s="3" t="s">
        <v>52</v>
      </c>
      <c r="H260" s="2" t="s">
        <v>62</v>
      </c>
      <c r="I260" s="2" t="s">
        <v>788</v>
      </c>
      <c r="J260" s="3" t="str">
        <f>HYPERLINK("https://www.boe.es/gazeta/dias/1814/09/24/pdfs/GMD-1814-130.pdf#page=8","Abrir facsímil")</f>
        <v>Abrir facsímil</v>
      </c>
      <c r="K260" s="3" t="s">
        <v>64</v>
      </c>
    </row>
    <row r="261" spans="1:11" ht="42" customHeight="1">
      <c r="A261" s="2" t="s">
        <v>789</v>
      </c>
      <c r="B261" s="2" t="s">
        <v>790</v>
      </c>
      <c r="C261" s="2" t="s">
        <v>45</v>
      </c>
      <c r="D261" s="2" t="s">
        <v>18</v>
      </c>
      <c r="E261" s="5">
        <v>-31278</v>
      </c>
      <c r="F261" s="3" t="s">
        <v>773</v>
      </c>
      <c r="G261" s="3" t="s">
        <v>774</v>
      </c>
      <c r="H261" s="2" t="s">
        <v>62</v>
      </c>
      <c r="I261" s="2" t="s">
        <v>791</v>
      </c>
      <c r="J261" s="3" t="str">
        <f>HYPERLINK("https://www.boe.es/gazeta/dias/1814/05/12/pdfs/GMD-1814-69.pdf#page=8","Abrir facsímil")</f>
        <v>Abrir facsímil</v>
      </c>
      <c r="K261" s="3" t="s">
        <v>64</v>
      </c>
    </row>
    <row r="262" spans="1:11" ht="42" customHeight="1">
      <c r="A262" s="2" t="s">
        <v>792</v>
      </c>
      <c r="B262" s="2" t="s">
        <v>793</v>
      </c>
      <c r="C262" s="2" t="s">
        <v>38</v>
      </c>
      <c r="D262" s="2" t="s">
        <v>39</v>
      </c>
      <c r="E262" s="5">
        <v>-31089</v>
      </c>
      <c r="F262" s="3" t="s">
        <v>531</v>
      </c>
      <c r="G262" s="3" t="s">
        <v>794</v>
      </c>
      <c r="H262" s="2" t="s">
        <v>62</v>
      </c>
      <c r="I262" s="2" t="s">
        <v>795</v>
      </c>
      <c r="J262" s="3" t="str">
        <f>HYPERLINK("https://www.boe.es/gazeta/dias/1814/11/17/pdfs/GMD-1814-153.pdf#page=8","Abrir facsímil")</f>
        <v>Abrir facsímil</v>
      </c>
      <c r="K262" s="3" t="s">
        <v>64</v>
      </c>
    </row>
    <row r="263" spans="1:11" ht="42" customHeight="1">
      <c r="A263" s="2" t="s">
        <v>796</v>
      </c>
      <c r="B263" s="2" t="s">
        <v>797</v>
      </c>
      <c r="C263" s="2" t="s">
        <v>26</v>
      </c>
      <c r="D263" s="2" t="s">
        <v>27</v>
      </c>
      <c r="E263" s="5">
        <v>-31227</v>
      </c>
      <c r="F263" s="3" t="s">
        <v>102</v>
      </c>
      <c r="G263" s="3" t="s">
        <v>798</v>
      </c>
      <c r="H263" s="2" t="s">
        <v>62</v>
      </c>
      <c r="I263" s="2" t="s">
        <v>799</v>
      </c>
      <c r="J263" s="3" t="str">
        <f>HYPERLINK("https://www.boe.es/gazeta/dias/1814/07/02/pdfs/GMD-1814-93.pdf#page=6","Abrir facsímil")</f>
        <v>Abrir facsímil</v>
      </c>
      <c r="K263" s="3" t="s">
        <v>64</v>
      </c>
    </row>
    <row r="264" spans="1:11" ht="42" customHeight="1">
      <c r="A264" s="2" t="s">
        <v>800</v>
      </c>
      <c r="B264" s="2" t="s">
        <v>801</v>
      </c>
      <c r="C264" s="2" t="s">
        <v>32</v>
      </c>
      <c r="D264" s="2" t="s">
        <v>18</v>
      </c>
      <c r="E264" s="5">
        <v>-31227</v>
      </c>
      <c r="F264" s="3" t="s">
        <v>102</v>
      </c>
      <c r="G264" s="3" t="s">
        <v>52</v>
      </c>
      <c r="H264" s="2" t="s">
        <v>21</v>
      </c>
      <c r="I264" s="2" t="s">
        <v>802</v>
      </c>
      <c r="J264" s="3" t="str">
        <f>HYPERLINK("https://www.boe.es/gazeta/dias/1814/07/02/pdfs/GMD-1814-93.pdf#page=8","Abrir facsímil")</f>
        <v>Abrir facsímil</v>
      </c>
      <c r="K264" s="3" t="s">
        <v>23</v>
      </c>
    </row>
    <row r="265" spans="1:11" ht="42" customHeight="1">
      <c r="A265" s="2" t="s">
        <v>803</v>
      </c>
      <c r="B265" s="2" t="s">
        <v>804</v>
      </c>
      <c r="C265" s="2" t="s">
        <v>38</v>
      </c>
      <c r="D265" s="2" t="s">
        <v>39</v>
      </c>
      <c r="E265" s="5">
        <v>-31115</v>
      </c>
      <c r="F265" s="3" t="s">
        <v>805</v>
      </c>
      <c r="G265" s="3" t="s">
        <v>52</v>
      </c>
      <c r="H265" s="2" t="s">
        <v>62</v>
      </c>
      <c r="I265" s="2" t="s">
        <v>806</v>
      </c>
      <c r="J265" s="3" t="str">
        <f>HYPERLINK("https://www.boe.es/gazeta/dias/1814/10/22/pdfs/GMD-1814-142.pdf#page=8","Abrir facsímil")</f>
        <v>Abrir facsímil</v>
      </c>
      <c r="K265" s="3" t="s">
        <v>64</v>
      </c>
    </row>
    <row r="266" spans="1:11" ht="42" customHeight="1">
      <c r="A266" s="2" t="s">
        <v>807</v>
      </c>
      <c r="B266" s="2" t="s">
        <v>808</v>
      </c>
      <c r="C266" s="2" t="s">
        <v>38</v>
      </c>
      <c r="D266" s="2" t="s">
        <v>39</v>
      </c>
      <c r="E266" s="5">
        <v>-31112</v>
      </c>
      <c r="F266" s="3" t="s">
        <v>707</v>
      </c>
      <c r="G266" s="3" t="s">
        <v>41</v>
      </c>
      <c r="H266" s="2" t="s">
        <v>21</v>
      </c>
      <c r="I266" s="2" t="s">
        <v>809</v>
      </c>
      <c r="J266" s="3" t="str">
        <f>HYPERLINK("https://www.boe.es/gazeta/dias/1814/10/25/pdfs/GMD-1814-143.pdf#page=4","Abrir facsímil")</f>
        <v>Abrir facsímil</v>
      </c>
      <c r="K266" s="3" t="s">
        <v>23</v>
      </c>
    </row>
    <row r="267" spans="1:11" ht="42" customHeight="1">
      <c r="A267" s="2" t="s">
        <v>810</v>
      </c>
      <c r="B267" s="2" t="s">
        <v>810</v>
      </c>
      <c r="C267" s="2" t="s">
        <v>26</v>
      </c>
      <c r="D267" s="2" t="s">
        <v>27</v>
      </c>
      <c r="E267" s="5">
        <v>-31075</v>
      </c>
      <c r="F267" s="3" t="s">
        <v>537</v>
      </c>
      <c r="G267" s="3" t="s">
        <v>52</v>
      </c>
      <c r="H267" s="2" t="s">
        <v>62</v>
      </c>
      <c r="I267" s="2" t="s">
        <v>811</v>
      </c>
      <c r="J267" s="3" t="str">
        <f>HYPERLINK("https://www.boe.es/gazeta/dias/1814/12/01/pdfs/GMD-1814-159.pdf#page=8","Abrir facsímil")</f>
        <v>Abrir facsímil</v>
      </c>
      <c r="K267" s="3" t="s">
        <v>64</v>
      </c>
    </row>
    <row r="268" spans="1:11" ht="42" customHeight="1">
      <c r="A268" s="2" t="s">
        <v>812</v>
      </c>
      <c r="B268" s="2" t="s">
        <v>812</v>
      </c>
      <c r="C268" s="2" t="s">
        <v>32</v>
      </c>
      <c r="D268" s="2" t="s">
        <v>18</v>
      </c>
      <c r="E268" s="5">
        <v>-31096</v>
      </c>
      <c r="F268" s="3" t="s">
        <v>223</v>
      </c>
      <c r="G268" s="3" t="s">
        <v>41</v>
      </c>
      <c r="H268" s="2" t="s">
        <v>62</v>
      </c>
      <c r="I268" s="2" t="s">
        <v>813</v>
      </c>
      <c r="J268" s="3" t="str">
        <f>HYPERLINK("https://www.boe.es/gazeta/dias/1814/11/10/pdfs/GMD-1814-150.pdf#page=4","Abrir facsímil")</f>
        <v>Abrir facsímil</v>
      </c>
      <c r="K268" s="3" t="s">
        <v>64</v>
      </c>
    </row>
    <row r="269" spans="1:11" ht="42" customHeight="1">
      <c r="A269" s="2" t="s">
        <v>814</v>
      </c>
      <c r="B269" s="2" t="s">
        <v>814</v>
      </c>
      <c r="C269" s="2" t="s">
        <v>38</v>
      </c>
      <c r="D269" s="2" t="s">
        <v>39</v>
      </c>
      <c r="E269" s="5">
        <v>-31047</v>
      </c>
      <c r="F269" s="3" t="s">
        <v>815</v>
      </c>
      <c r="G269" s="3" t="s">
        <v>20</v>
      </c>
      <c r="H269" s="2" t="s">
        <v>62</v>
      </c>
      <c r="I269" s="2" t="s">
        <v>816</v>
      </c>
      <c r="J269" s="3" t="str">
        <f>HYPERLINK("https://www.boe.es/gazeta/dias/1814/12/29/pdfs/GMD-1814-172.pdf#page=7","Abrir facsímil")</f>
        <v>Abrir facsímil</v>
      </c>
      <c r="K269" s="3" t="s">
        <v>64</v>
      </c>
    </row>
    <row r="270" spans="1:11" ht="42" customHeight="1">
      <c r="A270" s="2" t="s">
        <v>817</v>
      </c>
      <c r="B270" s="2" t="s">
        <v>818</v>
      </c>
      <c r="C270" s="2" t="s">
        <v>105</v>
      </c>
      <c r="D270" s="2" t="s">
        <v>18</v>
      </c>
      <c r="E270" s="5">
        <v>-31313</v>
      </c>
      <c r="F270" s="3" t="s">
        <v>239</v>
      </c>
      <c r="G270" s="3" t="s">
        <v>590</v>
      </c>
      <c r="H270" s="2" t="s">
        <v>62</v>
      </c>
      <c r="I270" s="2" t="s">
        <v>819</v>
      </c>
      <c r="J270" s="3" t="str">
        <f>HYPERLINK("https://www.boe.es/gazeta/dias/1814/04/07/pdfs/GRE-1814-50.pdf#page=8","Abrir facsímil")</f>
        <v>Abrir facsímil</v>
      </c>
      <c r="K270" s="3" t="s">
        <v>64</v>
      </c>
    </row>
    <row r="271" spans="1:11" ht="42" customHeight="1">
      <c r="A271" s="2" t="s">
        <v>820</v>
      </c>
      <c r="B271" s="2" t="s">
        <v>821</v>
      </c>
      <c r="C271" s="2" t="s">
        <v>17</v>
      </c>
      <c r="D271" s="2" t="s">
        <v>18</v>
      </c>
      <c r="E271" s="5">
        <v>-31217</v>
      </c>
      <c r="F271" s="3" t="s">
        <v>506</v>
      </c>
      <c r="G271" s="3" t="s">
        <v>41</v>
      </c>
      <c r="H271" s="2" t="s">
        <v>62</v>
      </c>
      <c r="I271" s="2" t="s">
        <v>822</v>
      </c>
      <c r="J271" s="3" t="str">
        <f>HYPERLINK("https://www.boe.es/gazeta/dias/1814/07/12/pdfs/GMD-1814-97.pdf#page=4","Abrir facsímil")</f>
        <v>Abrir facsímil</v>
      </c>
      <c r="K271" s="3" t="s">
        <v>64</v>
      </c>
    </row>
    <row r="272" spans="1:11" ht="42" customHeight="1">
      <c r="A272" s="2" t="s">
        <v>823</v>
      </c>
      <c r="B272" s="2" t="s">
        <v>823</v>
      </c>
      <c r="C272" s="2" t="s">
        <v>105</v>
      </c>
      <c r="D272" s="2" t="s">
        <v>18</v>
      </c>
      <c r="E272" s="5">
        <v>-31364</v>
      </c>
      <c r="F272" s="3" t="s">
        <v>594</v>
      </c>
      <c r="G272" s="3" t="s">
        <v>52</v>
      </c>
      <c r="H272" s="2" t="s">
        <v>62</v>
      </c>
      <c r="I272" s="2" t="s">
        <v>824</v>
      </c>
      <c r="J272" s="3" t="str">
        <f>HYPERLINK("https://www.boe.es/gazeta/dias/1814/02/15/pdfs/GRE-1814-21.pdf#page=8","Abrir facsímil")</f>
        <v>Abrir facsímil</v>
      </c>
      <c r="K272" s="3" t="s">
        <v>64</v>
      </c>
    </row>
    <row r="273" spans="1:11" ht="42" customHeight="1">
      <c r="A273" s="2" t="s">
        <v>823</v>
      </c>
      <c r="B273" s="2" t="s">
        <v>823</v>
      </c>
      <c r="C273" s="2" t="s">
        <v>38</v>
      </c>
      <c r="D273" s="2" t="s">
        <v>39</v>
      </c>
      <c r="E273" s="5">
        <v>-31227</v>
      </c>
      <c r="F273" s="3" t="s">
        <v>102</v>
      </c>
      <c r="G273" s="3" t="s">
        <v>825</v>
      </c>
      <c r="H273" s="2" t="s">
        <v>62</v>
      </c>
      <c r="I273" s="2" t="s">
        <v>826</v>
      </c>
      <c r="J273" s="3" t="str">
        <f>HYPERLINK("https://www.boe.es/gazeta/dias/1814/07/02/pdfs/GMD-1814-93.pdf#page=7","Abrir facsímil")</f>
        <v>Abrir facsímil</v>
      </c>
      <c r="K273" s="3" t="s">
        <v>64</v>
      </c>
    </row>
    <row r="274" spans="1:11" ht="42" customHeight="1">
      <c r="A274" s="2" t="s">
        <v>823</v>
      </c>
      <c r="B274" s="2" t="s">
        <v>823</v>
      </c>
      <c r="C274" s="2" t="s">
        <v>38</v>
      </c>
      <c r="D274" s="2" t="s">
        <v>39</v>
      </c>
      <c r="E274" s="5">
        <v>-31213</v>
      </c>
      <c r="F274" s="3" t="s">
        <v>276</v>
      </c>
      <c r="G274" s="3" t="s">
        <v>20</v>
      </c>
      <c r="H274" s="2" t="s">
        <v>62</v>
      </c>
      <c r="I274" s="2" t="s">
        <v>827</v>
      </c>
      <c r="J274" s="3" t="str">
        <f>HYPERLINK("https://www.boe.es/gazeta/dias/1814/07/16/pdfs/GMD-1814-99.pdf#page=7","Abrir facsímil")</f>
        <v>Abrir facsímil</v>
      </c>
      <c r="K274" s="3" t="s">
        <v>64</v>
      </c>
    </row>
    <row r="275" spans="1:11" ht="42" customHeight="1">
      <c r="A275" s="2" t="s">
        <v>823</v>
      </c>
      <c r="B275" s="2" t="s">
        <v>823</v>
      </c>
      <c r="C275" s="2" t="s">
        <v>38</v>
      </c>
      <c r="D275" s="2" t="s">
        <v>39</v>
      </c>
      <c r="E275" s="5">
        <v>-31196</v>
      </c>
      <c r="F275" s="3" t="s">
        <v>828</v>
      </c>
      <c r="G275" s="3" t="s">
        <v>52</v>
      </c>
      <c r="H275" s="2" t="s">
        <v>62</v>
      </c>
      <c r="I275" s="2" t="s">
        <v>829</v>
      </c>
      <c r="J275" s="3" t="str">
        <f>HYPERLINK("https://www.boe.es/gazeta/dias/1814/08/02/pdfs/GMD-1814-106.pdf#page=8","Abrir facsímil")</f>
        <v>Abrir facsímil</v>
      </c>
      <c r="K275" s="3" t="s">
        <v>64</v>
      </c>
    </row>
    <row r="276" spans="1:11" ht="42" customHeight="1">
      <c r="A276" s="2" t="s">
        <v>823</v>
      </c>
      <c r="B276" s="2" t="s">
        <v>823</v>
      </c>
      <c r="C276" s="2" t="s">
        <v>45</v>
      </c>
      <c r="D276" s="2" t="s">
        <v>18</v>
      </c>
      <c r="E276" s="5">
        <v>-31187</v>
      </c>
      <c r="F276" s="3" t="s">
        <v>518</v>
      </c>
      <c r="G276" s="3" t="s">
        <v>52</v>
      </c>
      <c r="H276" s="2" t="s">
        <v>62</v>
      </c>
      <c r="I276" s="2" t="s">
        <v>830</v>
      </c>
      <c r="J276" s="3" t="str">
        <f>HYPERLINK("https://www.boe.es/gazeta/dias/1814/08/11/pdfs/GMD-1814-110.pdf#page=8","Abrir facsímil")</f>
        <v>Abrir facsímil</v>
      </c>
      <c r="K276" s="3" t="s">
        <v>64</v>
      </c>
    </row>
    <row r="277" spans="1:11" ht="42" customHeight="1">
      <c r="A277" s="2" t="s">
        <v>823</v>
      </c>
      <c r="B277" s="2" t="s">
        <v>823</v>
      </c>
      <c r="C277" s="2" t="s">
        <v>17</v>
      </c>
      <c r="D277" s="2" t="s">
        <v>18</v>
      </c>
      <c r="E277" s="5">
        <v>-31154</v>
      </c>
      <c r="F277" s="3" t="s">
        <v>688</v>
      </c>
      <c r="G277" s="3" t="s">
        <v>831</v>
      </c>
      <c r="H277" s="2" t="s">
        <v>62</v>
      </c>
      <c r="I277" s="2" t="s">
        <v>832</v>
      </c>
      <c r="J277" s="3" t="str">
        <f>HYPERLINK("https://www.boe.es/gazeta/dias/1814/09/13/pdfs/GMD-1814-125.pdf#page=3","Abrir facsímil")</f>
        <v>Abrir facsímil</v>
      </c>
      <c r="K277" s="3" t="s">
        <v>64</v>
      </c>
    </row>
    <row r="278" spans="1:11" ht="42" customHeight="1">
      <c r="A278" s="2" t="s">
        <v>823</v>
      </c>
      <c r="B278" s="2" t="s">
        <v>823</v>
      </c>
      <c r="C278" s="2" t="s">
        <v>26</v>
      </c>
      <c r="D278" s="2" t="s">
        <v>27</v>
      </c>
      <c r="E278" s="5">
        <v>-31143</v>
      </c>
      <c r="F278" s="3" t="s">
        <v>787</v>
      </c>
      <c r="G278" s="3" t="s">
        <v>20</v>
      </c>
      <c r="H278" s="2" t="s">
        <v>62</v>
      </c>
      <c r="I278" s="2" t="s">
        <v>833</v>
      </c>
      <c r="J278" s="3" t="str">
        <f>HYPERLINK("https://www.boe.es/gazeta/dias/1814/09/24/pdfs/GMD-1814-130.pdf#page=7","Abrir facsímil")</f>
        <v>Abrir facsímil</v>
      </c>
      <c r="K278" s="3" t="s">
        <v>64</v>
      </c>
    </row>
    <row r="279" spans="1:11" ht="42" customHeight="1">
      <c r="A279" s="2" t="s">
        <v>823</v>
      </c>
      <c r="B279" s="2" t="s">
        <v>823</v>
      </c>
      <c r="C279" s="2" t="s">
        <v>26</v>
      </c>
      <c r="D279" s="2" t="s">
        <v>27</v>
      </c>
      <c r="E279" s="5">
        <v>-31075</v>
      </c>
      <c r="F279" s="3" t="s">
        <v>537</v>
      </c>
      <c r="G279" s="3" t="s">
        <v>20</v>
      </c>
      <c r="H279" s="2" t="s">
        <v>62</v>
      </c>
      <c r="I279" s="2" t="s">
        <v>834</v>
      </c>
      <c r="J279" s="3" t="str">
        <f>HYPERLINK("https://www.boe.es/gazeta/dias/1814/12/01/pdfs/GMD-1814-159.pdf#page=7","Abrir facsímil")</f>
        <v>Abrir facsímil</v>
      </c>
      <c r="K279" s="3" t="s">
        <v>64</v>
      </c>
    </row>
    <row r="280" spans="1:11" ht="42" customHeight="1">
      <c r="A280" s="2" t="s">
        <v>835</v>
      </c>
      <c r="B280" s="2" t="s">
        <v>836</v>
      </c>
      <c r="C280" s="2" t="s">
        <v>26</v>
      </c>
      <c r="D280" s="2" t="s">
        <v>27</v>
      </c>
      <c r="E280" s="5">
        <v>-31124</v>
      </c>
      <c r="F280" s="3" t="s">
        <v>383</v>
      </c>
      <c r="G280" s="3" t="s">
        <v>837</v>
      </c>
      <c r="H280" s="2" t="s">
        <v>62</v>
      </c>
      <c r="I280" s="2" t="s">
        <v>838</v>
      </c>
      <c r="J280" s="3" t="str">
        <f>HYPERLINK("https://www.boe.es/gazeta/dias/1814/10/13/pdfs/GMD-1814-138.pdf#page=3","Abrir facsímil")</f>
        <v>Abrir facsímil</v>
      </c>
      <c r="K280" s="3" t="s">
        <v>64</v>
      </c>
    </row>
    <row r="281" spans="1:11" ht="42" customHeight="1">
      <c r="A281" s="2" t="s">
        <v>839</v>
      </c>
      <c r="B281" s="2" t="s">
        <v>840</v>
      </c>
      <c r="C281" s="2" t="s">
        <v>26</v>
      </c>
      <c r="D281" s="2" t="s">
        <v>27</v>
      </c>
      <c r="E281" s="5">
        <v>-31124</v>
      </c>
      <c r="F281" s="3" t="s">
        <v>383</v>
      </c>
      <c r="G281" s="3" t="s">
        <v>841</v>
      </c>
      <c r="H281" s="2" t="s">
        <v>62</v>
      </c>
      <c r="I281" s="2" t="s">
        <v>842</v>
      </c>
      <c r="J281" s="3" t="str">
        <f>HYPERLINK("https://www.boe.es/gazeta/dias/1814/10/13/pdfs/GMD-1814-138.pdf#page=9","Abrir facsímil")</f>
        <v>Abrir facsímil</v>
      </c>
      <c r="K281" s="3" t="s">
        <v>64</v>
      </c>
    </row>
    <row r="282" spans="1:11" ht="42" customHeight="1">
      <c r="A282" s="2" t="s">
        <v>843</v>
      </c>
      <c r="B282" s="2" t="s">
        <v>844</v>
      </c>
      <c r="C282" s="2" t="s">
        <v>26</v>
      </c>
      <c r="D282" s="2" t="s">
        <v>27</v>
      </c>
      <c r="E282" s="5">
        <v>-31257</v>
      </c>
      <c r="F282" s="3" t="s">
        <v>437</v>
      </c>
      <c r="G282" s="3" t="s">
        <v>41</v>
      </c>
      <c r="H282" s="2" t="s">
        <v>62</v>
      </c>
      <c r="I282" s="2" t="s">
        <v>845</v>
      </c>
      <c r="J282" s="3" t="str">
        <f>HYPERLINK("https://www.boe.es/gazeta/dias/1814/06/02/pdfs/GMD-1814-80.pdf#page=4","Abrir facsímil")</f>
        <v>Abrir facsímil</v>
      </c>
      <c r="K282" s="3" t="s">
        <v>64</v>
      </c>
    </row>
    <row r="283" spans="1:11" ht="42" customHeight="1">
      <c r="A283" s="2" t="s">
        <v>846</v>
      </c>
      <c r="B283" s="2" t="s">
        <v>847</v>
      </c>
      <c r="C283" s="2" t="s">
        <v>26</v>
      </c>
      <c r="D283" s="2" t="s">
        <v>27</v>
      </c>
      <c r="E283" s="5">
        <v>-31194</v>
      </c>
      <c r="F283" s="3" t="s">
        <v>333</v>
      </c>
      <c r="G283" s="3" t="s">
        <v>57</v>
      </c>
      <c r="H283" s="2" t="s">
        <v>62</v>
      </c>
      <c r="I283" s="2" t="s">
        <v>848</v>
      </c>
      <c r="J283" s="3" t="str">
        <f>HYPERLINK("https://www.boe.es/gazeta/dias/1814/08/04/pdfs/GMD-1814-107.pdf#page=6","Abrir facsímil")</f>
        <v>Abrir facsímil</v>
      </c>
      <c r="K283" s="3" t="s">
        <v>64</v>
      </c>
    </row>
    <row r="284" spans="1:11" ht="42" customHeight="1">
      <c r="A284" s="2" t="s">
        <v>849</v>
      </c>
      <c r="B284" s="2" t="s">
        <v>849</v>
      </c>
      <c r="C284" s="2" t="s">
        <v>38</v>
      </c>
      <c r="D284" s="2" t="s">
        <v>39</v>
      </c>
      <c r="E284" s="5">
        <v>-31117</v>
      </c>
      <c r="F284" s="3" t="s">
        <v>172</v>
      </c>
      <c r="G284" s="3" t="s">
        <v>392</v>
      </c>
      <c r="H284" s="2" t="s">
        <v>62</v>
      </c>
      <c r="I284" s="2" t="s">
        <v>850</v>
      </c>
      <c r="J284" s="3" t="str">
        <f>HYPERLINK("https://www.boe.es/gazeta/dias/1814/10/20/pdfs/GMD-1814-141.pdf#page=8","Abrir facsímil")</f>
        <v>Abrir facsímil</v>
      </c>
      <c r="K284" s="3" t="s">
        <v>64</v>
      </c>
    </row>
    <row r="285" spans="1:11" ht="42" customHeight="1">
      <c r="A285" s="2" t="s">
        <v>851</v>
      </c>
      <c r="B285" s="2" t="s">
        <v>852</v>
      </c>
      <c r="C285" s="2" t="s">
        <v>38</v>
      </c>
      <c r="D285" s="2" t="s">
        <v>39</v>
      </c>
      <c r="E285" s="5">
        <v>-31259</v>
      </c>
      <c r="F285" s="3" t="s">
        <v>853</v>
      </c>
      <c r="G285" s="3" t="s">
        <v>82</v>
      </c>
      <c r="H285" s="2" t="s">
        <v>62</v>
      </c>
      <c r="I285" s="2" t="s">
        <v>854</v>
      </c>
      <c r="J285" s="3" t="str">
        <f>HYPERLINK("https://www.boe.es/gazeta/dias/1814/05/31/pdfs/GMD-1814-79.pdf#page=3","Abrir facsímil")</f>
        <v>Abrir facsímil</v>
      </c>
      <c r="K285" s="3" t="s">
        <v>64</v>
      </c>
    </row>
    <row r="286" spans="1:11" ht="42" customHeight="1">
      <c r="A286" s="2" t="s">
        <v>851</v>
      </c>
      <c r="B286" s="2" t="s">
        <v>852</v>
      </c>
      <c r="C286" s="2" t="s">
        <v>38</v>
      </c>
      <c r="D286" s="2" t="s">
        <v>39</v>
      </c>
      <c r="E286" s="5">
        <v>-31259</v>
      </c>
      <c r="F286" s="3" t="s">
        <v>853</v>
      </c>
      <c r="G286" s="3" t="s">
        <v>41</v>
      </c>
      <c r="H286" s="2" t="s">
        <v>62</v>
      </c>
      <c r="I286" s="2" t="s">
        <v>855</v>
      </c>
      <c r="J286" s="3" t="str">
        <f>HYPERLINK("https://www.boe.es/gazeta/dias/1814/05/31/pdfs/GMD-1814-79.pdf#page=4","Abrir facsímil")</f>
        <v>Abrir facsímil</v>
      </c>
      <c r="K286" s="3" t="s">
        <v>64</v>
      </c>
    </row>
    <row r="287" spans="1:11" ht="42" customHeight="1">
      <c r="A287" s="2" t="s">
        <v>856</v>
      </c>
      <c r="B287" s="2" t="s">
        <v>856</v>
      </c>
      <c r="C287" s="2" t="s">
        <v>32</v>
      </c>
      <c r="D287" s="2" t="s">
        <v>18</v>
      </c>
      <c r="E287" s="5">
        <v>-31367</v>
      </c>
      <c r="F287" s="3" t="s">
        <v>857</v>
      </c>
      <c r="G287" s="3" t="s">
        <v>57</v>
      </c>
      <c r="H287" s="2" t="s">
        <v>62</v>
      </c>
      <c r="I287" s="2" t="s">
        <v>858</v>
      </c>
      <c r="J287" s="3" t="str">
        <f>HYPERLINK("https://www.boe.es/gazeta/dias/1814/02/12/pdfs/GRE-1814-20.pdf#page=6","Abrir facsímil")</f>
        <v>Abrir facsímil</v>
      </c>
      <c r="K287" s="3" t="s">
        <v>64</v>
      </c>
    </row>
    <row r="288" spans="1:11" ht="42" customHeight="1">
      <c r="A288" s="2" t="s">
        <v>856</v>
      </c>
      <c r="B288" s="2" t="s">
        <v>856</v>
      </c>
      <c r="C288" s="2" t="s">
        <v>38</v>
      </c>
      <c r="D288" s="2" t="s">
        <v>39</v>
      </c>
      <c r="E288" s="5">
        <v>-31364</v>
      </c>
      <c r="F288" s="3" t="s">
        <v>594</v>
      </c>
      <c r="G288" s="3" t="s">
        <v>20</v>
      </c>
      <c r="H288" s="2" t="s">
        <v>62</v>
      </c>
      <c r="I288" s="2" t="s">
        <v>859</v>
      </c>
      <c r="J288" s="3" t="str">
        <f>HYPERLINK("https://www.boe.es/gazeta/dias/1814/02/15/pdfs/GRE-1814-21.pdf#page=7","Abrir facsímil")</f>
        <v>Abrir facsímil</v>
      </c>
      <c r="K288" s="3" t="s">
        <v>64</v>
      </c>
    </row>
    <row r="289" spans="1:11" ht="42" customHeight="1">
      <c r="A289" s="2" t="s">
        <v>856</v>
      </c>
      <c r="B289" s="2" t="s">
        <v>856</v>
      </c>
      <c r="C289" s="2" t="s">
        <v>17</v>
      </c>
      <c r="D289" s="2" t="s">
        <v>18</v>
      </c>
      <c r="E289" s="5">
        <v>-31301</v>
      </c>
      <c r="F289" s="3" t="s">
        <v>81</v>
      </c>
      <c r="G289" s="3" t="s">
        <v>52</v>
      </c>
      <c r="H289" s="2" t="s">
        <v>62</v>
      </c>
      <c r="I289" s="2" t="s">
        <v>860</v>
      </c>
      <c r="J289" s="3" t="str">
        <f>HYPERLINK("https://www.boe.es/gazeta/dias/1814/04/19/pdfs/GRE-1814-56.pdf#page=8","Abrir facsímil")</f>
        <v>Abrir facsímil</v>
      </c>
      <c r="K289" s="3" t="s">
        <v>64</v>
      </c>
    </row>
    <row r="290" spans="1:11" ht="42" customHeight="1">
      <c r="A290" s="2" t="s">
        <v>856</v>
      </c>
      <c r="B290" s="2" t="s">
        <v>856</v>
      </c>
      <c r="C290" s="2" t="s">
        <v>26</v>
      </c>
      <c r="D290" s="2" t="s">
        <v>27</v>
      </c>
      <c r="E290" s="5">
        <v>-31231</v>
      </c>
      <c r="F290" s="3" t="s">
        <v>861</v>
      </c>
      <c r="G290" s="3" t="s">
        <v>99</v>
      </c>
      <c r="H290" s="2" t="s">
        <v>62</v>
      </c>
      <c r="I290" s="2" t="s">
        <v>862</v>
      </c>
      <c r="J290" s="3" t="str">
        <f>HYPERLINK("https://www.boe.es/gazeta/dias/1814/06/28/pdfs/GMD-1814-91.pdf#page=5","Abrir facsímil")</f>
        <v>Abrir facsímil</v>
      </c>
      <c r="K290" s="3" t="s">
        <v>64</v>
      </c>
    </row>
    <row r="291" spans="1:11" ht="42" customHeight="1">
      <c r="A291" s="2" t="s">
        <v>856</v>
      </c>
      <c r="B291" s="2" t="s">
        <v>856</v>
      </c>
      <c r="C291" s="2" t="s">
        <v>26</v>
      </c>
      <c r="D291" s="2" t="s">
        <v>27</v>
      </c>
      <c r="E291" s="5">
        <v>-31201</v>
      </c>
      <c r="F291" s="3" t="s">
        <v>863</v>
      </c>
      <c r="G291" s="3" t="s">
        <v>20</v>
      </c>
      <c r="H291" s="2" t="s">
        <v>62</v>
      </c>
      <c r="I291" s="2" t="s">
        <v>864</v>
      </c>
      <c r="J291" s="3" t="str">
        <f>HYPERLINK("https://www.boe.es/gazeta/dias/1814/07/28/pdfs/GMD-1814-104.pdf#page=7","Abrir facsímil")</f>
        <v>Abrir facsímil</v>
      </c>
      <c r="K291" s="3" t="s">
        <v>64</v>
      </c>
    </row>
    <row r="292" spans="1:11" ht="42" customHeight="1">
      <c r="A292" s="2" t="s">
        <v>856</v>
      </c>
      <c r="B292" s="2" t="s">
        <v>856</v>
      </c>
      <c r="C292" s="2" t="s">
        <v>38</v>
      </c>
      <c r="D292" s="2" t="s">
        <v>39</v>
      </c>
      <c r="E292" s="5">
        <v>-31192</v>
      </c>
      <c r="F292" s="3" t="s">
        <v>388</v>
      </c>
      <c r="G292" s="3" t="s">
        <v>865</v>
      </c>
      <c r="H292" s="2" t="s">
        <v>62</v>
      </c>
      <c r="I292" s="2" t="s">
        <v>866</v>
      </c>
      <c r="J292" s="3" t="str">
        <f>HYPERLINK("https://www.boe.es/gazeta/dias/1814/08/06/pdfs/GMD-1814-108.pdf#page=5","Abrir facsímil")</f>
        <v>Abrir facsímil</v>
      </c>
      <c r="K292" s="3" t="s">
        <v>64</v>
      </c>
    </row>
    <row r="293" spans="1:11" ht="42" customHeight="1">
      <c r="A293" s="2" t="s">
        <v>856</v>
      </c>
      <c r="B293" s="2" t="s">
        <v>856</v>
      </c>
      <c r="C293" s="2" t="s">
        <v>38</v>
      </c>
      <c r="D293" s="2" t="s">
        <v>39</v>
      </c>
      <c r="E293" s="5">
        <v>-31171</v>
      </c>
      <c r="F293" s="3" t="s">
        <v>157</v>
      </c>
      <c r="G293" s="3" t="s">
        <v>82</v>
      </c>
      <c r="H293" s="2" t="s">
        <v>62</v>
      </c>
      <c r="I293" s="2" t="s">
        <v>867</v>
      </c>
      <c r="J293" s="3" t="str">
        <f>HYPERLINK("https://www.boe.es/gazeta/dias/1814/08/27/pdfs/GMD-1814-117.pdf#page=3","Abrir facsímil")</f>
        <v>Abrir facsímil</v>
      </c>
      <c r="K293" s="3" t="s">
        <v>64</v>
      </c>
    </row>
    <row r="294" spans="1:11" ht="42" customHeight="1">
      <c r="A294" s="2" t="s">
        <v>856</v>
      </c>
      <c r="B294" s="2" t="s">
        <v>856</v>
      </c>
      <c r="C294" s="2" t="s">
        <v>26</v>
      </c>
      <c r="D294" s="2" t="s">
        <v>27</v>
      </c>
      <c r="E294" s="5">
        <v>-31140</v>
      </c>
      <c r="F294" s="3" t="s">
        <v>525</v>
      </c>
      <c r="G294" s="3" t="s">
        <v>20</v>
      </c>
      <c r="H294" s="2" t="s">
        <v>62</v>
      </c>
      <c r="I294" s="2" t="s">
        <v>868</v>
      </c>
      <c r="J294" s="3" t="str">
        <f>HYPERLINK("https://www.boe.es/gazeta/dias/1814/09/27/pdfs/GMD-1814-131.pdf#page=7","Abrir facsímil")</f>
        <v>Abrir facsímil</v>
      </c>
      <c r="K294" s="3" t="s">
        <v>64</v>
      </c>
    </row>
    <row r="295" spans="1:11" ht="42" customHeight="1">
      <c r="A295" s="2" t="s">
        <v>856</v>
      </c>
      <c r="B295" s="2" t="s">
        <v>856</v>
      </c>
      <c r="C295" s="2" t="s">
        <v>38</v>
      </c>
      <c r="D295" s="2" t="s">
        <v>39</v>
      </c>
      <c r="E295" s="5">
        <v>-31131</v>
      </c>
      <c r="F295" s="3" t="s">
        <v>132</v>
      </c>
      <c r="G295" s="3" t="s">
        <v>869</v>
      </c>
      <c r="H295" s="2" t="s">
        <v>62</v>
      </c>
      <c r="I295" s="2" t="s">
        <v>870</v>
      </c>
      <c r="J295" s="3" t="str">
        <f>HYPERLINK("https://www.boe.es/gazeta/dias/1814/10/06/pdfs/GMD-1814-135.pdf#page=2","Abrir facsímil")</f>
        <v>Abrir facsímil</v>
      </c>
      <c r="K295" s="3" t="s">
        <v>64</v>
      </c>
    </row>
    <row r="296" spans="1:11" ht="42" customHeight="1">
      <c r="A296" s="2" t="s">
        <v>856</v>
      </c>
      <c r="B296" s="2" t="s">
        <v>856</v>
      </c>
      <c r="C296" s="2" t="s">
        <v>38</v>
      </c>
      <c r="D296" s="2" t="s">
        <v>39</v>
      </c>
      <c r="E296" s="5">
        <v>-31087</v>
      </c>
      <c r="F296" s="3" t="s">
        <v>118</v>
      </c>
      <c r="G296" s="3" t="s">
        <v>82</v>
      </c>
      <c r="H296" s="2" t="s">
        <v>62</v>
      </c>
      <c r="I296" s="2" t="s">
        <v>871</v>
      </c>
      <c r="J296" s="3" t="str">
        <f>HYPERLINK("https://www.boe.es/gazeta/dias/1814/11/19/pdfs/GMD-1814-154.pdf#page=3","Abrir facsímil")</f>
        <v>Abrir facsímil</v>
      </c>
      <c r="K296" s="3" t="s">
        <v>64</v>
      </c>
    </row>
    <row r="297" spans="1:11" ht="42" customHeight="1">
      <c r="A297" s="2" t="s">
        <v>856</v>
      </c>
      <c r="B297" s="2" t="s">
        <v>856</v>
      </c>
      <c r="C297" s="2" t="s">
        <v>32</v>
      </c>
      <c r="D297" s="2" t="s">
        <v>18</v>
      </c>
      <c r="E297" s="5">
        <v>-31063</v>
      </c>
      <c r="F297" s="3" t="s">
        <v>649</v>
      </c>
      <c r="G297" s="3" t="s">
        <v>82</v>
      </c>
      <c r="H297" s="2" t="s">
        <v>62</v>
      </c>
      <c r="I297" s="2" t="s">
        <v>872</v>
      </c>
      <c r="J297" s="3" t="str">
        <f>HYPERLINK("https://www.boe.es/gazeta/dias/1814/12/13/pdfs/GMD-1814-164.pdf#page=3","Abrir facsímil")</f>
        <v>Abrir facsímil</v>
      </c>
      <c r="K297" s="3" t="s">
        <v>64</v>
      </c>
    </row>
    <row r="298" spans="1:11" ht="42" customHeight="1">
      <c r="A298" s="2" t="s">
        <v>856</v>
      </c>
      <c r="B298" s="2" t="s">
        <v>856</v>
      </c>
      <c r="C298" s="2" t="s">
        <v>26</v>
      </c>
      <c r="D298" s="2" t="s">
        <v>27</v>
      </c>
      <c r="E298" s="5">
        <v>-31061</v>
      </c>
      <c r="F298" s="3" t="s">
        <v>329</v>
      </c>
      <c r="G298" s="3" t="s">
        <v>873</v>
      </c>
      <c r="H298" s="2" t="s">
        <v>62</v>
      </c>
      <c r="I298" s="2" t="s">
        <v>874</v>
      </c>
      <c r="J298" s="3" t="str">
        <f>HYPERLINK("https://www.boe.es/gazeta/dias/1814/12/15/pdfs/GMD-1814-165.pdf#page=6","Abrir facsímil")</f>
        <v>Abrir facsímil</v>
      </c>
      <c r="K298" s="3" t="s">
        <v>64</v>
      </c>
    </row>
    <row r="299" spans="1:11" ht="42" customHeight="1">
      <c r="A299" s="2" t="s">
        <v>856</v>
      </c>
      <c r="B299" s="2" t="s">
        <v>856</v>
      </c>
      <c r="C299" s="2" t="s">
        <v>38</v>
      </c>
      <c r="D299" s="2" t="s">
        <v>39</v>
      </c>
      <c r="E299" s="5">
        <v>-31059</v>
      </c>
      <c r="F299" s="3" t="s">
        <v>263</v>
      </c>
      <c r="G299" s="3" t="s">
        <v>711</v>
      </c>
      <c r="H299" s="2" t="s">
        <v>62</v>
      </c>
      <c r="I299" s="2" t="s">
        <v>875</v>
      </c>
      <c r="J299" s="3" t="str">
        <f>HYPERLINK("https://www.boe.es/gazeta/dias/1814/12/17/pdfs/GMD-1814-167.pdf#page=4","Abrir facsímil")</f>
        <v>Abrir facsímil</v>
      </c>
      <c r="K299" s="3" t="s">
        <v>64</v>
      </c>
    </row>
    <row r="300" spans="1:11" ht="42" customHeight="1">
      <c r="A300" s="2" t="s">
        <v>876</v>
      </c>
      <c r="B300" s="2" t="s">
        <v>876</v>
      </c>
      <c r="C300" s="2" t="s">
        <v>38</v>
      </c>
      <c r="D300" s="2" t="s">
        <v>39</v>
      </c>
      <c r="E300" s="5">
        <v>-31203</v>
      </c>
      <c r="F300" s="3" t="s">
        <v>512</v>
      </c>
      <c r="G300" s="3" t="s">
        <v>41</v>
      </c>
      <c r="H300" s="2" t="s">
        <v>62</v>
      </c>
      <c r="I300" s="2" t="s">
        <v>877</v>
      </c>
      <c r="J300" s="3" t="str">
        <f>HYPERLINK("https://www.boe.es/gazeta/dias/1814/07/26/pdfs/GMD-1814-103.pdf#page=4","Abrir facsímil")</f>
        <v>Abrir facsímil</v>
      </c>
      <c r="K300" s="3" t="s">
        <v>64</v>
      </c>
    </row>
    <row r="301" spans="1:11" ht="42" customHeight="1">
      <c r="A301" s="2" t="s">
        <v>878</v>
      </c>
      <c r="B301" s="2" t="s">
        <v>879</v>
      </c>
      <c r="C301" s="2" t="s">
        <v>26</v>
      </c>
      <c r="D301" s="2" t="s">
        <v>27</v>
      </c>
      <c r="E301" s="5">
        <v>-31096</v>
      </c>
      <c r="F301" s="3" t="s">
        <v>223</v>
      </c>
      <c r="G301" s="3" t="s">
        <v>57</v>
      </c>
      <c r="H301" s="2" t="s">
        <v>21</v>
      </c>
      <c r="I301" s="2" t="s">
        <v>880</v>
      </c>
      <c r="J301" s="3" t="str">
        <f>HYPERLINK("https://www.boe.es/gazeta/dias/1814/11/10/pdfs/GMD-1814-150.pdf#page=6","Abrir facsímil")</f>
        <v>Abrir facsímil</v>
      </c>
      <c r="K301" s="3" t="s">
        <v>23</v>
      </c>
    </row>
    <row r="302" spans="1:11" ht="42" customHeight="1">
      <c r="A302" s="2" t="s">
        <v>881</v>
      </c>
      <c r="B302" s="2" t="s">
        <v>882</v>
      </c>
      <c r="C302" s="2" t="s">
        <v>38</v>
      </c>
      <c r="D302" s="2" t="s">
        <v>314</v>
      </c>
      <c r="E302" s="5">
        <v>-31322</v>
      </c>
      <c r="F302" s="3" t="s">
        <v>883</v>
      </c>
      <c r="G302" s="3" t="s">
        <v>107</v>
      </c>
      <c r="H302" s="2" t="s">
        <v>62</v>
      </c>
      <c r="I302" s="2" t="s">
        <v>884</v>
      </c>
      <c r="J302" s="3" t="str">
        <f>HYPERLINK("https://www.boe.es/gazeta/dias/1814/03/29/pdfs/GRE-1814-45E.pdf#page=1","Abrir facsímil")</f>
        <v>Abrir facsímil</v>
      </c>
      <c r="K302" s="3" t="s">
        <v>64</v>
      </c>
    </row>
    <row r="303" spans="1:11" ht="42" customHeight="1">
      <c r="A303" s="2" t="s">
        <v>885</v>
      </c>
      <c r="B303" s="2" t="s">
        <v>886</v>
      </c>
      <c r="C303" s="2" t="s">
        <v>38</v>
      </c>
      <c r="D303" s="2" t="s">
        <v>39</v>
      </c>
      <c r="E303" s="5">
        <v>-31192</v>
      </c>
      <c r="F303" s="3" t="s">
        <v>388</v>
      </c>
      <c r="G303" s="3" t="s">
        <v>20</v>
      </c>
      <c r="H303" s="2" t="s">
        <v>62</v>
      </c>
      <c r="I303" s="2" t="s">
        <v>887</v>
      </c>
      <c r="J303" s="3" t="str">
        <f>HYPERLINK("https://www.boe.es/gazeta/dias/1814/08/06/pdfs/GMD-1814-108.pdf#page=7","Abrir facsímil")</f>
        <v>Abrir facsímil</v>
      </c>
      <c r="K303" s="3" t="s">
        <v>64</v>
      </c>
    </row>
    <row r="304" spans="1:11" ht="42" customHeight="1">
      <c r="A304" s="2" t="s">
        <v>888</v>
      </c>
      <c r="B304" s="2" t="s">
        <v>889</v>
      </c>
      <c r="C304" s="2" t="s">
        <v>26</v>
      </c>
      <c r="D304" s="2" t="s">
        <v>27</v>
      </c>
      <c r="E304" s="5">
        <v>-31126</v>
      </c>
      <c r="F304" s="3" t="s">
        <v>56</v>
      </c>
      <c r="G304" s="3" t="s">
        <v>57</v>
      </c>
      <c r="H304" s="2" t="s">
        <v>62</v>
      </c>
      <c r="I304" s="2" t="s">
        <v>890</v>
      </c>
      <c r="J304" s="3" t="str">
        <f>HYPERLINK("https://www.boe.es/gazeta/dias/1814/10/11/pdfs/GMD-1814-137.pdf#page=6","Abrir facsímil")</f>
        <v>Abrir facsímil</v>
      </c>
      <c r="K304" s="3" t="s">
        <v>64</v>
      </c>
    </row>
    <row r="305" spans="1:11" ht="42" customHeight="1">
      <c r="A305" s="2" t="s">
        <v>891</v>
      </c>
      <c r="B305" s="2" t="s">
        <v>892</v>
      </c>
      <c r="C305" s="2" t="s">
        <v>26</v>
      </c>
      <c r="D305" s="2" t="s">
        <v>27</v>
      </c>
      <c r="E305" s="5">
        <v>-31168</v>
      </c>
      <c r="F305" s="3" t="s">
        <v>893</v>
      </c>
      <c r="G305" s="3" t="s">
        <v>82</v>
      </c>
      <c r="H305" s="2" t="s">
        <v>62</v>
      </c>
      <c r="I305" s="2" t="s">
        <v>894</v>
      </c>
      <c r="J305" s="3" t="str">
        <f>HYPERLINK("https://www.boe.es/gazeta/dias/1814/08/30/pdfs/GMD-1814-118.pdf#page=3","Abrir facsímil")</f>
        <v>Abrir facsímil</v>
      </c>
      <c r="K305" s="3" t="s">
        <v>64</v>
      </c>
    </row>
    <row r="306" spans="1:11" ht="42" customHeight="1">
      <c r="A306" s="2" t="s">
        <v>891</v>
      </c>
      <c r="B306" s="2" t="s">
        <v>892</v>
      </c>
      <c r="C306" s="2" t="s">
        <v>38</v>
      </c>
      <c r="D306" s="2" t="s">
        <v>39</v>
      </c>
      <c r="E306" s="5">
        <v>-31124</v>
      </c>
      <c r="F306" s="3" t="s">
        <v>383</v>
      </c>
      <c r="G306" s="3" t="s">
        <v>574</v>
      </c>
      <c r="H306" s="2" t="s">
        <v>62</v>
      </c>
      <c r="I306" s="2" t="s">
        <v>895</v>
      </c>
      <c r="J306" s="3" t="str">
        <f>HYPERLINK("https://www.boe.es/gazeta/dias/1814/10/13/pdfs/GMD-1814-138.pdf#page=10","Abrir facsímil")</f>
        <v>Abrir facsímil</v>
      </c>
      <c r="K306" s="3" t="s">
        <v>64</v>
      </c>
    </row>
    <row r="307" spans="1:11" ht="42" customHeight="1">
      <c r="A307" s="2" t="s">
        <v>896</v>
      </c>
      <c r="B307" s="2" t="s">
        <v>897</v>
      </c>
      <c r="C307" s="2" t="s">
        <v>38</v>
      </c>
      <c r="D307" s="2" t="s">
        <v>39</v>
      </c>
      <c r="E307" s="5">
        <v>-31348</v>
      </c>
      <c r="F307" s="3" t="s">
        <v>898</v>
      </c>
      <c r="G307" s="3" t="s">
        <v>82</v>
      </c>
      <c r="H307" s="2" t="s">
        <v>62</v>
      </c>
      <c r="I307" s="2" t="s">
        <v>899</v>
      </c>
      <c r="J307" s="3" t="str">
        <f>HYPERLINK("https://www.boe.es/gazeta/dias/1814/03/03/pdfs/GRE-1814-29.pdf#page=3","Abrir facsímil")</f>
        <v>Abrir facsímil</v>
      </c>
      <c r="K307" s="3" t="s">
        <v>64</v>
      </c>
    </row>
    <row r="308" spans="1:11" ht="42" customHeight="1">
      <c r="A308" s="2" t="s">
        <v>900</v>
      </c>
      <c r="B308" s="2" t="s">
        <v>901</v>
      </c>
      <c r="C308" s="2" t="s">
        <v>26</v>
      </c>
      <c r="D308" s="2" t="s">
        <v>27</v>
      </c>
      <c r="E308" s="5">
        <v>-31220</v>
      </c>
      <c r="F308" s="3" t="s">
        <v>122</v>
      </c>
      <c r="G308" s="3" t="s">
        <v>57</v>
      </c>
      <c r="H308" s="2" t="s">
        <v>62</v>
      </c>
      <c r="I308" s="2" t="s">
        <v>902</v>
      </c>
      <c r="J308" s="3" t="str">
        <f>HYPERLINK("https://www.boe.es/gazeta/dias/1814/07/09/pdfs/GMD-1814-96.pdf#page=6","Abrir facsímil")</f>
        <v>Abrir facsímil</v>
      </c>
      <c r="K308" s="3" t="s">
        <v>64</v>
      </c>
    </row>
    <row r="309" spans="1:11" ht="42" customHeight="1">
      <c r="A309" s="2" t="s">
        <v>903</v>
      </c>
      <c r="B309" s="2" t="s">
        <v>904</v>
      </c>
      <c r="C309" s="2" t="s">
        <v>26</v>
      </c>
      <c r="D309" s="2" t="s">
        <v>27</v>
      </c>
      <c r="E309" s="5">
        <v>-31220</v>
      </c>
      <c r="F309" s="3" t="s">
        <v>122</v>
      </c>
      <c r="G309" s="3" t="s">
        <v>20</v>
      </c>
      <c r="H309" s="2" t="s">
        <v>62</v>
      </c>
      <c r="I309" s="2" t="s">
        <v>905</v>
      </c>
      <c r="J309" s="3" t="str">
        <f>HYPERLINK("https://www.boe.es/gazeta/dias/1814/07/09/pdfs/GMD-1814-96.pdf#page=7","Abrir facsímil")</f>
        <v>Abrir facsímil</v>
      </c>
      <c r="K309" s="3" t="s">
        <v>64</v>
      </c>
    </row>
    <row r="310" spans="1:11" ht="42" customHeight="1">
      <c r="A310" s="2" t="s">
        <v>906</v>
      </c>
      <c r="B310" s="2" t="s">
        <v>907</v>
      </c>
      <c r="C310" s="2" t="s">
        <v>26</v>
      </c>
      <c r="D310" s="2" t="s">
        <v>27</v>
      </c>
      <c r="E310" s="5">
        <v>-31245</v>
      </c>
      <c r="F310" s="3" t="s">
        <v>908</v>
      </c>
      <c r="G310" s="3" t="s">
        <v>99</v>
      </c>
      <c r="H310" s="2" t="s">
        <v>62</v>
      </c>
      <c r="I310" s="2" t="s">
        <v>909</v>
      </c>
      <c r="J310" s="3" t="str">
        <f>HYPERLINK("https://www.boe.es/gazeta/dias/1814/06/14/pdfs/GMD-1814-85.pdf#page=5","Abrir facsímil")</f>
        <v>Abrir facsímil</v>
      </c>
      <c r="K310" s="3" t="s">
        <v>64</v>
      </c>
    </row>
    <row r="311" spans="1:11" ht="42" customHeight="1">
      <c r="A311" s="2" t="s">
        <v>910</v>
      </c>
      <c r="B311" s="2" t="s">
        <v>911</v>
      </c>
      <c r="C311" s="2" t="s">
        <v>26</v>
      </c>
      <c r="D311" s="2" t="s">
        <v>27</v>
      </c>
      <c r="E311" s="5">
        <v>-31392</v>
      </c>
      <c r="F311" s="3" t="s">
        <v>195</v>
      </c>
      <c r="G311" s="3" t="s">
        <v>758</v>
      </c>
      <c r="H311" s="2" t="s">
        <v>62</v>
      </c>
      <c r="I311" s="2" t="s">
        <v>912</v>
      </c>
      <c r="J311" s="3" t="str">
        <f>HYPERLINK("https://www.boe.es/gazeta/dias/1814/01/18/pdfs/GRE-1814-9.pdf#page=8","Abrir facsímil")</f>
        <v>Abrir facsímil</v>
      </c>
      <c r="K311" s="3" t="s">
        <v>64</v>
      </c>
    </row>
    <row r="312" spans="1:11" ht="42" customHeight="1">
      <c r="A312" s="2" t="s">
        <v>913</v>
      </c>
      <c r="B312" s="2" t="s">
        <v>914</v>
      </c>
      <c r="C312" s="2" t="s">
        <v>38</v>
      </c>
      <c r="D312" s="2" t="s">
        <v>39</v>
      </c>
      <c r="E312" s="5">
        <v>-31318</v>
      </c>
      <c r="F312" s="3" t="s">
        <v>400</v>
      </c>
      <c r="G312" s="3" t="s">
        <v>41</v>
      </c>
      <c r="H312" s="2" t="s">
        <v>62</v>
      </c>
      <c r="I312" s="2" t="s">
        <v>915</v>
      </c>
      <c r="J312" s="3" t="str">
        <f>HYPERLINK("https://www.boe.es/gazeta/dias/1814/04/02/pdfs/GRE-1814-47.pdf#page=4","Abrir facsímil")</f>
        <v>Abrir facsímil</v>
      </c>
      <c r="K312" s="3" t="s">
        <v>64</v>
      </c>
    </row>
    <row r="313" spans="1:11" ht="42" customHeight="1">
      <c r="A313" s="2" t="s">
        <v>916</v>
      </c>
      <c r="B313" s="2" t="s">
        <v>917</v>
      </c>
      <c r="C313" s="2" t="s">
        <v>38</v>
      </c>
      <c r="D313" s="2" t="s">
        <v>39</v>
      </c>
      <c r="E313" s="5">
        <v>-31117</v>
      </c>
      <c r="F313" s="3" t="s">
        <v>172</v>
      </c>
      <c r="G313" s="3" t="s">
        <v>173</v>
      </c>
      <c r="H313" s="2" t="s">
        <v>62</v>
      </c>
      <c r="I313" s="2" t="s">
        <v>918</v>
      </c>
      <c r="J313" s="3" t="str">
        <f>HYPERLINK("https://www.boe.es/gazeta/dias/1814/10/20/pdfs/GMD-1814-141.pdf#page=7","Abrir facsímil")</f>
        <v>Abrir facsímil</v>
      </c>
      <c r="K313" s="3" t="s">
        <v>64</v>
      </c>
    </row>
    <row r="314" spans="1:11" ht="42" customHeight="1">
      <c r="A314" s="2" t="s">
        <v>919</v>
      </c>
      <c r="B314" s="2" t="s">
        <v>920</v>
      </c>
      <c r="C314" s="2" t="s">
        <v>144</v>
      </c>
      <c r="D314" s="2" t="s">
        <v>18</v>
      </c>
      <c r="E314" s="5">
        <v>-31061</v>
      </c>
      <c r="F314" s="3" t="s">
        <v>329</v>
      </c>
      <c r="G314" s="3" t="s">
        <v>52</v>
      </c>
      <c r="H314" s="2" t="s">
        <v>62</v>
      </c>
      <c r="I314" s="2" t="s">
        <v>921</v>
      </c>
      <c r="J314" s="3" t="str">
        <f>HYPERLINK("https://www.boe.es/gazeta/dias/1814/12/15/pdfs/GMD-1814-165.pdf#page=8","Abrir facsímil")</f>
        <v>Abrir facsímil</v>
      </c>
      <c r="K314" s="3" t="s">
        <v>64</v>
      </c>
    </row>
    <row r="315" spans="1:11" ht="42" customHeight="1">
      <c r="A315" s="2" t="s">
        <v>922</v>
      </c>
      <c r="B315" s="2" t="s">
        <v>923</v>
      </c>
      <c r="C315" s="2" t="s">
        <v>38</v>
      </c>
      <c r="D315" s="2" t="s">
        <v>39</v>
      </c>
      <c r="E315" s="5">
        <v>-31299</v>
      </c>
      <c r="F315" s="3" t="s">
        <v>71</v>
      </c>
      <c r="G315" s="3" t="s">
        <v>99</v>
      </c>
      <c r="H315" s="2" t="s">
        <v>62</v>
      </c>
      <c r="I315" s="2" t="s">
        <v>924</v>
      </c>
      <c r="J315" s="3" t="str">
        <f>HYPERLINK("https://www.boe.es/gazeta/dias/1814/04/21/pdfs/GRE-1814-57.pdf#page=5","Abrir facsímil")</f>
        <v>Abrir facsímil</v>
      </c>
      <c r="K315" s="3" t="s">
        <v>64</v>
      </c>
    </row>
    <row r="316" spans="1:11" ht="42" customHeight="1">
      <c r="A316" s="2" t="s">
        <v>925</v>
      </c>
      <c r="B316" s="2" t="s">
        <v>926</v>
      </c>
      <c r="C316" s="2" t="s">
        <v>38</v>
      </c>
      <c r="D316" s="2" t="s">
        <v>39</v>
      </c>
      <c r="E316" s="5">
        <v>-31210</v>
      </c>
      <c r="F316" s="3" t="s">
        <v>141</v>
      </c>
      <c r="G316" s="3" t="s">
        <v>99</v>
      </c>
      <c r="H316" s="2" t="s">
        <v>62</v>
      </c>
      <c r="I316" s="2" t="s">
        <v>927</v>
      </c>
      <c r="J316" s="3" t="str">
        <f>HYPERLINK("https://www.boe.es/gazeta/dias/1814/07/19/pdfs/GMD-1814-100.pdf#page=5","Abrir facsímil")</f>
        <v>Abrir facsímil</v>
      </c>
      <c r="K316" s="3" t="s">
        <v>64</v>
      </c>
    </row>
    <row r="317" spans="1:11" ht="42" customHeight="1">
      <c r="A317" s="2" t="s">
        <v>928</v>
      </c>
      <c r="B317" s="2" t="s">
        <v>928</v>
      </c>
      <c r="C317" s="2" t="s">
        <v>38</v>
      </c>
      <c r="D317" s="2" t="s">
        <v>39</v>
      </c>
      <c r="E317" s="5">
        <v>-31397</v>
      </c>
      <c r="F317" s="3" t="s">
        <v>929</v>
      </c>
      <c r="G317" s="3" t="s">
        <v>52</v>
      </c>
      <c r="H317" s="2" t="s">
        <v>62</v>
      </c>
      <c r="I317" s="2" t="s">
        <v>930</v>
      </c>
      <c r="J317" s="3" t="str">
        <f>HYPERLINK("https://www.boe.es/gazeta/dias/1814/01/13/pdfs/GRE-1814-7.pdf#page=8","Abrir facsímil")</f>
        <v>Abrir facsímil</v>
      </c>
      <c r="K317" s="3" t="s">
        <v>64</v>
      </c>
    </row>
    <row r="318" spans="1:11" ht="42" customHeight="1">
      <c r="A318" s="2" t="s">
        <v>931</v>
      </c>
      <c r="B318" s="2" t="s">
        <v>932</v>
      </c>
      <c r="C318" s="2" t="s">
        <v>38</v>
      </c>
      <c r="D318" s="2" t="s">
        <v>39</v>
      </c>
      <c r="E318" s="5">
        <v>-31364</v>
      </c>
      <c r="F318" s="3" t="s">
        <v>594</v>
      </c>
      <c r="G318" s="3" t="s">
        <v>52</v>
      </c>
      <c r="H318" s="2" t="s">
        <v>62</v>
      </c>
      <c r="I318" s="2" t="s">
        <v>933</v>
      </c>
      <c r="J318" s="3" t="str">
        <f>HYPERLINK("https://www.boe.es/gazeta/dias/1814/02/15/pdfs/GRE-1814-21.pdf#page=8","Abrir facsímil")</f>
        <v>Abrir facsímil</v>
      </c>
      <c r="K318" s="3" t="s">
        <v>64</v>
      </c>
    </row>
    <row r="319" spans="1:11" ht="42" customHeight="1">
      <c r="A319" s="2" t="s">
        <v>934</v>
      </c>
      <c r="B319" s="2" t="s">
        <v>935</v>
      </c>
      <c r="C319" s="2" t="s">
        <v>26</v>
      </c>
      <c r="D319" s="2" t="s">
        <v>27</v>
      </c>
      <c r="E319" s="5">
        <v>-31213</v>
      </c>
      <c r="F319" s="3" t="s">
        <v>276</v>
      </c>
      <c r="G319" s="3" t="s">
        <v>52</v>
      </c>
      <c r="H319" s="2" t="s">
        <v>62</v>
      </c>
      <c r="I319" s="2" t="s">
        <v>936</v>
      </c>
      <c r="J319" s="3" t="str">
        <f>HYPERLINK("https://www.boe.es/gazeta/dias/1814/07/16/pdfs/GMD-1814-99.pdf#page=8","Abrir facsímil")</f>
        <v>Abrir facsímil</v>
      </c>
      <c r="K319" s="3" t="s">
        <v>64</v>
      </c>
    </row>
    <row r="320" spans="1:11" ht="42" customHeight="1">
      <c r="A320" s="2" t="s">
        <v>937</v>
      </c>
      <c r="B320" s="2" t="s">
        <v>938</v>
      </c>
      <c r="C320" s="2" t="s">
        <v>38</v>
      </c>
      <c r="D320" s="2" t="s">
        <v>39</v>
      </c>
      <c r="E320" s="5">
        <v>-31264</v>
      </c>
      <c r="F320" s="3" t="s">
        <v>396</v>
      </c>
      <c r="G320" s="3" t="s">
        <v>99</v>
      </c>
      <c r="H320" s="2" t="s">
        <v>62</v>
      </c>
      <c r="I320" s="2" t="s">
        <v>939</v>
      </c>
      <c r="J320" s="3" t="str">
        <f>HYPERLINK("https://www.boe.es/gazeta/dias/1814/05/26/pdfs/GMD-1814-77.pdf#page=5","Abrir facsímil")</f>
        <v>Abrir facsímil</v>
      </c>
      <c r="K320" s="3" t="s">
        <v>64</v>
      </c>
    </row>
    <row r="321" spans="1:11" ht="42" customHeight="1">
      <c r="A321" s="2" t="s">
        <v>937</v>
      </c>
      <c r="B321" s="2" t="s">
        <v>938</v>
      </c>
      <c r="C321" s="2" t="s">
        <v>38</v>
      </c>
      <c r="D321" s="2" t="s">
        <v>39</v>
      </c>
      <c r="E321" s="5">
        <v>-31264</v>
      </c>
      <c r="F321" s="3" t="s">
        <v>396</v>
      </c>
      <c r="G321" s="3" t="s">
        <v>57</v>
      </c>
      <c r="H321" s="2" t="s">
        <v>62</v>
      </c>
      <c r="I321" s="2" t="s">
        <v>940</v>
      </c>
      <c r="J321" s="3" t="str">
        <f>HYPERLINK("https://www.boe.es/gazeta/dias/1814/05/26/pdfs/GMD-1814-77.pdf#page=6","Abrir facsímil")</f>
        <v>Abrir facsímil</v>
      </c>
      <c r="K321" s="3" t="s">
        <v>64</v>
      </c>
    </row>
    <row r="322" spans="1:11" ht="42" customHeight="1">
      <c r="A322" s="2" t="s">
        <v>941</v>
      </c>
      <c r="B322" s="2" t="s">
        <v>942</v>
      </c>
      <c r="C322" s="2" t="s">
        <v>26</v>
      </c>
      <c r="D322" s="2" t="s">
        <v>27</v>
      </c>
      <c r="E322" s="5">
        <v>-31145</v>
      </c>
      <c r="F322" s="3" t="s">
        <v>523</v>
      </c>
      <c r="G322" s="3" t="s">
        <v>20</v>
      </c>
      <c r="H322" s="2" t="s">
        <v>62</v>
      </c>
      <c r="I322" s="2" t="s">
        <v>943</v>
      </c>
      <c r="J322" s="3" t="str">
        <f>HYPERLINK("https://www.boe.es/gazeta/dias/1814/09/22/pdfs/GMD-1814-129.pdf#page=7","Abrir facsímil")</f>
        <v>Abrir facsímil</v>
      </c>
      <c r="K322" s="3" t="s">
        <v>64</v>
      </c>
    </row>
    <row r="323" spans="1:11" ht="42" customHeight="1">
      <c r="A323" s="2" t="s">
        <v>944</v>
      </c>
      <c r="B323" s="2" t="s">
        <v>945</v>
      </c>
      <c r="C323" s="2" t="s">
        <v>26</v>
      </c>
      <c r="D323" s="2" t="s">
        <v>27</v>
      </c>
      <c r="E323" s="5">
        <v>-31238</v>
      </c>
      <c r="F323" s="3" t="s">
        <v>127</v>
      </c>
      <c r="G323" s="3" t="s">
        <v>20</v>
      </c>
      <c r="H323" s="2" t="s">
        <v>62</v>
      </c>
      <c r="I323" s="2" t="s">
        <v>946</v>
      </c>
      <c r="J323" s="3" t="str">
        <f>HYPERLINK("https://www.boe.es/gazeta/dias/1814/06/21/pdfs/GMD-1814-88.pdf#page=7","Abrir facsímil")</f>
        <v>Abrir facsímil</v>
      </c>
      <c r="K323" s="3" t="s">
        <v>64</v>
      </c>
    </row>
    <row r="324" spans="1:11" ht="42" customHeight="1">
      <c r="A324" s="2" t="s">
        <v>947</v>
      </c>
      <c r="B324" s="2" t="s">
        <v>948</v>
      </c>
      <c r="C324" s="2" t="s">
        <v>17</v>
      </c>
      <c r="D324" s="2" t="s">
        <v>18</v>
      </c>
      <c r="E324" s="5">
        <v>-31192</v>
      </c>
      <c r="F324" s="3" t="s">
        <v>388</v>
      </c>
      <c r="G324" s="3" t="s">
        <v>20</v>
      </c>
      <c r="H324" s="2" t="s">
        <v>62</v>
      </c>
      <c r="I324" s="2" t="s">
        <v>949</v>
      </c>
      <c r="J324" s="3" t="str">
        <f>HYPERLINK("https://www.boe.es/gazeta/dias/1814/08/06/pdfs/GMD-1814-108.pdf#page=7","Abrir facsímil")</f>
        <v>Abrir facsímil</v>
      </c>
      <c r="K324" s="3" t="s">
        <v>64</v>
      </c>
    </row>
    <row r="325" spans="1:11" ht="42" customHeight="1">
      <c r="A325" s="2" t="s">
        <v>950</v>
      </c>
      <c r="B325" s="2" t="s">
        <v>951</v>
      </c>
      <c r="C325" s="2" t="s">
        <v>26</v>
      </c>
      <c r="D325" s="2" t="s">
        <v>27</v>
      </c>
      <c r="E325" s="5">
        <v>-31054</v>
      </c>
      <c r="F325" s="3" t="s">
        <v>952</v>
      </c>
      <c r="G325" s="3" t="s">
        <v>20</v>
      </c>
      <c r="H325" s="2" t="s">
        <v>62</v>
      </c>
      <c r="I325" s="2" t="s">
        <v>953</v>
      </c>
      <c r="J325" s="3" t="str">
        <f>HYPERLINK("https://www.boe.es/gazeta/dias/1814/12/22/pdfs/GMD-1814-169.pdf#page=7","Abrir facsímil")</f>
        <v>Abrir facsímil</v>
      </c>
      <c r="K325" s="3" t="s">
        <v>64</v>
      </c>
    </row>
    <row r="326" spans="1:11" ht="42" customHeight="1">
      <c r="A326" s="2" t="s">
        <v>954</v>
      </c>
      <c r="B326" s="2" t="s">
        <v>955</v>
      </c>
      <c r="C326" s="2" t="s">
        <v>45</v>
      </c>
      <c r="D326" s="2" t="s">
        <v>18</v>
      </c>
      <c r="E326" s="5">
        <v>-31136</v>
      </c>
      <c r="F326" s="3" t="s">
        <v>956</v>
      </c>
      <c r="G326" s="3" t="s">
        <v>957</v>
      </c>
      <c r="H326" s="2" t="s">
        <v>21</v>
      </c>
      <c r="I326" s="2" t="s">
        <v>958</v>
      </c>
      <c r="J326" s="3" t="str">
        <f>HYPERLINK("https://www.boe.es/gazeta/dias/1814/10/01/pdfs/GMD-1814-133.pdf#page=8","Abrir facsímil")</f>
        <v>Abrir facsímil</v>
      </c>
      <c r="K326" s="3" t="s">
        <v>23</v>
      </c>
    </row>
    <row r="327" spans="1:11" ht="42" customHeight="1">
      <c r="A327" s="2" t="s">
        <v>959</v>
      </c>
      <c r="B327" s="2" t="s">
        <v>960</v>
      </c>
      <c r="C327" s="2" t="s">
        <v>17</v>
      </c>
      <c r="D327" s="2" t="s">
        <v>18</v>
      </c>
      <c r="E327" s="5">
        <v>-31348</v>
      </c>
      <c r="F327" s="3" t="s">
        <v>898</v>
      </c>
      <c r="G327" s="3" t="s">
        <v>961</v>
      </c>
      <c r="H327" s="2" t="s">
        <v>62</v>
      </c>
      <c r="I327" s="2" t="s">
        <v>962</v>
      </c>
      <c r="J327" s="3" t="str">
        <f>HYPERLINK("https://www.boe.es/gazeta/dias/1814/03/03/pdfs/GRE-1814-29.pdf#page=7","Abrir facsímil")</f>
        <v>Abrir facsímil</v>
      </c>
      <c r="K327" s="3" t="s">
        <v>64</v>
      </c>
    </row>
    <row r="328" spans="1:11" ht="42" customHeight="1">
      <c r="A328" s="2" t="s">
        <v>963</v>
      </c>
      <c r="B328" s="2" t="s">
        <v>964</v>
      </c>
      <c r="C328" s="2" t="s">
        <v>26</v>
      </c>
      <c r="D328" s="2" t="s">
        <v>27</v>
      </c>
      <c r="E328" s="5">
        <v>-31245</v>
      </c>
      <c r="F328" s="3" t="s">
        <v>908</v>
      </c>
      <c r="G328" s="3" t="s">
        <v>99</v>
      </c>
      <c r="H328" s="2" t="s">
        <v>62</v>
      </c>
      <c r="I328" s="2" t="s">
        <v>965</v>
      </c>
      <c r="J328" s="3" t="str">
        <f>HYPERLINK("https://www.boe.es/gazeta/dias/1814/06/14/pdfs/GMD-1814-85.pdf#page=5","Abrir facsímil")</f>
        <v>Abrir facsímil</v>
      </c>
      <c r="K328" s="3" t="s">
        <v>64</v>
      </c>
    </row>
    <row r="329" spans="1:11" ht="42" customHeight="1">
      <c r="A329" s="2" t="s">
        <v>966</v>
      </c>
      <c r="B329" s="2" t="s">
        <v>967</v>
      </c>
      <c r="C329" s="2" t="s">
        <v>38</v>
      </c>
      <c r="D329" s="2" t="s">
        <v>39</v>
      </c>
      <c r="E329" s="5">
        <v>-31080</v>
      </c>
      <c r="F329" s="3" t="s">
        <v>286</v>
      </c>
      <c r="G329" s="3" t="s">
        <v>57</v>
      </c>
      <c r="H329" s="2" t="s">
        <v>62</v>
      </c>
      <c r="I329" s="2" t="s">
        <v>968</v>
      </c>
      <c r="J329" s="3" t="str">
        <f>HYPERLINK("https://www.boe.es/gazeta/dias/1814/11/26/pdfs/GMD-1814-157.pdf#page=6","Abrir facsímil")</f>
        <v>Abrir facsímil</v>
      </c>
      <c r="K329" s="3" t="s">
        <v>64</v>
      </c>
    </row>
    <row r="330" spans="1:11" ht="42" customHeight="1">
      <c r="A330" s="2" t="s">
        <v>969</v>
      </c>
      <c r="B330" s="2" t="s">
        <v>970</v>
      </c>
      <c r="C330" s="2" t="s">
        <v>38</v>
      </c>
      <c r="D330" s="2" t="s">
        <v>39</v>
      </c>
      <c r="E330" s="5">
        <v>-31112</v>
      </c>
      <c r="F330" s="3" t="s">
        <v>707</v>
      </c>
      <c r="G330" s="3" t="s">
        <v>20</v>
      </c>
      <c r="H330" s="2" t="s">
        <v>62</v>
      </c>
      <c r="I330" s="2" t="s">
        <v>971</v>
      </c>
      <c r="J330" s="3" t="str">
        <f>HYPERLINK("https://www.boe.es/gazeta/dias/1814/10/25/pdfs/GMD-1814-143.pdf#page=7","Abrir facsímil")</f>
        <v>Abrir facsímil</v>
      </c>
      <c r="K330" s="3" t="s">
        <v>64</v>
      </c>
    </row>
    <row r="331" spans="1:11" ht="42" customHeight="1">
      <c r="A331" s="2" t="s">
        <v>969</v>
      </c>
      <c r="B331" s="2" t="s">
        <v>970</v>
      </c>
      <c r="C331" s="2" t="s">
        <v>32</v>
      </c>
      <c r="D331" s="2" t="s">
        <v>18</v>
      </c>
      <c r="E331" s="5">
        <v>-31096</v>
      </c>
      <c r="F331" s="3" t="s">
        <v>223</v>
      </c>
      <c r="G331" s="3" t="s">
        <v>972</v>
      </c>
      <c r="H331" s="2" t="s">
        <v>62</v>
      </c>
      <c r="I331" s="2" t="s">
        <v>973</v>
      </c>
      <c r="J331" s="3" t="str">
        <f>HYPERLINK("https://www.boe.es/gazeta/dias/1814/11/10/pdfs/GMD-1814-150.pdf#page=8","Abrir facsímil")</f>
        <v>Abrir facsímil</v>
      </c>
      <c r="K331" s="3" t="s">
        <v>64</v>
      </c>
    </row>
    <row r="332" spans="1:11" ht="42" customHeight="1">
      <c r="A332" s="2" t="s">
        <v>974</v>
      </c>
      <c r="B332" s="2" t="s">
        <v>975</v>
      </c>
      <c r="C332" s="2" t="s">
        <v>38</v>
      </c>
      <c r="D332" s="2" t="s">
        <v>39</v>
      </c>
      <c r="E332" s="5">
        <v>-31325</v>
      </c>
      <c r="F332" s="3" t="s">
        <v>67</v>
      </c>
      <c r="G332" s="3" t="s">
        <v>57</v>
      </c>
      <c r="H332" s="2" t="s">
        <v>62</v>
      </c>
      <c r="I332" s="2" t="s">
        <v>976</v>
      </c>
      <c r="J332" s="3" t="str">
        <f>HYPERLINK("https://www.boe.es/gazeta/dias/1814/03/26/pdfs/GRE-1814-43.pdf#page=6","Abrir facsímil")</f>
        <v>Abrir facsímil</v>
      </c>
      <c r="K332" s="3" t="s">
        <v>64</v>
      </c>
    </row>
    <row r="333" spans="1:11" ht="42" customHeight="1">
      <c r="A333" s="2" t="s">
        <v>977</v>
      </c>
      <c r="B333" s="2" t="s">
        <v>978</v>
      </c>
      <c r="C333" s="2" t="s">
        <v>38</v>
      </c>
      <c r="D333" s="2" t="s">
        <v>39</v>
      </c>
      <c r="E333" s="5">
        <v>-31124</v>
      </c>
      <c r="F333" s="3" t="s">
        <v>383</v>
      </c>
      <c r="G333" s="3" t="s">
        <v>384</v>
      </c>
      <c r="H333" s="2" t="s">
        <v>62</v>
      </c>
      <c r="I333" s="2" t="s">
        <v>979</v>
      </c>
      <c r="J333" s="3" t="str">
        <f>HYPERLINK("https://www.boe.es/gazeta/dias/1814/10/13/pdfs/GMD-1814-138.pdf#page=11","Abrir facsímil")</f>
        <v>Abrir facsímil</v>
      </c>
      <c r="K333" s="3" t="s">
        <v>64</v>
      </c>
    </row>
    <row r="334" spans="1:11" ht="42" customHeight="1">
      <c r="A334" s="2" t="s">
        <v>980</v>
      </c>
      <c r="B334" s="2" t="s">
        <v>981</v>
      </c>
      <c r="C334" s="2" t="s">
        <v>38</v>
      </c>
      <c r="D334" s="2" t="s">
        <v>39</v>
      </c>
      <c r="E334" s="5">
        <v>-31392</v>
      </c>
      <c r="F334" s="3" t="s">
        <v>195</v>
      </c>
      <c r="G334" s="3" t="s">
        <v>758</v>
      </c>
      <c r="H334" s="2" t="s">
        <v>62</v>
      </c>
      <c r="I334" s="2" t="s">
        <v>982</v>
      </c>
      <c r="J334" s="3" t="str">
        <f>HYPERLINK("https://www.boe.es/gazeta/dias/1814/01/18/pdfs/GRE-1814-9.pdf#page=8","Abrir facsímil")</f>
        <v>Abrir facsímil</v>
      </c>
      <c r="K334" s="3" t="s">
        <v>64</v>
      </c>
    </row>
    <row r="335" spans="1:11" ht="42" customHeight="1">
      <c r="A335" s="2" t="s">
        <v>980</v>
      </c>
      <c r="B335" s="2" t="s">
        <v>981</v>
      </c>
      <c r="C335" s="2" t="s">
        <v>38</v>
      </c>
      <c r="D335" s="2" t="s">
        <v>39</v>
      </c>
      <c r="E335" s="5">
        <v>-31255</v>
      </c>
      <c r="F335" s="3" t="s">
        <v>983</v>
      </c>
      <c r="G335" s="3" t="s">
        <v>41</v>
      </c>
      <c r="H335" s="2" t="s">
        <v>62</v>
      </c>
      <c r="I335" s="2" t="s">
        <v>984</v>
      </c>
      <c r="J335" s="3" t="str">
        <f>HYPERLINK("https://www.boe.es/gazeta/dias/1814/06/04/pdfs/GMD-1814-81.pdf#page=4","Abrir facsímil")</f>
        <v>Abrir facsímil</v>
      </c>
      <c r="K335" s="3" t="s">
        <v>64</v>
      </c>
    </row>
    <row r="336" spans="1:11" ht="42" customHeight="1">
      <c r="A336" s="2" t="s">
        <v>985</v>
      </c>
      <c r="B336" s="2" t="s">
        <v>986</v>
      </c>
      <c r="C336" s="2" t="s">
        <v>38</v>
      </c>
      <c r="D336" s="2" t="s">
        <v>39</v>
      </c>
      <c r="E336" s="5">
        <v>-31299</v>
      </c>
      <c r="F336" s="3" t="s">
        <v>71</v>
      </c>
      <c r="G336" s="3" t="s">
        <v>52</v>
      </c>
      <c r="H336" s="2" t="s">
        <v>62</v>
      </c>
      <c r="I336" s="2" t="s">
        <v>987</v>
      </c>
      <c r="J336" s="3" t="str">
        <f>HYPERLINK("https://www.boe.es/gazeta/dias/1814/04/21/pdfs/GRE-1814-57.pdf#page=8","Abrir facsímil")</f>
        <v>Abrir facsímil</v>
      </c>
      <c r="K336" s="3" t="s">
        <v>64</v>
      </c>
    </row>
    <row r="337" spans="1:11" ht="42" customHeight="1">
      <c r="A337" s="2" t="s">
        <v>988</v>
      </c>
      <c r="B337" s="2" t="s">
        <v>988</v>
      </c>
      <c r="C337" s="2" t="s">
        <v>38</v>
      </c>
      <c r="D337" s="2" t="s">
        <v>39</v>
      </c>
      <c r="E337" s="5">
        <v>-31381</v>
      </c>
      <c r="F337" s="3" t="s">
        <v>989</v>
      </c>
      <c r="G337" s="3" t="s">
        <v>52</v>
      </c>
      <c r="H337" s="2" t="s">
        <v>62</v>
      </c>
      <c r="I337" s="2" t="s">
        <v>990</v>
      </c>
      <c r="J337" s="3" t="str">
        <f>HYPERLINK("https://www.boe.es/gazeta/dias/1814/01/29/pdfs/GRE-1814-14.pdf#page=8","Abrir facsímil")</f>
        <v>Abrir facsímil</v>
      </c>
      <c r="K337" s="3" t="s">
        <v>64</v>
      </c>
    </row>
    <row r="338" spans="1:11" ht="42" customHeight="1">
      <c r="A338" s="2" t="s">
        <v>991</v>
      </c>
      <c r="B338" s="2" t="s">
        <v>992</v>
      </c>
      <c r="C338" s="2" t="s">
        <v>687</v>
      </c>
      <c r="D338" s="2" t="s">
        <v>27</v>
      </c>
      <c r="E338" s="5">
        <v>-31152</v>
      </c>
      <c r="F338" s="3" t="s">
        <v>199</v>
      </c>
      <c r="G338" s="3" t="s">
        <v>20</v>
      </c>
      <c r="H338" s="2" t="s">
        <v>62</v>
      </c>
      <c r="I338" s="2" t="s">
        <v>993</v>
      </c>
      <c r="J338" s="3" t="str">
        <f>HYPERLINK("https://www.boe.es/gazeta/dias/1814/09/15/pdfs/GMD-1814-126.pdf#page=7","Abrir facsímil")</f>
        <v>Abrir facsímil</v>
      </c>
      <c r="K338" s="3" t="s">
        <v>64</v>
      </c>
    </row>
    <row r="339" spans="1:11" ht="42" customHeight="1">
      <c r="A339" s="2" t="s">
        <v>994</v>
      </c>
      <c r="B339" s="2" t="s">
        <v>995</v>
      </c>
      <c r="C339" s="2" t="s">
        <v>26</v>
      </c>
      <c r="D339" s="2" t="s">
        <v>27</v>
      </c>
      <c r="E339" s="5">
        <v>-31124</v>
      </c>
      <c r="F339" s="3" t="s">
        <v>383</v>
      </c>
      <c r="G339" s="3" t="s">
        <v>574</v>
      </c>
      <c r="H339" s="2" t="s">
        <v>62</v>
      </c>
      <c r="I339" s="2" t="s">
        <v>996</v>
      </c>
      <c r="J339" s="3" t="str">
        <f>HYPERLINK("https://www.boe.es/gazeta/dias/1814/10/13/pdfs/GMD-1814-138.pdf#page=10","Abrir facsímil")</f>
        <v>Abrir facsímil</v>
      </c>
      <c r="K339" s="3" t="s">
        <v>64</v>
      </c>
    </row>
    <row r="340" spans="1:11" ht="42" customHeight="1">
      <c r="A340" s="2" t="s">
        <v>997</v>
      </c>
      <c r="B340" s="2" t="s">
        <v>998</v>
      </c>
      <c r="C340" s="2" t="s">
        <v>26</v>
      </c>
      <c r="D340" s="2" t="s">
        <v>27</v>
      </c>
      <c r="E340" s="5">
        <v>-31297</v>
      </c>
      <c r="F340" s="3" t="s">
        <v>737</v>
      </c>
      <c r="G340" s="3" t="s">
        <v>52</v>
      </c>
      <c r="H340" s="2" t="s">
        <v>62</v>
      </c>
      <c r="I340" s="2" t="s">
        <v>999</v>
      </c>
      <c r="J340" s="3" t="str">
        <f>HYPERLINK("https://www.boe.es/gazeta/dias/1814/04/23/pdfs/GRE-1814-59.pdf#page=8","Abrir facsímil")</f>
        <v>Abrir facsímil</v>
      </c>
      <c r="K340" s="3" t="s">
        <v>64</v>
      </c>
    </row>
    <row r="341" spans="1:11" ht="42" customHeight="1">
      <c r="A341" s="2" t="s">
        <v>1000</v>
      </c>
      <c r="B341" s="2" t="s">
        <v>1001</v>
      </c>
      <c r="C341" s="2" t="s">
        <v>45</v>
      </c>
      <c r="D341" s="2" t="s">
        <v>18</v>
      </c>
      <c r="E341" s="5">
        <v>-31187</v>
      </c>
      <c r="F341" s="3" t="s">
        <v>518</v>
      </c>
      <c r="G341" s="3" t="s">
        <v>52</v>
      </c>
      <c r="H341" s="2" t="s">
        <v>62</v>
      </c>
      <c r="I341" s="2" t="s">
        <v>1002</v>
      </c>
      <c r="J341" s="3" t="str">
        <f>HYPERLINK("https://www.boe.es/gazeta/dias/1814/08/11/pdfs/GMD-1814-110.pdf#page=8","Abrir facsímil")</f>
        <v>Abrir facsímil</v>
      </c>
      <c r="K341" s="3" t="s">
        <v>64</v>
      </c>
    </row>
    <row r="342" spans="1:11" ht="42" customHeight="1">
      <c r="A342" s="2" t="s">
        <v>1003</v>
      </c>
      <c r="B342" s="2" t="s">
        <v>1004</v>
      </c>
      <c r="C342" s="2" t="s">
        <v>26</v>
      </c>
      <c r="D342" s="2" t="s">
        <v>27</v>
      </c>
      <c r="E342" s="5">
        <v>-31245</v>
      </c>
      <c r="F342" s="3" t="s">
        <v>908</v>
      </c>
      <c r="G342" s="3" t="s">
        <v>82</v>
      </c>
      <c r="H342" s="2" t="s">
        <v>62</v>
      </c>
      <c r="I342" s="2" t="s">
        <v>1005</v>
      </c>
      <c r="J342" s="3" t="str">
        <f>HYPERLINK("https://www.boe.es/gazeta/dias/1814/06/14/pdfs/GMD-1814-85.pdf#page=3","Abrir facsímil")</f>
        <v>Abrir facsímil</v>
      </c>
      <c r="K342" s="3" t="s">
        <v>64</v>
      </c>
    </row>
    <row r="343" spans="1:11" ht="42" customHeight="1">
      <c r="A343" s="2" t="s">
        <v>1006</v>
      </c>
      <c r="B343" s="2" t="s">
        <v>1007</v>
      </c>
      <c r="C343" s="2" t="s">
        <v>26</v>
      </c>
      <c r="D343" s="2" t="s">
        <v>27</v>
      </c>
      <c r="E343" s="5">
        <v>-31322</v>
      </c>
      <c r="F343" s="3" t="s">
        <v>114</v>
      </c>
      <c r="G343" s="3" t="s">
        <v>52</v>
      </c>
      <c r="H343" s="2" t="s">
        <v>62</v>
      </c>
      <c r="I343" s="2" t="s">
        <v>1008</v>
      </c>
      <c r="J343" s="3" t="str">
        <f>HYPERLINK("https://www.boe.es/gazeta/dias/1814/03/29/pdfs/GRE-1814-44.pdf#page=8","Abrir facsímil")</f>
        <v>Abrir facsímil</v>
      </c>
      <c r="K343" s="3" t="s">
        <v>64</v>
      </c>
    </row>
    <row r="344" spans="1:11" ht="42" customHeight="1">
      <c r="A344" s="2" t="s">
        <v>1009</v>
      </c>
      <c r="B344" s="2" t="s">
        <v>1010</v>
      </c>
      <c r="C344" s="2" t="s">
        <v>38</v>
      </c>
      <c r="D344" s="2" t="s">
        <v>39</v>
      </c>
      <c r="E344" s="5">
        <v>-31318</v>
      </c>
      <c r="F344" s="3" t="s">
        <v>400</v>
      </c>
      <c r="G344" s="3" t="s">
        <v>87</v>
      </c>
      <c r="H344" s="2" t="s">
        <v>62</v>
      </c>
      <c r="I344" s="2" t="s">
        <v>1011</v>
      </c>
      <c r="J344" s="3" t="str">
        <f>HYPERLINK("https://www.boe.es/gazeta/dias/1814/04/02/pdfs/GRE-1814-47.pdf#page=2","Abrir facsímil")</f>
        <v>Abrir facsímil</v>
      </c>
      <c r="K344" s="3" t="s">
        <v>64</v>
      </c>
    </row>
    <row r="345" spans="1:11" ht="42" customHeight="1">
      <c r="A345" s="2" t="s">
        <v>1012</v>
      </c>
      <c r="B345" s="2" t="s">
        <v>1013</v>
      </c>
      <c r="C345" s="2" t="s">
        <v>26</v>
      </c>
      <c r="D345" s="2" t="s">
        <v>27</v>
      </c>
      <c r="E345" s="5">
        <v>-31294</v>
      </c>
      <c r="F345" s="3" t="s">
        <v>680</v>
      </c>
      <c r="G345" s="3" t="s">
        <v>41</v>
      </c>
      <c r="H345" s="2" t="s">
        <v>62</v>
      </c>
      <c r="I345" s="2" t="s">
        <v>1014</v>
      </c>
      <c r="J345" s="3" t="str">
        <f>HYPERLINK("https://www.boe.es/gazeta/dias/1814/04/26/pdfs/GRE-1814-61.pdf#page=4","Abrir facsímil")</f>
        <v>Abrir facsímil</v>
      </c>
      <c r="K345" s="3" t="s">
        <v>64</v>
      </c>
    </row>
    <row r="346" spans="1:11" ht="42" customHeight="1">
      <c r="A346" s="2" t="s">
        <v>1015</v>
      </c>
      <c r="B346" s="2" t="s">
        <v>1016</v>
      </c>
      <c r="C346" s="2" t="s">
        <v>17</v>
      </c>
      <c r="D346" s="2" t="s">
        <v>18</v>
      </c>
      <c r="E346" s="5">
        <v>-31371</v>
      </c>
      <c r="F346" s="3" t="s">
        <v>1017</v>
      </c>
      <c r="G346" s="3" t="s">
        <v>87</v>
      </c>
      <c r="H346" s="2" t="s">
        <v>62</v>
      </c>
      <c r="I346" s="2" t="s">
        <v>1018</v>
      </c>
      <c r="J346" s="3" t="str">
        <f>HYPERLINK("https://www.boe.es/gazeta/dias/1814/02/08/pdfs/GRE-1814-18.pdf#page=2","Abrir facsímil")</f>
        <v>Abrir facsímil</v>
      </c>
      <c r="K346" s="3" t="s">
        <v>64</v>
      </c>
    </row>
    <row r="347" spans="1:11" ht="42" customHeight="1">
      <c r="A347" s="2" t="s">
        <v>1019</v>
      </c>
      <c r="B347" s="2" t="s">
        <v>1020</v>
      </c>
      <c r="C347" s="2" t="s">
        <v>38</v>
      </c>
      <c r="D347" s="2" t="s">
        <v>39</v>
      </c>
      <c r="E347" s="5">
        <v>-31371</v>
      </c>
      <c r="F347" s="3" t="s">
        <v>1017</v>
      </c>
      <c r="G347" s="3" t="s">
        <v>82</v>
      </c>
      <c r="H347" s="2" t="s">
        <v>62</v>
      </c>
      <c r="I347" s="2" t="s">
        <v>1021</v>
      </c>
      <c r="J347" s="3" t="str">
        <f>HYPERLINK("https://www.boe.es/gazeta/dias/1814/02/08/pdfs/GRE-1814-18.pdf#page=3","Abrir facsímil")</f>
        <v>Abrir facsímil</v>
      </c>
      <c r="K347" s="3" t="s">
        <v>64</v>
      </c>
    </row>
    <row r="348" spans="1:11" ht="42" customHeight="1">
      <c r="A348" s="2" t="s">
        <v>1022</v>
      </c>
      <c r="B348" s="2" t="s">
        <v>1023</v>
      </c>
      <c r="C348" s="2" t="s">
        <v>17</v>
      </c>
      <c r="D348" s="2" t="s">
        <v>18</v>
      </c>
      <c r="E348" s="5">
        <v>-31115</v>
      </c>
      <c r="F348" s="3" t="s">
        <v>805</v>
      </c>
      <c r="G348" s="3" t="s">
        <v>20</v>
      </c>
      <c r="H348" s="2" t="s">
        <v>62</v>
      </c>
      <c r="I348" s="2" t="s">
        <v>1024</v>
      </c>
      <c r="J348" s="3" t="str">
        <f>HYPERLINK("https://www.boe.es/gazeta/dias/1814/10/22/pdfs/GMD-1814-142.pdf#page=7","Abrir facsímil")</f>
        <v>Abrir facsímil</v>
      </c>
      <c r="K348" s="3" t="s">
        <v>64</v>
      </c>
    </row>
    <row r="349" spans="1:11" ht="42" customHeight="1">
      <c r="A349" s="2" t="s">
        <v>1025</v>
      </c>
      <c r="B349" s="2" t="s">
        <v>1026</v>
      </c>
      <c r="C349" s="2" t="s">
        <v>38</v>
      </c>
      <c r="D349" s="2" t="s">
        <v>39</v>
      </c>
      <c r="E349" s="5">
        <v>-31199</v>
      </c>
      <c r="F349" s="3" t="s">
        <v>453</v>
      </c>
      <c r="G349" s="3" t="s">
        <v>1027</v>
      </c>
      <c r="H349" s="2" t="s">
        <v>62</v>
      </c>
      <c r="I349" s="2" t="s">
        <v>1028</v>
      </c>
      <c r="J349" s="3" t="str">
        <f>HYPERLINK("https://www.boe.es/gazeta/dias/1814/07/30/pdfs/GMD-1814-105.pdf#page=8","Abrir facsímil")</f>
        <v>Abrir facsímil</v>
      </c>
      <c r="K349" s="3" t="s">
        <v>64</v>
      </c>
    </row>
    <row r="350" spans="1:11" ht="42" customHeight="1">
      <c r="A350" s="2" t="s">
        <v>1029</v>
      </c>
      <c r="B350" s="2" t="s">
        <v>1030</v>
      </c>
      <c r="C350" s="2" t="s">
        <v>309</v>
      </c>
      <c r="D350" s="2" t="s">
        <v>18</v>
      </c>
      <c r="E350" s="5">
        <v>-31080</v>
      </c>
      <c r="F350" s="3" t="s">
        <v>286</v>
      </c>
      <c r="G350" s="3" t="s">
        <v>1031</v>
      </c>
      <c r="H350" s="2" t="s">
        <v>62</v>
      </c>
      <c r="I350" s="2" t="s">
        <v>1032</v>
      </c>
      <c r="J350" s="3" t="str">
        <f>HYPERLINK("https://www.boe.es/gazeta/dias/1814/11/26/pdfs/GMD-1814-157.pdf#page=8","Abrir facsímil")</f>
        <v>Abrir facsímil</v>
      </c>
      <c r="K350" s="3" t="s">
        <v>64</v>
      </c>
    </row>
    <row r="351" spans="1:11" ht="42" customHeight="1">
      <c r="A351" s="2" t="s">
        <v>1033</v>
      </c>
      <c r="B351" s="2" t="s">
        <v>1034</v>
      </c>
      <c r="C351" s="2" t="s">
        <v>26</v>
      </c>
      <c r="D351" s="2" t="s">
        <v>27</v>
      </c>
      <c r="E351" s="5">
        <v>-31049</v>
      </c>
      <c r="F351" s="3" t="s">
        <v>542</v>
      </c>
      <c r="G351" s="3" t="s">
        <v>1035</v>
      </c>
      <c r="H351" s="2" t="s">
        <v>62</v>
      </c>
      <c r="I351" s="2" t="s">
        <v>1036</v>
      </c>
      <c r="J351" s="3" t="str">
        <f>HYPERLINK("https://www.boe.es/gazeta/dias/1814/12/27/pdfs/GMD-1814-171.pdf#page=6","Abrir facsímil")</f>
        <v>Abrir facsímil</v>
      </c>
      <c r="K351" s="3" t="s">
        <v>64</v>
      </c>
    </row>
    <row r="352" spans="1:11" ht="42" customHeight="1">
      <c r="A352" s="2" t="s">
        <v>1037</v>
      </c>
      <c r="B352" s="2" t="s">
        <v>1038</v>
      </c>
      <c r="C352" s="2" t="s">
        <v>38</v>
      </c>
      <c r="D352" s="2" t="s">
        <v>39</v>
      </c>
      <c r="E352" s="5">
        <v>-31245</v>
      </c>
      <c r="F352" s="3" t="s">
        <v>908</v>
      </c>
      <c r="G352" s="3" t="s">
        <v>704</v>
      </c>
      <c r="H352" s="2" t="s">
        <v>62</v>
      </c>
      <c r="I352" s="2" t="s">
        <v>1039</v>
      </c>
      <c r="J352" s="3" t="str">
        <f>HYPERLINK("https://www.boe.es/gazeta/dias/1814/06/14/pdfs/GMD-1814-85.pdf#page=10","Abrir facsímil")</f>
        <v>Abrir facsímil</v>
      </c>
      <c r="K352" s="3" t="s">
        <v>64</v>
      </c>
    </row>
    <row r="353" spans="1:11" ht="42" customHeight="1">
      <c r="A353" s="2" t="s">
        <v>1040</v>
      </c>
      <c r="B353" s="2" t="s">
        <v>1041</v>
      </c>
      <c r="C353" s="2" t="s">
        <v>38</v>
      </c>
      <c r="D353" s="2" t="s">
        <v>314</v>
      </c>
      <c r="E353" s="5">
        <v>-31296</v>
      </c>
      <c r="F353" s="3" t="s">
        <v>315</v>
      </c>
      <c r="G353" s="3" t="s">
        <v>52</v>
      </c>
      <c r="H353" s="2" t="s">
        <v>62</v>
      </c>
      <c r="I353" s="2" t="s">
        <v>1042</v>
      </c>
      <c r="J353" s="3" t="str">
        <f>HYPERLINK("https://www.boe.es/gazeta/dias/1814/04/24/pdfs/GRE-1814-60E.pdf#page=8","Abrir facsímil")</f>
        <v>Abrir facsímil</v>
      </c>
      <c r="K353" s="3" t="s">
        <v>64</v>
      </c>
    </row>
    <row r="354" spans="1:11" ht="42" customHeight="1">
      <c r="A354" s="2" t="s">
        <v>1043</v>
      </c>
      <c r="B354" s="2" t="s">
        <v>1044</v>
      </c>
      <c r="C354" s="2" t="s">
        <v>17</v>
      </c>
      <c r="D354" s="2" t="s">
        <v>18</v>
      </c>
      <c r="E354" s="5">
        <v>-31189</v>
      </c>
      <c r="F354" s="3" t="s">
        <v>379</v>
      </c>
      <c r="G354" s="3" t="s">
        <v>52</v>
      </c>
      <c r="H354" s="2" t="s">
        <v>62</v>
      </c>
      <c r="I354" s="2" t="s">
        <v>1045</v>
      </c>
      <c r="J354" s="3" t="str">
        <f>HYPERLINK("https://www.boe.es/gazeta/dias/1814/08/09/pdfs/GMD-1814-109.pdf#page=8","Abrir facsímil")</f>
        <v>Abrir facsímil</v>
      </c>
      <c r="K354" s="3" t="s">
        <v>64</v>
      </c>
    </row>
    <row r="355" spans="1:11" ht="42" customHeight="1">
      <c r="A355" s="2" t="s">
        <v>1046</v>
      </c>
      <c r="B355" s="2" t="s">
        <v>1047</v>
      </c>
      <c r="C355" s="2" t="s">
        <v>32</v>
      </c>
      <c r="D355" s="2" t="s">
        <v>18</v>
      </c>
      <c r="E355" s="5">
        <v>-31171</v>
      </c>
      <c r="F355" s="3" t="s">
        <v>157</v>
      </c>
      <c r="G355" s="3" t="s">
        <v>52</v>
      </c>
      <c r="H355" s="2" t="s">
        <v>62</v>
      </c>
      <c r="I355" s="2" t="s">
        <v>1048</v>
      </c>
      <c r="J355" s="3" t="str">
        <f>HYPERLINK("https://www.boe.es/gazeta/dias/1814/08/27/pdfs/GMD-1814-117.pdf#page=8","Abrir facsímil")</f>
        <v>Abrir facsímil</v>
      </c>
      <c r="K355" s="3" t="s">
        <v>64</v>
      </c>
    </row>
    <row r="356" spans="1:11" ht="42" customHeight="1">
      <c r="A356" s="2" t="s">
        <v>1049</v>
      </c>
      <c r="B356" s="2" t="s">
        <v>1050</v>
      </c>
      <c r="C356" s="2" t="s">
        <v>45</v>
      </c>
      <c r="D356" s="2" t="s">
        <v>18</v>
      </c>
      <c r="E356" s="5">
        <v>-31131</v>
      </c>
      <c r="F356" s="3" t="s">
        <v>132</v>
      </c>
      <c r="G356" s="3" t="s">
        <v>20</v>
      </c>
      <c r="H356" s="2" t="s">
        <v>62</v>
      </c>
      <c r="I356" s="2" t="s">
        <v>1051</v>
      </c>
      <c r="J356" s="3" t="str">
        <f>HYPERLINK("https://www.boe.es/gazeta/dias/1814/10/06/pdfs/GMD-1814-135.pdf#page=7","Abrir facsímil")</f>
        <v>Abrir facsímil</v>
      </c>
      <c r="K356" s="3" t="s">
        <v>64</v>
      </c>
    </row>
    <row r="357" spans="1:11" ht="42" customHeight="1">
      <c r="A357" s="2" t="s">
        <v>1052</v>
      </c>
      <c r="B357" s="2" t="s">
        <v>1053</v>
      </c>
      <c r="C357" s="2" t="s">
        <v>17</v>
      </c>
      <c r="D357" s="2" t="s">
        <v>18</v>
      </c>
      <c r="E357" s="5">
        <v>-31192</v>
      </c>
      <c r="F357" s="3" t="s">
        <v>388</v>
      </c>
      <c r="G357" s="3" t="s">
        <v>20</v>
      </c>
      <c r="H357" s="2" t="s">
        <v>62</v>
      </c>
      <c r="I357" s="2" t="s">
        <v>1054</v>
      </c>
      <c r="J357" s="3" t="str">
        <f>HYPERLINK("https://www.boe.es/gazeta/dias/1814/08/06/pdfs/GMD-1814-108.pdf#page=7","Abrir facsímil")</f>
        <v>Abrir facsímil</v>
      </c>
      <c r="K357" s="3" t="s">
        <v>64</v>
      </c>
    </row>
    <row r="358" spans="1:11" ht="42" customHeight="1">
      <c r="A358" s="2" t="s">
        <v>1055</v>
      </c>
      <c r="B358" s="2" t="s">
        <v>1056</v>
      </c>
      <c r="C358" s="2" t="s">
        <v>38</v>
      </c>
      <c r="D358" s="2" t="s">
        <v>39</v>
      </c>
      <c r="E358" s="5">
        <v>-31292</v>
      </c>
      <c r="F358" s="3" t="s">
        <v>557</v>
      </c>
      <c r="G358" s="3" t="s">
        <v>20</v>
      </c>
      <c r="H358" s="2" t="s">
        <v>62</v>
      </c>
      <c r="I358" s="2" t="s">
        <v>1057</v>
      </c>
      <c r="J358" s="3" t="str">
        <f>HYPERLINK("https://www.boe.es/gazeta/dias/1814/04/28/pdfs/GRE-1814-63.pdf#page=7","Abrir facsímil")</f>
        <v>Abrir facsímil</v>
      </c>
      <c r="K358" s="3" t="s">
        <v>64</v>
      </c>
    </row>
    <row r="359" spans="1:11" ht="42" customHeight="1">
      <c r="A359" s="2" t="s">
        <v>1058</v>
      </c>
      <c r="B359" s="2" t="s">
        <v>1058</v>
      </c>
      <c r="C359" s="2" t="s">
        <v>38</v>
      </c>
      <c r="D359" s="2" t="s">
        <v>39</v>
      </c>
      <c r="E359" s="5">
        <v>-31350</v>
      </c>
      <c r="F359" s="3" t="s">
        <v>377</v>
      </c>
      <c r="G359" s="3" t="s">
        <v>1059</v>
      </c>
      <c r="H359" s="2" t="s">
        <v>62</v>
      </c>
      <c r="I359" s="2" t="s">
        <v>1060</v>
      </c>
      <c r="J359" s="3" t="str">
        <f>HYPERLINK("https://www.boe.es/gazeta/dias/1814/03/01/pdfs/GRE-1814-28.pdf#page=4","Abrir facsímil")</f>
        <v>Abrir facsímil</v>
      </c>
      <c r="K359" s="3" t="s">
        <v>64</v>
      </c>
    </row>
    <row r="360" spans="1:11" ht="42" customHeight="1">
      <c r="A360" s="2" t="s">
        <v>1061</v>
      </c>
      <c r="B360" s="2" t="s">
        <v>1062</v>
      </c>
      <c r="C360" s="2" t="s">
        <v>38</v>
      </c>
      <c r="D360" s="2" t="s">
        <v>39</v>
      </c>
      <c r="E360" s="5">
        <v>-31350</v>
      </c>
      <c r="F360" s="3" t="s">
        <v>377</v>
      </c>
      <c r="G360" s="3" t="s">
        <v>1059</v>
      </c>
      <c r="H360" s="2" t="s">
        <v>62</v>
      </c>
      <c r="I360" s="2" t="s">
        <v>1063</v>
      </c>
      <c r="J360" s="3" t="str">
        <f>HYPERLINK("https://www.boe.es/gazeta/dias/1814/03/01/pdfs/GRE-1814-28.pdf#page=4","Abrir facsímil")</f>
        <v>Abrir facsímil</v>
      </c>
      <c r="K360" s="3" t="s">
        <v>64</v>
      </c>
    </row>
    <row r="361" spans="1:11" ht="42" customHeight="1">
      <c r="A361" s="2" t="s">
        <v>1064</v>
      </c>
      <c r="B361" s="2" t="s">
        <v>1065</v>
      </c>
      <c r="C361" s="2" t="s">
        <v>26</v>
      </c>
      <c r="D361" s="2" t="s">
        <v>27</v>
      </c>
      <c r="E361" s="5">
        <v>-31087</v>
      </c>
      <c r="F361" s="3" t="s">
        <v>118</v>
      </c>
      <c r="G361" s="3" t="s">
        <v>52</v>
      </c>
      <c r="H361" s="2" t="s">
        <v>62</v>
      </c>
      <c r="I361" s="2" t="s">
        <v>1066</v>
      </c>
      <c r="J361" s="3" t="str">
        <f>HYPERLINK("https://www.boe.es/gazeta/dias/1814/11/19/pdfs/GMD-1814-154.pdf#page=8","Abrir facsímil")</f>
        <v>Abrir facsímil</v>
      </c>
      <c r="K361" s="3" t="s">
        <v>64</v>
      </c>
    </row>
    <row r="362" spans="1:11" ht="42" customHeight="1">
      <c r="A362" s="2" t="s">
        <v>1067</v>
      </c>
      <c r="B362" s="2" t="s">
        <v>1068</v>
      </c>
      <c r="C362" s="2" t="s">
        <v>26</v>
      </c>
      <c r="D362" s="2" t="s">
        <v>27</v>
      </c>
      <c r="E362" s="5">
        <v>-31327</v>
      </c>
      <c r="F362" s="3" t="s">
        <v>180</v>
      </c>
      <c r="G362" s="3" t="s">
        <v>233</v>
      </c>
      <c r="H362" s="2" t="s">
        <v>62</v>
      </c>
      <c r="I362" s="2" t="s">
        <v>1069</v>
      </c>
      <c r="J362" s="3" t="str">
        <f>HYPERLINK("https://www.boe.es/gazeta/dias/1814/03/24/pdfs/GRE-1814-41.pdf#page=8","Abrir facsímil")</f>
        <v>Abrir facsímil</v>
      </c>
      <c r="K362" s="3" t="s">
        <v>64</v>
      </c>
    </row>
    <row r="363" spans="1:11" ht="42" customHeight="1">
      <c r="A363" s="2" t="s">
        <v>1070</v>
      </c>
      <c r="B363" s="2" t="s">
        <v>1071</v>
      </c>
      <c r="C363" s="2" t="s">
        <v>17</v>
      </c>
      <c r="D363" s="2" t="s">
        <v>18</v>
      </c>
      <c r="E363" s="5">
        <v>-31157</v>
      </c>
      <c r="F363" s="3" t="s">
        <v>206</v>
      </c>
      <c r="G363" s="3" t="s">
        <v>1072</v>
      </c>
      <c r="H363" s="2" t="s">
        <v>62</v>
      </c>
      <c r="I363" s="2" t="s">
        <v>1073</v>
      </c>
      <c r="J363" s="3" t="str">
        <f>HYPERLINK("https://www.boe.es/gazeta/dias/1814/09/10/pdfs/GMD-1814-124.pdf#page=7","Abrir facsímil")</f>
        <v>Abrir facsímil</v>
      </c>
      <c r="K363" s="3" t="s">
        <v>64</v>
      </c>
    </row>
    <row r="364" spans="1:11" ht="42" customHeight="1">
      <c r="A364" s="2" t="s">
        <v>1074</v>
      </c>
      <c r="B364" s="2" t="s">
        <v>1074</v>
      </c>
      <c r="C364" s="2" t="s">
        <v>38</v>
      </c>
      <c r="D364" s="2" t="s">
        <v>314</v>
      </c>
      <c r="E364" s="5">
        <v>-31296</v>
      </c>
      <c r="F364" s="3" t="s">
        <v>315</v>
      </c>
      <c r="G364" s="3" t="s">
        <v>41</v>
      </c>
      <c r="H364" s="2" t="s">
        <v>62</v>
      </c>
      <c r="I364" s="2" t="s">
        <v>1075</v>
      </c>
      <c r="J364" s="3" t="str">
        <f>HYPERLINK("https://www.boe.es/gazeta/dias/1814/04/24/pdfs/GRE-1814-60E.pdf#page=4","Abrir facsímil")</f>
        <v>Abrir facsímil</v>
      </c>
      <c r="K364" s="3" t="s">
        <v>64</v>
      </c>
    </row>
    <row r="365" spans="1:11" ht="42" customHeight="1">
      <c r="A365" s="2" t="s">
        <v>1076</v>
      </c>
      <c r="B365" s="2" t="s">
        <v>1077</v>
      </c>
      <c r="C365" s="2" t="s">
        <v>38</v>
      </c>
      <c r="D365" s="2" t="s">
        <v>39</v>
      </c>
      <c r="E365" s="5">
        <v>-31124</v>
      </c>
      <c r="F365" s="3" t="s">
        <v>383</v>
      </c>
      <c r="G365" s="3" t="s">
        <v>574</v>
      </c>
      <c r="H365" s="2" t="s">
        <v>62</v>
      </c>
      <c r="I365" s="2" t="s">
        <v>1078</v>
      </c>
      <c r="J365" s="3" t="str">
        <f>HYPERLINK("https://www.boe.es/gazeta/dias/1814/10/13/pdfs/GMD-1814-138.pdf#page=10","Abrir facsímil")</f>
        <v>Abrir facsímil</v>
      </c>
      <c r="K365" s="3" t="s">
        <v>64</v>
      </c>
    </row>
    <row r="366" spans="1:11" ht="42" customHeight="1">
      <c r="A366" s="2" t="s">
        <v>1079</v>
      </c>
      <c r="B366" s="2" t="s">
        <v>1080</v>
      </c>
      <c r="C366" s="2" t="s">
        <v>45</v>
      </c>
      <c r="D366" s="2" t="s">
        <v>18</v>
      </c>
      <c r="E366" s="5">
        <v>-31157</v>
      </c>
      <c r="F366" s="3" t="s">
        <v>206</v>
      </c>
      <c r="G366" s="3" t="s">
        <v>52</v>
      </c>
      <c r="H366" s="2" t="s">
        <v>62</v>
      </c>
      <c r="I366" s="2" t="s">
        <v>1081</v>
      </c>
      <c r="J366" s="3" t="str">
        <f>HYPERLINK("https://www.boe.es/gazeta/dias/1814/09/10/pdfs/GMD-1814-124.pdf#page=8","Abrir facsímil")</f>
        <v>Abrir facsímil</v>
      </c>
      <c r="K366" s="3" t="s">
        <v>64</v>
      </c>
    </row>
    <row r="367" spans="1:11" ht="42" customHeight="1">
      <c r="A367" s="2" t="s">
        <v>1082</v>
      </c>
      <c r="B367" s="2" t="s">
        <v>1083</v>
      </c>
      <c r="C367" s="2" t="s">
        <v>17</v>
      </c>
      <c r="D367" s="2" t="s">
        <v>18</v>
      </c>
      <c r="E367" s="5">
        <v>-31250</v>
      </c>
      <c r="F367" s="3" t="s">
        <v>177</v>
      </c>
      <c r="G367" s="3" t="s">
        <v>52</v>
      </c>
      <c r="H367" s="2" t="s">
        <v>62</v>
      </c>
      <c r="I367" s="2" t="s">
        <v>1084</v>
      </c>
      <c r="J367" s="3" t="str">
        <f>HYPERLINK("https://www.boe.es/gazeta/dias/1814/06/09/pdfs/GMD-1814-83.pdf#page=8","Abrir facsímil")</f>
        <v>Abrir facsímil</v>
      </c>
      <c r="K367" s="3" t="s">
        <v>64</v>
      </c>
    </row>
    <row r="368" spans="1:11" ht="42" customHeight="1">
      <c r="A368" s="2" t="s">
        <v>1085</v>
      </c>
      <c r="B368" s="2" t="s">
        <v>1086</v>
      </c>
      <c r="C368" s="2" t="s">
        <v>26</v>
      </c>
      <c r="D368" s="2" t="s">
        <v>27</v>
      </c>
      <c r="E368" s="5">
        <v>-31222</v>
      </c>
      <c r="F368" s="3" t="s">
        <v>153</v>
      </c>
      <c r="G368" s="3" t="s">
        <v>20</v>
      </c>
      <c r="H368" s="2" t="s">
        <v>62</v>
      </c>
      <c r="I368" s="2" t="s">
        <v>1087</v>
      </c>
      <c r="J368" s="3" t="str">
        <f>HYPERLINK("https://www.boe.es/gazeta/dias/1814/07/07/pdfs/GMD-1814-95.pdf#page=7","Abrir facsímil")</f>
        <v>Abrir facsímil</v>
      </c>
      <c r="K368" s="3" t="s">
        <v>64</v>
      </c>
    </row>
    <row r="369" spans="1:11" ht="42" customHeight="1">
      <c r="A369" s="2" t="s">
        <v>1088</v>
      </c>
      <c r="B369" s="2" t="s">
        <v>1089</v>
      </c>
      <c r="C369" s="2" t="s">
        <v>38</v>
      </c>
      <c r="D369" s="2" t="s">
        <v>39</v>
      </c>
      <c r="E369" s="5">
        <v>-31250</v>
      </c>
      <c r="F369" s="3" t="s">
        <v>177</v>
      </c>
      <c r="G369" s="3" t="s">
        <v>52</v>
      </c>
      <c r="H369" s="2" t="s">
        <v>62</v>
      </c>
      <c r="I369" s="2" t="s">
        <v>1090</v>
      </c>
      <c r="J369" s="3" t="str">
        <f>HYPERLINK("https://www.boe.es/gazeta/dias/1814/06/09/pdfs/GMD-1814-83.pdf#page=8","Abrir facsímil")</f>
        <v>Abrir facsímil</v>
      </c>
      <c r="K369" s="3" t="s">
        <v>64</v>
      </c>
    </row>
    <row r="370" spans="1:11" ht="42" customHeight="1">
      <c r="A370" s="2" t="s">
        <v>1091</v>
      </c>
      <c r="B370" s="2" t="s">
        <v>1092</v>
      </c>
      <c r="C370" s="2" t="s">
        <v>38</v>
      </c>
      <c r="D370" s="2" t="s">
        <v>39</v>
      </c>
      <c r="E370" s="5">
        <v>-31196</v>
      </c>
      <c r="F370" s="3" t="s">
        <v>828</v>
      </c>
      <c r="G370" s="3" t="s">
        <v>52</v>
      </c>
      <c r="H370" s="2" t="s">
        <v>62</v>
      </c>
      <c r="I370" s="2" t="s">
        <v>1093</v>
      </c>
      <c r="J370" s="3" t="str">
        <f>HYPERLINK("https://www.boe.es/gazeta/dias/1814/08/02/pdfs/GMD-1814-106.pdf#page=8","Abrir facsímil")</f>
        <v>Abrir facsímil</v>
      </c>
      <c r="K370" s="3" t="s">
        <v>64</v>
      </c>
    </row>
    <row r="371" spans="1:11" ht="42" customHeight="1">
      <c r="A371" s="2" t="s">
        <v>1094</v>
      </c>
      <c r="B371" s="2" t="s">
        <v>1094</v>
      </c>
      <c r="C371" s="2" t="s">
        <v>38</v>
      </c>
      <c r="D371" s="2" t="s">
        <v>39</v>
      </c>
      <c r="E371" s="5">
        <v>-31047</v>
      </c>
      <c r="F371" s="3" t="s">
        <v>815</v>
      </c>
      <c r="G371" s="3" t="s">
        <v>1095</v>
      </c>
      <c r="H371" s="2" t="s">
        <v>62</v>
      </c>
      <c r="I371" s="2" t="s">
        <v>1096</v>
      </c>
      <c r="J371" s="3" t="str">
        <f>HYPERLINK("https://www.boe.es/gazeta/dias/1814/12/29/pdfs/GMD-1814-172.pdf#page=4","Abrir facsímil")</f>
        <v>Abrir facsímil</v>
      </c>
      <c r="K371" s="3" t="s">
        <v>64</v>
      </c>
    </row>
    <row r="372" spans="1:11" ht="42" customHeight="1">
      <c r="A372" s="2" t="s">
        <v>1097</v>
      </c>
      <c r="B372" s="2" t="s">
        <v>1098</v>
      </c>
      <c r="C372" s="2" t="s">
        <v>38</v>
      </c>
      <c r="D372" s="2" t="s">
        <v>39</v>
      </c>
      <c r="E372" s="5">
        <v>-31215</v>
      </c>
      <c r="F372" s="3" t="s">
        <v>372</v>
      </c>
      <c r="G372" s="3" t="s">
        <v>99</v>
      </c>
      <c r="H372" s="2" t="s">
        <v>62</v>
      </c>
      <c r="I372" s="2" t="s">
        <v>1099</v>
      </c>
      <c r="J372" s="3" t="str">
        <f>HYPERLINK("https://www.boe.es/gazeta/dias/1814/07/14/pdfs/GMD-1814-98.pdf#page=5","Abrir facsímil")</f>
        <v>Abrir facsímil</v>
      </c>
      <c r="K372" s="3" t="s">
        <v>64</v>
      </c>
    </row>
    <row r="373" spans="1:11" ht="42" customHeight="1">
      <c r="A373" s="2" t="s">
        <v>1097</v>
      </c>
      <c r="B373" s="2" t="s">
        <v>1098</v>
      </c>
      <c r="C373" s="2" t="s">
        <v>144</v>
      </c>
      <c r="D373" s="2" t="s">
        <v>18</v>
      </c>
      <c r="E373" s="5">
        <v>-31049</v>
      </c>
      <c r="F373" s="3" t="s">
        <v>542</v>
      </c>
      <c r="G373" s="3" t="s">
        <v>87</v>
      </c>
      <c r="H373" s="2" t="s">
        <v>62</v>
      </c>
      <c r="I373" s="2" t="s">
        <v>1100</v>
      </c>
      <c r="J373" s="3" t="str">
        <f>HYPERLINK("https://www.boe.es/gazeta/dias/1814/12/27/pdfs/GMD-1814-171.pdf#page=2","Abrir facsímil")</f>
        <v>Abrir facsímil</v>
      </c>
      <c r="K373" s="3" t="s">
        <v>64</v>
      </c>
    </row>
    <row r="374" spans="1:11" ht="42" customHeight="1">
      <c r="A374" s="2" t="s">
        <v>1097</v>
      </c>
      <c r="B374" s="2" t="s">
        <v>1098</v>
      </c>
      <c r="C374" s="2" t="s">
        <v>38</v>
      </c>
      <c r="D374" s="2" t="s">
        <v>39</v>
      </c>
      <c r="E374" s="5">
        <v>-31047</v>
      </c>
      <c r="F374" s="3" t="s">
        <v>815</v>
      </c>
      <c r="G374" s="3" t="s">
        <v>87</v>
      </c>
      <c r="H374" s="2" t="s">
        <v>62</v>
      </c>
      <c r="I374" s="2" t="s">
        <v>1101</v>
      </c>
      <c r="J374" s="3" t="str">
        <f>HYPERLINK("https://www.boe.es/gazeta/dias/1814/12/29/pdfs/GMD-1814-172.pdf#page=2","Abrir facsímil")</f>
        <v>Abrir facsímil</v>
      </c>
      <c r="K374" s="3" t="s">
        <v>64</v>
      </c>
    </row>
    <row r="375" spans="1:11" ht="42" customHeight="1">
      <c r="A375" s="2" t="s">
        <v>1102</v>
      </c>
      <c r="B375" s="2" t="s">
        <v>1103</v>
      </c>
      <c r="C375" s="2" t="s">
        <v>38</v>
      </c>
      <c r="D375" s="2" t="s">
        <v>39</v>
      </c>
      <c r="E375" s="5">
        <v>-31320</v>
      </c>
      <c r="F375" s="3" t="s">
        <v>40</v>
      </c>
      <c r="G375" s="3" t="s">
        <v>82</v>
      </c>
      <c r="H375" s="2" t="s">
        <v>62</v>
      </c>
      <c r="I375" s="2" t="s">
        <v>1104</v>
      </c>
      <c r="J375" s="3" t="str">
        <f>HYPERLINK("https://www.boe.es/gazeta/dias/1814/03/31/pdfs/GRE-1814-46.pdf#page=3","Abrir facsímil")</f>
        <v>Abrir facsímil</v>
      </c>
      <c r="K375" s="3" t="s">
        <v>64</v>
      </c>
    </row>
    <row r="376" spans="1:11" ht="42" customHeight="1">
      <c r="A376" s="2" t="s">
        <v>1105</v>
      </c>
      <c r="B376" s="2" t="s">
        <v>1105</v>
      </c>
      <c r="C376" s="2" t="s">
        <v>45</v>
      </c>
      <c r="D376" s="2" t="s">
        <v>18</v>
      </c>
      <c r="E376" s="5">
        <v>-31133</v>
      </c>
      <c r="F376" s="3" t="s">
        <v>184</v>
      </c>
      <c r="G376" s="3" t="s">
        <v>87</v>
      </c>
      <c r="H376" s="2" t="s">
        <v>62</v>
      </c>
      <c r="I376" s="2" t="s">
        <v>1106</v>
      </c>
      <c r="J376" s="3" t="str">
        <f>HYPERLINK("https://www.boe.es/gazeta/dias/1814/10/04/pdfs/GMD-1814-134.pdf#page=2","Abrir facsímil")</f>
        <v>Abrir facsímil</v>
      </c>
      <c r="K376" s="3" t="s">
        <v>64</v>
      </c>
    </row>
    <row r="377" spans="1:11" ht="42" customHeight="1">
      <c r="A377" s="2" t="s">
        <v>1107</v>
      </c>
      <c r="B377" s="2" t="s">
        <v>1108</v>
      </c>
      <c r="C377" s="2" t="s">
        <v>26</v>
      </c>
      <c r="D377" s="2" t="s">
        <v>27</v>
      </c>
      <c r="E377" s="5">
        <v>-31129</v>
      </c>
      <c r="F377" s="3" t="s">
        <v>418</v>
      </c>
      <c r="G377" s="3" t="s">
        <v>41</v>
      </c>
      <c r="H377" s="2" t="s">
        <v>21</v>
      </c>
      <c r="I377" s="2" t="s">
        <v>1109</v>
      </c>
      <c r="J377" s="3" t="str">
        <f>HYPERLINK("https://www.boe.es/gazeta/dias/1814/10/08/pdfs/GMD-1814-136.pdf#page=4","Abrir facsímil")</f>
        <v>Abrir facsímil</v>
      </c>
      <c r="K377" s="3" t="s">
        <v>23</v>
      </c>
    </row>
    <row r="378" spans="1:11" ht="42" customHeight="1">
      <c r="A378" s="2" t="s">
        <v>1110</v>
      </c>
      <c r="B378" s="2" t="s">
        <v>1111</v>
      </c>
      <c r="C378" s="2" t="s">
        <v>38</v>
      </c>
      <c r="D378" s="2" t="s">
        <v>39</v>
      </c>
      <c r="E378" s="5">
        <v>-31147</v>
      </c>
      <c r="F378" s="3" t="s">
        <v>86</v>
      </c>
      <c r="G378" s="3" t="s">
        <v>322</v>
      </c>
      <c r="H378" s="2" t="s">
        <v>62</v>
      </c>
      <c r="I378" s="2" t="s">
        <v>1112</v>
      </c>
      <c r="J378" s="3" t="str">
        <f>HYPERLINK("https://www.boe.es/gazeta/dias/1814/09/20/pdfs/GMD-1814-128.pdf#page=12","Abrir facsímil")</f>
        <v>Abrir facsímil</v>
      </c>
      <c r="K378" s="3" t="s">
        <v>64</v>
      </c>
    </row>
    <row r="379" spans="1:11" ht="42" customHeight="1">
      <c r="A379" s="2" t="s">
        <v>1113</v>
      </c>
      <c r="B379" s="2" t="s">
        <v>1114</v>
      </c>
      <c r="C379" s="2" t="s">
        <v>38</v>
      </c>
      <c r="D379" s="2" t="s">
        <v>39</v>
      </c>
      <c r="E379" s="5">
        <v>-31290</v>
      </c>
      <c r="F379" s="3" t="s">
        <v>488</v>
      </c>
      <c r="G379" s="3" t="s">
        <v>52</v>
      </c>
      <c r="H379" s="2" t="s">
        <v>62</v>
      </c>
      <c r="I379" s="2" t="s">
        <v>1115</v>
      </c>
      <c r="J379" s="3" t="str">
        <f>HYPERLINK("https://www.boe.es/gazeta/dias/1814/04/30/pdfs/GRE-1814-64.pdf#page=8","Abrir facsímil")</f>
        <v>Abrir facsímil</v>
      </c>
      <c r="K379" s="3" t="s">
        <v>64</v>
      </c>
    </row>
    <row r="380" spans="1:11" ht="42" customHeight="1">
      <c r="A380" s="2" t="s">
        <v>1116</v>
      </c>
      <c r="B380" s="2" t="s">
        <v>1116</v>
      </c>
      <c r="C380" s="2" t="s">
        <v>38</v>
      </c>
      <c r="D380" s="2" t="s">
        <v>39</v>
      </c>
      <c r="E380" s="5">
        <v>-31383</v>
      </c>
      <c r="F380" s="3" t="s">
        <v>715</v>
      </c>
      <c r="G380" s="3" t="s">
        <v>1117</v>
      </c>
      <c r="H380" s="2" t="s">
        <v>62</v>
      </c>
      <c r="I380" s="2" t="s">
        <v>1118</v>
      </c>
      <c r="J380" s="3" t="str">
        <f>HYPERLINK("https://www.boe.es/gazeta/dias/1814/01/27/pdfs/GRE-1814-13.pdf#page=3","Abrir facsímil")</f>
        <v>Abrir facsímil</v>
      </c>
      <c r="K380" s="3" t="s">
        <v>64</v>
      </c>
    </row>
    <row r="381" spans="1:11" ht="42" customHeight="1">
      <c r="A381" s="2" t="s">
        <v>1119</v>
      </c>
      <c r="B381" s="2" t="s">
        <v>1120</v>
      </c>
      <c r="C381" s="2" t="s">
        <v>26</v>
      </c>
      <c r="D381" s="2" t="s">
        <v>27</v>
      </c>
      <c r="E381" s="5">
        <v>-31171</v>
      </c>
      <c r="F381" s="3" t="s">
        <v>157</v>
      </c>
      <c r="G381" s="3" t="s">
        <v>41</v>
      </c>
      <c r="H381" s="2" t="s">
        <v>62</v>
      </c>
      <c r="I381" s="2" t="s">
        <v>1121</v>
      </c>
      <c r="J381" s="3" t="str">
        <f>HYPERLINK("https://www.boe.es/gazeta/dias/1814/08/27/pdfs/GMD-1814-117.pdf#page=4","Abrir facsímil")</f>
        <v>Abrir facsímil</v>
      </c>
      <c r="K381" s="3" t="s">
        <v>64</v>
      </c>
    </row>
    <row r="382" spans="1:11" ht="42" customHeight="1">
      <c r="A382" s="2" t="s">
        <v>1122</v>
      </c>
      <c r="B382" s="2" t="s">
        <v>1122</v>
      </c>
      <c r="C382" s="2" t="s">
        <v>38</v>
      </c>
      <c r="D382" s="2" t="s">
        <v>39</v>
      </c>
      <c r="E382" s="5">
        <v>-31248</v>
      </c>
      <c r="F382" s="3" t="s">
        <v>1123</v>
      </c>
      <c r="G382" s="3" t="s">
        <v>99</v>
      </c>
      <c r="H382" s="2" t="s">
        <v>62</v>
      </c>
      <c r="I382" s="2" t="s">
        <v>1124</v>
      </c>
      <c r="J382" s="3" t="str">
        <f>HYPERLINK("https://www.boe.es/gazeta/dias/1814/06/11/pdfs/GMD-1814-84.pdf#page=5","Abrir facsímil")</f>
        <v>Abrir facsímil</v>
      </c>
      <c r="K382" s="3" t="s">
        <v>64</v>
      </c>
    </row>
    <row r="383" spans="1:11" ht="42" customHeight="1">
      <c r="A383" s="2" t="s">
        <v>1125</v>
      </c>
      <c r="B383" s="2" t="s">
        <v>1126</v>
      </c>
      <c r="C383" s="2" t="s">
        <v>38</v>
      </c>
      <c r="D383" s="2" t="s">
        <v>39</v>
      </c>
      <c r="E383" s="5">
        <v>-31248</v>
      </c>
      <c r="F383" s="3" t="s">
        <v>1123</v>
      </c>
      <c r="G383" s="3" t="s">
        <v>1127</v>
      </c>
      <c r="H383" s="2" t="s">
        <v>62</v>
      </c>
      <c r="I383" s="2" t="s">
        <v>1128</v>
      </c>
      <c r="J383" s="3" t="str">
        <f>HYPERLINK("https://www.boe.es/gazeta/dias/1814/06/11/pdfs/GMD-1814-84.pdf#page=4","Abrir facsímil")</f>
        <v>Abrir facsímil</v>
      </c>
      <c r="K383" s="3" t="s">
        <v>64</v>
      </c>
    </row>
    <row r="384" spans="1:11" ht="42" customHeight="1">
      <c r="A384" s="2" t="s">
        <v>1129</v>
      </c>
      <c r="B384" s="2" t="s">
        <v>1130</v>
      </c>
      <c r="C384" s="2" t="s">
        <v>38</v>
      </c>
      <c r="D384" s="2" t="s">
        <v>39</v>
      </c>
      <c r="E384" s="5">
        <v>-31290</v>
      </c>
      <c r="F384" s="3" t="s">
        <v>488</v>
      </c>
      <c r="G384" s="3" t="s">
        <v>52</v>
      </c>
      <c r="H384" s="2" t="s">
        <v>62</v>
      </c>
      <c r="I384" s="2" t="s">
        <v>1131</v>
      </c>
      <c r="J384" s="3" t="str">
        <f>HYPERLINK("https://www.boe.es/gazeta/dias/1814/04/30/pdfs/GRE-1814-64.pdf#page=8","Abrir facsímil")</f>
        <v>Abrir facsímil</v>
      </c>
      <c r="K384" s="3" t="s">
        <v>64</v>
      </c>
    </row>
    <row r="385" spans="1:11" ht="42" customHeight="1">
      <c r="A385" s="2" t="s">
        <v>1132</v>
      </c>
      <c r="B385" s="2" t="s">
        <v>1133</v>
      </c>
      <c r="C385" s="2" t="s">
        <v>17</v>
      </c>
      <c r="D385" s="2" t="s">
        <v>314</v>
      </c>
      <c r="E385" s="5">
        <v>-31273</v>
      </c>
      <c r="F385" s="3" t="s">
        <v>1134</v>
      </c>
      <c r="G385" s="3" t="s">
        <v>82</v>
      </c>
      <c r="H385" s="2" t="s">
        <v>62</v>
      </c>
      <c r="I385" s="2" t="s">
        <v>1135</v>
      </c>
      <c r="J385" s="3" t="str">
        <f>HYPERLINK("https://www.boe.es/gazeta/dias/1814/05/17/pdfs/GMD-1814-73E.pdf#page=3","Abrir facsímil")</f>
        <v>Abrir facsímil</v>
      </c>
      <c r="K385" s="3" t="s">
        <v>64</v>
      </c>
    </row>
    <row r="386" spans="1:11" ht="42" customHeight="1">
      <c r="A386" s="2" t="s">
        <v>1136</v>
      </c>
      <c r="B386" s="2" t="s">
        <v>1137</v>
      </c>
      <c r="C386" s="2" t="s">
        <v>17</v>
      </c>
      <c r="D386" s="2" t="s">
        <v>18</v>
      </c>
      <c r="E386" s="5">
        <v>-31147</v>
      </c>
      <c r="F386" s="3" t="s">
        <v>86</v>
      </c>
      <c r="G386" s="3" t="s">
        <v>57</v>
      </c>
      <c r="H386" s="2" t="s">
        <v>62</v>
      </c>
      <c r="I386" s="2" t="s">
        <v>1138</v>
      </c>
      <c r="J386" s="3" t="str">
        <f>HYPERLINK("https://www.boe.es/gazeta/dias/1814/09/20/pdfs/GMD-1814-128.pdf#page=6","Abrir facsímil")</f>
        <v>Abrir facsímil</v>
      </c>
      <c r="K386" s="3" t="s">
        <v>64</v>
      </c>
    </row>
    <row r="387" spans="1:11" ht="42" customHeight="1">
      <c r="A387" s="2" t="s">
        <v>1139</v>
      </c>
      <c r="B387" s="2" t="s">
        <v>1140</v>
      </c>
      <c r="C387" s="2" t="s">
        <v>38</v>
      </c>
      <c r="D387" s="2" t="s">
        <v>39</v>
      </c>
      <c r="E387" s="5">
        <v>-31285</v>
      </c>
      <c r="F387" s="3" t="s">
        <v>1141</v>
      </c>
      <c r="G387" s="3" t="s">
        <v>1142</v>
      </c>
      <c r="H387" s="2" t="s">
        <v>62</v>
      </c>
      <c r="I387" s="2" t="s">
        <v>1143</v>
      </c>
      <c r="J387" s="3" t="str">
        <f>HYPERLINK("https://www.boe.es/gazeta/dias/1814/05/05/pdfs/GRE-1814-66.pdf#page=8","Abrir facsímil")</f>
        <v>Abrir facsímil</v>
      </c>
      <c r="K387" s="3" t="s">
        <v>64</v>
      </c>
    </row>
    <row r="388" spans="1:11" ht="42" customHeight="1">
      <c r="A388" s="2" t="s">
        <v>1139</v>
      </c>
      <c r="B388" s="2" t="s">
        <v>1140</v>
      </c>
      <c r="C388" s="2" t="s">
        <v>32</v>
      </c>
      <c r="D388" s="2" t="s">
        <v>18</v>
      </c>
      <c r="E388" s="5">
        <v>-31227</v>
      </c>
      <c r="F388" s="3" t="s">
        <v>102</v>
      </c>
      <c r="G388" s="3" t="s">
        <v>52</v>
      </c>
      <c r="H388" s="2" t="s">
        <v>62</v>
      </c>
      <c r="I388" s="2" t="s">
        <v>1144</v>
      </c>
      <c r="J388" s="3" t="str">
        <f>HYPERLINK("https://www.boe.es/gazeta/dias/1814/07/02/pdfs/GMD-1814-93.pdf#page=8","Abrir facsímil")</f>
        <v>Abrir facsímil</v>
      </c>
      <c r="K388" s="3" t="s">
        <v>64</v>
      </c>
    </row>
    <row r="389" spans="1:11" ht="42" customHeight="1">
      <c r="A389" s="2" t="s">
        <v>1145</v>
      </c>
      <c r="B389" s="2" t="s">
        <v>1146</v>
      </c>
      <c r="C389" s="2" t="s">
        <v>26</v>
      </c>
      <c r="D389" s="2" t="s">
        <v>27</v>
      </c>
      <c r="E389" s="5">
        <v>-31213</v>
      </c>
      <c r="F389" s="3" t="s">
        <v>276</v>
      </c>
      <c r="G389" s="3" t="s">
        <v>52</v>
      </c>
      <c r="H389" s="2" t="s">
        <v>62</v>
      </c>
      <c r="I389" s="2" t="s">
        <v>1147</v>
      </c>
      <c r="J389" s="3" t="str">
        <f>HYPERLINK("https://www.boe.es/gazeta/dias/1814/07/16/pdfs/GMD-1814-99.pdf#page=8","Abrir facsímil")</f>
        <v>Abrir facsímil</v>
      </c>
      <c r="K389" s="3" t="s">
        <v>64</v>
      </c>
    </row>
    <row r="390" spans="1:11" ht="42" customHeight="1">
      <c r="A390" s="2" t="s">
        <v>1148</v>
      </c>
      <c r="B390" s="2" t="s">
        <v>1149</v>
      </c>
      <c r="C390" s="2" t="s">
        <v>38</v>
      </c>
      <c r="D390" s="2" t="s">
        <v>314</v>
      </c>
      <c r="E390" s="5">
        <v>-31296</v>
      </c>
      <c r="F390" s="3" t="s">
        <v>315</v>
      </c>
      <c r="G390" s="3" t="s">
        <v>52</v>
      </c>
      <c r="H390" s="2" t="s">
        <v>62</v>
      </c>
      <c r="I390" s="2" t="s">
        <v>1150</v>
      </c>
      <c r="J390" s="3" t="str">
        <f>HYPERLINK("https://www.boe.es/gazeta/dias/1814/04/24/pdfs/GRE-1814-60E.pdf#page=8","Abrir facsímil")</f>
        <v>Abrir facsímil</v>
      </c>
      <c r="K390" s="3" t="s">
        <v>64</v>
      </c>
    </row>
    <row r="391" spans="1:11" ht="42" customHeight="1">
      <c r="A391" s="2" t="s">
        <v>1151</v>
      </c>
      <c r="B391" s="2" t="s">
        <v>1152</v>
      </c>
      <c r="C391" s="2" t="s">
        <v>32</v>
      </c>
      <c r="D391" s="2" t="s">
        <v>18</v>
      </c>
      <c r="E391" s="5">
        <v>-31122</v>
      </c>
      <c r="F391" s="3" t="s">
        <v>28</v>
      </c>
      <c r="G391" s="3" t="s">
        <v>52</v>
      </c>
      <c r="H391" s="2" t="s">
        <v>62</v>
      </c>
      <c r="I391" s="2" t="s">
        <v>1153</v>
      </c>
      <c r="J391" s="3" t="str">
        <f>HYPERLINK("https://www.boe.es/gazeta/dias/1814/10/15/pdfs/GMD-1814-139.pdf#page=8","Abrir facsímil")</f>
        <v>Abrir facsímil</v>
      </c>
      <c r="K391" s="3" t="s">
        <v>64</v>
      </c>
    </row>
    <row r="392" spans="1:11" ht="42" customHeight="1">
      <c r="A392" s="2" t="s">
        <v>1154</v>
      </c>
      <c r="B392" s="2" t="s">
        <v>1155</v>
      </c>
      <c r="C392" s="2" t="s">
        <v>32</v>
      </c>
      <c r="D392" s="2" t="s">
        <v>18</v>
      </c>
      <c r="E392" s="5">
        <v>-31091</v>
      </c>
      <c r="F392" s="3" t="s">
        <v>1156</v>
      </c>
      <c r="G392" s="3" t="s">
        <v>52</v>
      </c>
      <c r="H392" s="2" t="s">
        <v>62</v>
      </c>
      <c r="I392" s="2" t="s">
        <v>1157</v>
      </c>
      <c r="J392" s="3" t="str">
        <f>HYPERLINK("https://www.boe.es/gazeta/dias/1814/11/15/pdfs/GMD-1814-152.pdf#page=8","Abrir facsímil")</f>
        <v>Abrir facsímil</v>
      </c>
      <c r="K392" s="3" t="s">
        <v>64</v>
      </c>
    </row>
    <row r="393" spans="1:11" ht="42" customHeight="1">
      <c r="A393" s="2" t="s">
        <v>1158</v>
      </c>
      <c r="B393" s="2" t="s">
        <v>1159</v>
      </c>
      <c r="C393" s="2" t="s">
        <v>17</v>
      </c>
      <c r="D393" s="2" t="s">
        <v>18</v>
      </c>
      <c r="E393" s="5">
        <v>-31115</v>
      </c>
      <c r="F393" s="3" t="s">
        <v>805</v>
      </c>
      <c r="G393" s="3" t="s">
        <v>20</v>
      </c>
      <c r="H393" s="2" t="s">
        <v>62</v>
      </c>
      <c r="I393" s="2" t="s">
        <v>1160</v>
      </c>
      <c r="J393" s="3" t="str">
        <f>HYPERLINK("https://www.boe.es/gazeta/dias/1814/10/22/pdfs/GMD-1814-142.pdf#page=7","Abrir facsímil")</f>
        <v>Abrir facsímil</v>
      </c>
      <c r="K393" s="3" t="s">
        <v>64</v>
      </c>
    </row>
    <row r="394" spans="1:11" ht="42" customHeight="1">
      <c r="A394" s="2" t="s">
        <v>1161</v>
      </c>
      <c r="B394" s="2" t="s">
        <v>1162</v>
      </c>
      <c r="C394" s="2" t="s">
        <v>26</v>
      </c>
      <c r="D394" s="2" t="s">
        <v>27</v>
      </c>
      <c r="E394" s="5">
        <v>-31173</v>
      </c>
      <c r="F394" s="3" t="s">
        <v>46</v>
      </c>
      <c r="G394" s="3" t="s">
        <v>52</v>
      </c>
      <c r="H394" s="2" t="s">
        <v>62</v>
      </c>
      <c r="I394" s="2" t="s">
        <v>1163</v>
      </c>
      <c r="J394" s="3" t="str">
        <f>HYPERLINK("https://www.boe.es/gazeta/dias/1814/08/25/pdfs/GMD-1814-116.pdf#page=8","Abrir facsímil")</f>
        <v>Abrir facsímil</v>
      </c>
      <c r="K394" s="3" t="s">
        <v>64</v>
      </c>
    </row>
    <row r="395" spans="1:11" ht="42" customHeight="1">
      <c r="A395" s="2" t="s">
        <v>1164</v>
      </c>
      <c r="B395" s="2" t="s">
        <v>1165</v>
      </c>
      <c r="C395" s="2" t="s">
        <v>26</v>
      </c>
      <c r="D395" s="2" t="s">
        <v>27</v>
      </c>
      <c r="E395" s="5">
        <v>-31129</v>
      </c>
      <c r="F395" s="3" t="s">
        <v>418</v>
      </c>
      <c r="G395" s="3" t="s">
        <v>20</v>
      </c>
      <c r="H395" s="2" t="s">
        <v>62</v>
      </c>
      <c r="I395" s="2" t="s">
        <v>1166</v>
      </c>
      <c r="J395" s="3" t="str">
        <f>HYPERLINK("https://www.boe.es/gazeta/dias/1814/10/08/pdfs/GMD-1814-136.pdf#page=7","Abrir facsímil")</f>
        <v>Abrir facsímil</v>
      </c>
      <c r="K395" s="3" t="s">
        <v>64</v>
      </c>
    </row>
    <row r="396" spans="1:11" ht="42" customHeight="1">
      <c r="A396" s="2" t="s">
        <v>1167</v>
      </c>
      <c r="B396" s="2" t="s">
        <v>1168</v>
      </c>
      <c r="C396" s="2" t="s">
        <v>38</v>
      </c>
      <c r="D396" s="2" t="s">
        <v>39</v>
      </c>
      <c r="E396" s="5">
        <v>-31353</v>
      </c>
      <c r="F396" s="3" t="s">
        <v>247</v>
      </c>
      <c r="G396" s="3" t="s">
        <v>57</v>
      </c>
      <c r="H396" s="2" t="s">
        <v>62</v>
      </c>
      <c r="I396" s="2" t="s">
        <v>1169</v>
      </c>
      <c r="J396" s="3" t="str">
        <f>HYPERLINK("https://www.boe.es/gazeta/dias/1814/02/26/pdfs/GRE-1814-27.pdf#page=6","Abrir facsímil")</f>
        <v>Abrir facsímil</v>
      </c>
      <c r="K396" s="3" t="s">
        <v>64</v>
      </c>
    </row>
    <row r="397" spans="1:11" ht="42" customHeight="1">
      <c r="A397" s="2" t="s">
        <v>1170</v>
      </c>
      <c r="B397" s="2" t="s">
        <v>1171</v>
      </c>
      <c r="C397" s="2" t="s">
        <v>105</v>
      </c>
      <c r="D397" s="2" t="s">
        <v>18</v>
      </c>
      <c r="E397" s="5">
        <v>-31364</v>
      </c>
      <c r="F397" s="3" t="s">
        <v>594</v>
      </c>
      <c r="G397" s="3" t="s">
        <v>52</v>
      </c>
      <c r="H397" s="2" t="s">
        <v>62</v>
      </c>
      <c r="I397" s="2" t="s">
        <v>1172</v>
      </c>
      <c r="J397" s="3" t="str">
        <f>HYPERLINK("https://www.boe.es/gazeta/dias/1814/02/15/pdfs/GRE-1814-21.pdf#page=8","Abrir facsímil")</f>
        <v>Abrir facsímil</v>
      </c>
      <c r="K397" s="3" t="s">
        <v>64</v>
      </c>
    </row>
    <row r="398" spans="1:11" ht="42" customHeight="1">
      <c r="A398" s="2" t="s">
        <v>1173</v>
      </c>
      <c r="B398" s="2" t="s">
        <v>1174</v>
      </c>
      <c r="C398" s="2" t="s">
        <v>17</v>
      </c>
      <c r="D398" s="2" t="s">
        <v>18</v>
      </c>
      <c r="E398" s="5">
        <v>-31159</v>
      </c>
      <c r="F398" s="3" t="s">
        <v>1175</v>
      </c>
      <c r="G398" s="3" t="s">
        <v>52</v>
      </c>
      <c r="H398" s="2" t="s">
        <v>21</v>
      </c>
      <c r="I398" s="2" t="s">
        <v>1176</v>
      </c>
      <c r="J398" s="3" t="str">
        <f>HYPERLINK("https://www.boe.es/gazeta/dias/1814/09/08/pdfs/GMD-1814-123.pdf#page=8","Abrir facsímil")</f>
        <v>Abrir facsímil</v>
      </c>
      <c r="K398" s="3" t="s">
        <v>23</v>
      </c>
    </row>
    <row r="399" spans="1:11" ht="42" customHeight="1">
      <c r="A399" s="2" t="s">
        <v>1177</v>
      </c>
      <c r="B399" s="2" t="s">
        <v>1178</v>
      </c>
      <c r="C399" s="2" t="s">
        <v>17</v>
      </c>
      <c r="D399" s="2" t="s">
        <v>18</v>
      </c>
      <c r="E399" s="5">
        <v>-31119</v>
      </c>
      <c r="F399" s="3" t="s">
        <v>136</v>
      </c>
      <c r="G399" s="3" t="s">
        <v>137</v>
      </c>
      <c r="H399" s="2" t="s">
        <v>62</v>
      </c>
      <c r="I399" s="2" t="s">
        <v>1179</v>
      </c>
      <c r="J399" s="3" t="str">
        <f>HYPERLINK("https://www.boe.es/gazeta/dias/1814/10/18/pdfs/GMD-1814-140.pdf#page=9","Abrir facsímil")</f>
        <v>Abrir facsímil</v>
      </c>
      <c r="K399" s="3" t="s">
        <v>64</v>
      </c>
    </row>
    <row r="400" spans="1:11" ht="42" customHeight="1">
      <c r="A400" s="2" t="s">
        <v>1180</v>
      </c>
      <c r="B400" s="2" t="s">
        <v>1181</v>
      </c>
      <c r="C400" s="2" t="s">
        <v>38</v>
      </c>
      <c r="D400" s="2" t="s">
        <v>39</v>
      </c>
      <c r="E400" s="5">
        <v>-31199</v>
      </c>
      <c r="F400" s="3" t="s">
        <v>453</v>
      </c>
      <c r="G400" s="3" t="s">
        <v>1027</v>
      </c>
      <c r="H400" s="2" t="s">
        <v>62</v>
      </c>
      <c r="I400" s="2" t="s">
        <v>1182</v>
      </c>
      <c r="J400" s="3" t="str">
        <f>HYPERLINK("https://www.boe.es/gazeta/dias/1814/07/30/pdfs/GMD-1814-105.pdf#page=8","Abrir facsímil")</f>
        <v>Abrir facsímil</v>
      </c>
      <c r="K400" s="3" t="s">
        <v>64</v>
      </c>
    </row>
    <row r="401" spans="1:11" ht="42" customHeight="1">
      <c r="A401" s="2" t="s">
        <v>1180</v>
      </c>
      <c r="B401" s="2" t="s">
        <v>1181</v>
      </c>
      <c r="C401" s="2" t="s">
        <v>38</v>
      </c>
      <c r="D401" s="2" t="s">
        <v>39</v>
      </c>
      <c r="E401" s="5">
        <v>-31124</v>
      </c>
      <c r="F401" s="3" t="s">
        <v>383</v>
      </c>
      <c r="G401" s="3" t="s">
        <v>574</v>
      </c>
      <c r="H401" s="2" t="s">
        <v>62</v>
      </c>
      <c r="I401" s="2" t="s">
        <v>1183</v>
      </c>
      <c r="J401" s="3" t="str">
        <f>HYPERLINK("https://www.boe.es/gazeta/dias/1814/10/13/pdfs/GMD-1814-138.pdf#page=10","Abrir facsímil")</f>
        <v>Abrir facsímil</v>
      </c>
      <c r="K401" s="3" t="s">
        <v>64</v>
      </c>
    </row>
    <row r="402" spans="1:11" ht="42" customHeight="1">
      <c r="A402" s="2" t="s">
        <v>1184</v>
      </c>
      <c r="B402" s="2" t="s">
        <v>1185</v>
      </c>
      <c r="C402" s="2" t="s">
        <v>38</v>
      </c>
      <c r="D402" s="2" t="s">
        <v>39</v>
      </c>
      <c r="E402" s="5">
        <v>-31322</v>
      </c>
      <c r="F402" s="3" t="s">
        <v>114</v>
      </c>
      <c r="G402" s="3" t="s">
        <v>52</v>
      </c>
      <c r="H402" s="2" t="s">
        <v>62</v>
      </c>
      <c r="I402" s="2" t="s">
        <v>1186</v>
      </c>
      <c r="J402" s="3" t="str">
        <f>HYPERLINK("https://www.boe.es/gazeta/dias/1814/03/29/pdfs/GRE-1814-44.pdf#page=8","Abrir facsímil")</f>
        <v>Abrir facsímil</v>
      </c>
      <c r="K402" s="3" t="s">
        <v>64</v>
      </c>
    </row>
    <row r="403" spans="1:11" ht="42" customHeight="1">
      <c r="A403" s="2" t="s">
        <v>1187</v>
      </c>
      <c r="B403" s="2" t="s">
        <v>1187</v>
      </c>
      <c r="C403" s="2" t="s">
        <v>26</v>
      </c>
      <c r="D403" s="2" t="s">
        <v>27</v>
      </c>
      <c r="E403" s="5">
        <v>-31264</v>
      </c>
      <c r="F403" s="3" t="s">
        <v>396</v>
      </c>
      <c r="G403" s="3" t="s">
        <v>82</v>
      </c>
      <c r="H403" s="2" t="s">
        <v>62</v>
      </c>
      <c r="I403" s="2" t="s">
        <v>1188</v>
      </c>
      <c r="J403" s="3" t="str">
        <f>HYPERLINK("https://www.boe.es/gazeta/dias/1814/05/26/pdfs/GMD-1814-77.pdf#page=3","Abrir facsímil")</f>
        <v>Abrir facsímil</v>
      </c>
      <c r="K403" s="3" t="s">
        <v>64</v>
      </c>
    </row>
    <row r="404" spans="1:11" ht="42" customHeight="1">
      <c r="A404" s="2" t="s">
        <v>1189</v>
      </c>
      <c r="B404" s="2" t="s">
        <v>1190</v>
      </c>
      <c r="C404" s="2" t="s">
        <v>38</v>
      </c>
      <c r="D404" s="2" t="s">
        <v>39</v>
      </c>
      <c r="E404" s="5">
        <v>-31348</v>
      </c>
      <c r="F404" s="3" t="s">
        <v>898</v>
      </c>
      <c r="G404" s="3" t="s">
        <v>41</v>
      </c>
      <c r="H404" s="2" t="s">
        <v>62</v>
      </c>
      <c r="I404" s="2" t="s">
        <v>1191</v>
      </c>
      <c r="J404" s="3" t="str">
        <f>HYPERLINK("https://www.boe.es/gazeta/dias/1814/03/03/pdfs/GRE-1814-29.pdf#page=4","Abrir facsímil")</f>
        <v>Abrir facsímil</v>
      </c>
      <c r="K404" s="3" t="s">
        <v>64</v>
      </c>
    </row>
    <row r="405" spans="1:11" ht="42" customHeight="1">
      <c r="A405" s="2" t="s">
        <v>1192</v>
      </c>
      <c r="B405" s="2" t="s">
        <v>1192</v>
      </c>
      <c r="C405" s="2" t="s">
        <v>32</v>
      </c>
      <c r="D405" s="2" t="s">
        <v>18</v>
      </c>
      <c r="E405" s="5">
        <v>-31054</v>
      </c>
      <c r="F405" s="3" t="s">
        <v>952</v>
      </c>
      <c r="G405" s="3" t="s">
        <v>41</v>
      </c>
      <c r="H405" s="2" t="s">
        <v>62</v>
      </c>
      <c r="I405" s="2" t="s">
        <v>1193</v>
      </c>
      <c r="J405" s="3" t="str">
        <f>HYPERLINK("https://www.boe.es/gazeta/dias/1814/12/22/pdfs/GMD-1814-169.pdf#page=4","Abrir facsímil")</f>
        <v>Abrir facsímil</v>
      </c>
      <c r="K405" s="3" t="s">
        <v>64</v>
      </c>
    </row>
    <row r="406" spans="1:11" ht="42" customHeight="1">
      <c r="A406" s="2" t="s">
        <v>1194</v>
      </c>
      <c r="B406" s="2" t="s">
        <v>1195</v>
      </c>
      <c r="C406" s="2" t="s">
        <v>32</v>
      </c>
      <c r="D406" s="2" t="s">
        <v>18</v>
      </c>
      <c r="E406" s="5">
        <v>-31206</v>
      </c>
      <c r="F406" s="3" t="s">
        <v>1196</v>
      </c>
      <c r="G406" s="3" t="s">
        <v>20</v>
      </c>
      <c r="H406" s="2" t="s">
        <v>62</v>
      </c>
      <c r="I406" s="2" t="s">
        <v>1197</v>
      </c>
      <c r="J406" s="3" t="str">
        <f>HYPERLINK("https://www.boe.es/gazeta/dias/1814/07/23/pdfs/GMD-1814-102.pdf#page=7","Abrir facsímil")</f>
        <v>Abrir facsímil</v>
      </c>
      <c r="K406" s="3" t="s">
        <v>64</v>
      </c>
    </row>
    <row r="407" spans="1:11" ht="42" customHeight="1">
      <c r="A407" s="2" t="s">
        <v>1198</v>
      </c>
      <c r="B407" s="2" t="s">
        <v>1199</v>
      </c>
      <c r="C407" s="2" t="s">
        <v>38</v>
      </c>
      <c r="D407" s="2" t="s">
        <v>314</v>
      </c>
      <c r="E407" s="5">
        <v>-31296</v>
      </c>
      <c r="F407" s="3" t="s">
        <v>315</v>
      </c>
      <c r="G407" s="3" t="s">
        <v>52</v>
      </c>
      <c r="H407" s="2" t="s">
        <v>62</v>
      </c>
      <c r="I407" s="2" t="s">
        <v>1200</v>
      </c>
      <c r="J407" s="3" t="str">
        <f>HYPERLINK("https://www.boe.es/gazeta/dias/1814/04/24/pdfs/GRE-1814-60E.pdf#page=8","Abrir facsímil")</f>
        <v>Abrir facsímil</v>
      </c>
      <c r="K407" s="3" t="s">
        <v>64</v>
      </c>
    </row>
    <row r="408" spans="1:11" ht="42" customHeight="1">
      <c r="A408" s="2" t="s">
        <v>1201</v>
      </c>
      <c r="B408" s="2" t="s">
        <v>1202</v>
      </c>
      <c r="C408" s="2" t="s">
        <v>38</v>
      </c>
      <c r="D408" s="2" t="s">
        <v>39</v>
      </c>
      <c r="E408" s="5">
        <v>-31194</v>
      </c>
      <c r="F408" s="3" t="s">
        <v>333</v>
      </c>
      <c r="G408" s="3" t="s">
        <v>57</v>
      </c>
      <c r="H408" s="2" t="s">
        <v>62</v>
      </c>
      <c r="I408" s="2" t="s">
        <v>1203</v>
      </c>
      <c r="J408" s="3" t="str">
        <f>HYPERLINK("https://www.boe.es/gazeta/dias/1814/08/04/pdfs/GMD-1814-107.pdf#page=6","Abrir facsímil")</f>
        <v>Abrir facsímil</v>
      </c>
      <c r="K408" s="3" t="s">
        <v>64</v>
      </c>
    </row>
    <row r="409" spans="1:11" ht="42" customHeight="1">
      <c r="A409" s="2" t="s">
        <v>1204</v>
      </c>
      <c r="B409" s="2" t="s">
        <v>1205</v>
      </c>
      <c r="C409" s="2" t="s">
        <v>38</v>
      </c>
      <c r="D409" s="2" t="s">
        <v>39</v>
      </c>
      <c r="E409" s="5">
        <v>-31094</v>
      </c>
      <c r="F409" s="3" t="s">
        <v>761</v>
      </c>
      <c r="G409" s="3" t="s">
        <v>20</v>
      </c>
      <c r="H409" s="2" t="s">
        <v>62</v>
      </c>
      <c r="I409" s="2" t="s">
        <v>1206</v>
      </c>
      <c r="J409" s="3" t="str">
        <f>HYPERLINK("https://www.boe.es/gazeta/dias/1814/11/12/pdfs/GMD-1814-151.pdf#page=7","Abrir facsímil")</f>
        <v>Abrir facsímil</v>
      </c>
      <c r="K409" s="3" t="s">
        <v>64</v>
      </c>
    </row>
    <row r="410" spans="1:11" ht="42" customHeight="1">
      <c r="A410" s="2" t="s">
        <v>1207</v>
      </c>
      <c r="B410" s="2" t="s">
        <v>1208</v>
      </c>
      <c r="C410" s="2" t="s">
        <v>17</v>
      </c>
      <c r="D410" s="2" t="s">
        <v>18</v>
      </c>
      <c r="E410" s="5">
        <v>-31133</v>
      </c>
      <c r="F410" s="3" t="s">
        <v>184</v>
      </c>
      <c r="G410" s="3" t="s">
        <v>20</v>
      </c>
      <c r="H410" s="2" t="s">
        <v>62</v>
      </c>
      <c r="I410" s="2" t="s">
        <v>1209</v>
      </c>
      <c r="J410" s="3" t="str">
        <f>HYPERLINK("https://www.boe.es/gazeta/dias/1814/10/04/pdfs/GMD-1814-134.pdf#page=7","Abrir facsímil")</f>
        <v>Abrir facsímil</v>
      </c>
      <c r="K410" s="3" t="s">
        <v>64</v>
      </c>
    </row>
    <row r="411" spans="1:11" ht="42" customHeight="1">
      <c r="A411" s="2" t="s">
        <v>1210</v>
      </c>
      <c r="B411" s="2" t="s">
        <v>1211</v>
      </c>
      <c r="C411" s="2" t="s">
        <v>26</v>
      </c>
      <c r="D411" s="2" t="s">
        <v>27</v>
      </c>
      <c r="E411" s="5">
        <v>-31236</v>
      </c>
      <c r="F411" s="3" t="s">
        <v>33</v>
      </c>
      <c r="G411" s="3" t="s">
        <v>34</v>
      </c>
      <c r="H411" s="2" t="s">
        <v>62</v>
      </c>
      <c r="I411" s="2" t="s">
        <v>1212</v>
      </c>
      <c r="J411" s="3" t="str">
        <f>HYPERLINK("https://www.boe.es/gazeta/dias/1814/06/23/pdfs/GMD-1814-89.pdf#page=6","Abrir facsímil")</f>
        <v>Abrir facsímil</v>
      </c>
      <c r="K411" s="3" t="s">
        <v>64</v>
      </c>
    </row>
    <row r="412" spans="1:11" ht="42" customHeight="1">
      <c r="A412" s="2" t="s">
        <v>1213</v>
      </c>
      <c r="B412" s="2" t="s">
        <v>1214</v>
      </c>
      <c r="C412" s="2" t="s">
        <v>38</v>
      </c>
      <c r="D412" s="2" t="s">
        <v>39</v>
      </c>
      <c r="E412" s="5">
        <v>-31285</v>
      </c>
      <c r="F412" s="3" t="s">
        <v>1141</v>
      </c>
      <c r="G412" s="3" t="s">
        <v>99</v>
      </c>
      <c r="H412" s="2" t="s">
        <v>62</v>
      </c>
      <c r="I412" s="2" t="s">
        <v>1215</v>
      </c>
      <c r="J412" s="3" t="str">
        <f>HYPERLINK("https://www.boe.es/gazeta/dias/1814/05/05/pdfs/GRE-1814-66.pdf#page=5","Abrir facsímil")</f>
        <v>Abrir facsímil</v>
      </c>
      <c r="K412" s="3" t="s">
        <v>64</v>
      </c>
    </row>
    <row r="413" spans="1:11" ht="42" customHeight="1">
      <c r="A413" s="2" t="s">
        <v>1216</v>
      </c>
      <c r="B413" s="2" t="s">
        <v>1217</v>
      </c>
      <c r="C413" s="2" t="s">
        <v>144</v>
      </c>
      <c r="D413" s="2" t="s">
        <v>18</v>
      </c>
      <c r="E413" s="5">
        <v>-31075</v>
      </c>
      <c r="F413" s="3" t="s">
        <v>537</v>
      </c>
      <c r="G413" s="3" t="s">
        <v>52</v>
      </c>
      <c r="H413" s="2" t="s">
        <v>62</v>
      </c>
      <c r="I413" s="2" t="s">
        <v>1218</v>
      </c>
      <c r="J413" s="3" t="str">
        <f>HYPERLINK("https://www.boe.es/gazeta/dias/1814/12/01/pdfs/GMD-1814-159.pdf#page=8","Abrir facsímil")</f>
        <v>Abrir facsímil</v>
      </c>
      <c r="K413" s="3" t="s">
        <v>64</v>
      </c>
    </row>
    <row r="414" spans="1:11" ht="42" customHeight="1">
      <c r="A414" s="2" t="s">
        <v>1219</v>
      </c>
      <c r="B414" s="2" t="s">
        <v>1219</v>
      </c>
      <c r="C414" s="2" t="s">
        <v>38</v>
      </c>
      <c r="D414" s="2" t="s">
        <v>39</v>
      </c>
      <c r="E414" s="5">
        <v>-31404</v>
      </c>
      <c r="F414" s="3" t="s">
        <v>630</v>
      </c>
      <c r="G414" s="3" t="s">
        <v>57</v>
      </c>
      <c r="H414" s="2" t="s">
        <v>62</v>
      </c>
      <c r="I414" s="2" t="s">
        <v>1220</v>
      </c>
      <c r="J414" s="3" t="str">
        <f>HYPERLINK("https://www.boe.es/gazeta/dias/1814/01/06/pdfs/GRE-1814-3.pdf#page=6","Abrir facsímil")</f>
        <v>Abrir facsímil</v>
      </c>
      <c r="K414" s="3" t="s">
        <v>64</v>
      </c>
    </row>
    <row r="415" spans="1:11" ht="42" customHeight="1">
      <c r="A415" s="2" t="s">
        <v>1221</v>
      </c>
      <c r="B415" s="2" t="s">
        <v>1222</v>
      </c>
      <c r="C415" s="2" t="s">
        <v>38</v>
      </c>
      <c r="D415" s="2" t="s">
        <v>39</v>
      </c>
      <c r="E415" s="5">
        <v>-31054</v>
      </c>
      <c r="F415" s="3" t="s">
        <v>952</v>
      </c>
      <c r="G415" s="3" t="s">
        <v>20</v>
      </c>
      <c r="H415" s="2" t="s">
        <v>62</v>
      </c>
      <c r="I415" s="2" t="s">
        <v>1223</v>
      </c>
      <c r="J415" s="3" t="str">
        <f>HYPERLINK("https://www.boe.es/gazeta/dias/1814/12/22/pdfs/GMD-1814-169.pdf#page=7","Abrir facsímil")</f>
        <v>Abrir facsímil</v>
      </c>
      <c r="K415" s="3" t="s">
        <v>64</v>
      </c>
    </row>
    <row r="416" spans="1:11" ht="42" customHeight="1">
      <c r="A416" s="2" t="s">
        <v>1224</v>
      </c>
      <c r="B416" s="2" t="s">
        <v>1225</v>
      </c>
      <c r="C416" s="2" t="s">
        <v>26</v>
      </c>
      <c r="D416" s="2" t="s">
        <v>27</v>
      </c>
      <c r="E416" s="5">
        <v>-31392</v>
      </c>
      <c r="F416" s="3" t="s">
        <v>195</v>
      </c>
      <c r="G416" s="3" t="s">
        <v>758</v>
      </c>
      <c r="H416" s="2" t="s">
        <v>62</v>
      </c>
      <c r="I416" s="2" t="s">
        <v>1226</v>
      </c>
      <c r="J416" s="3" t="str">
        <f>HYPERLINK("https://www.boe.es/gazeta/dias/1814/01/18/pdfs/GRE-1814-9.pdf#page=8","Abrir facsímil")</f>
        <v>Abrir facsímil</v>
      </c>
      <c r="K416" s="3" t="s">
        <v>64</v>
      </c>
    </row>
    <row r="417" spans="1:11" ht="42" customHeight="1">
      <c r="A417" s="2" t="s">
        <v>1227</v>
      </c>
      <c r="B417" s="2" t="s">
        <v>1228</v>
      </c>
      <c r="C417" s="2" t="s">
        <v>32</v>
      </c>
      <c r="D417" s="2" t="s">
        <v>18</v>
      </c>
      <c r="E417" s="5">
        <v>-31094</v>
      </c>
      <c r="F417" s="3" t="s">
        <v>761</v>
      </c>
      <c r="G417" s="3" t="s">
        <v>52</v>
      </c>
      <c r="H417" s="2" t="s">
        <v>62</v>
      </c>
      <c r="I417" s="2" t="s">
        <v>1229</v>
      </c>
      <c r="J417" s="3" t="str">
        <f>HYPERLINK("https://www.boe.es/gazeta/dias/1814/11/12/pdfs/GMD-1814-151.pdf#page=8","Abrir facsímil")</f>
        <v>Abrir facsímil</v>
      </c>
      <c r="K417" s="3" t="s">
        <v>64</v>
      </c>
    </row>
    <row r="418" spans="1:11" ht="42" customHeight="1">
      <c r="A418" s="2" t="s">
        <v>1230</v>
      </c>
      <c r="B418" s="2" t="s">
        <v>1231</v>
      </c>
      <c r="C418" s="2" t="s">
        <v>45</v>
      </c>
      <c r="D418" s="2" t="s">
        <v>18</v>
      </c>
      <c r="E418" s="5">
        <v>-31110</v>
      </c>
      <c r="F418" s="3" t="s">
        <v>149</v>
      </c>
      <c r="G418" s="3" t="s">
        <v>52</v>
      </c>
      <c r="H418" s="2" t="s">
        <v>62</v>
      </c>
      <c r="I418" s="2" t="s">
        <v>1232</v>
      </c>
      <c r="J418" s="3" t="str">
        <f>HYPERLINK("https://www.boe.es/gazeta/dias/1814/10/27/pdfs/GMD-1814-144.pdf#page=8","Abrir facsímil")</f>
        <v>Abrir facsímil</v>
      </c>
      <c r="K418" s="3" t="s">
        <v>64</v>
      </c>
    </row>
    <row r="419" spans="1:11" ht="42" customHeight="1">
      <c r="A419" s="2" t="s">
        <v>1233</v>
      </c>
      <c r="B419" s="2" t="s">
        <v>1234</v>
      </c>
      <c r="C419" s="2" t="s">
        <v>26</v>
      </c>
      <c r="D419" s="2" t="s">
        <v>27</v>
      </c>
      <c r="E419" s="5">
        <v>-31213</v>
      </c>
      <c r="F419" s="3" t="s">
        <v>276</v>
      </c>
      <c r="G419" s="3" t="s">
        <v>52</v>
      </c>
      <c r="H419" s="2" t="s">
        <v>62</v>
      </c>
      <c r="I419" s="2" t="s">
        <v>1235</v>
      </c>
      <c r="J419" s="3" t="str">
        <f>HYPERLINK("https://www.boe.es/gazeta/dias/1814/07/16/pdfs/GMD-1814-99.pdf#page=8","Abrir facsímil")</f>
        <v>Abrir facsímil</v>
      </c>
      <c r="K419" s="3" t="s">
        <v>64</v>
      </c>
    </row>
    <row r="420" spans="1:11" ht="42" customHeight="1">
      <c r="A420" s="2" t="s">
        <v>1233</v>
      </c>
      <c r="B420" s="2" t="s">
        <v>1234</v>
      </c>
      <c r="C420" s="2" t="s">
        <v>26</v>
      </c>
      <c r="D420" s="2" t="s">
        <v>27</v>
      </c>
      <c r="E420" s="5">
        <v>-31199</v>
      </c>
      <c r="F420" s="3" t="s">
        <v>453</v>
      </c>
      <c r="G420" s="3" t="s">
        <v>1027</v>
      </c>
      <c r="H420" s="2" t="s">
        <v>62</v>
      </c>
      <c r="I420" s="2" t="s">
        <v>1236</v>
      </c>
      <c r="J420" s="3" t="str">
        <f>HYPERLINK("https://www.boe.es/gazeta/dias/1814/07/30/pdfs/GMD-1814-105.pdf#page=8","Abrir facsímil")</f>
        <v>Abrir facsímil</v>
      </c>
      <c r="K420" s="3" t="s">
        <v>64</v>
      </c>
    </row>
    <row r="421" spans="1:11" ht="42" customHeight="1">
      <c r="A421" s="2" t="s">
        <v>1233</v>
      </c>
      <c r="B421" s="2" t="s">
        <v>1234</v>
      </c>
      <c r="C421" s="2" t="s">
        <v>309</v>
      </c>
      <c r="D421" s="2" t="s">
        <v>18</v>
      </c>
      <c r="E421" s="5">
        <v>-31189</v>
      </c>
      <c r="F421" s="3" t="s">
        <v>379</v>
      </c>
      <c r="G421" s="3" t="s">
        <v>52</v>
      </c>
      <c r="H421" s="2" t="s">
        <v>62</v>
      </c>
      <c r="I421" s="2" t="s">
        <v>1237</v>
      </c>
      <c r="J421" s="3" t="str">
        <f>HYPERLINK("https://www.boe.es/gazeta/dias/1814/08/09/pdfs/GMD-1814-109.pdf#page=8","Abrir facsímil")</f>
        <v>Abrir facsímil</v>
      </c>
      <c r="K421" s="3" t="s">
        <v>64</v>
      </c>
    </row>
    <row r="422" spans="1:11" ht="42" customHeight="1">
      <c r="A422" s="2" t="s">
        <v>1233</v>
      </c>
      <c r="B422" s="2" t="s">
        <v>1234</v>
      </c>
      <c r="C422" s="2" t="s">
        <v>26</v>
      </c>
      <c r="D422" s="2" t="s">
        <v>27</v>
      </c>
      <c r="E422" s="5">
        <v>-31185</v>
      </c>
      <c r="F422" s="3" t="s">
        <v>1238</v>
      </c>
      <c r="G422" s="3" t="s">
        <v>52</v>
      </c>
      <c r="H422" s="2" t="s">
        <v>62</v>
      </c>
      <c r="I422" s="2" t="s">
        <v>1239</v>
      </c>
      <c r="J422" s="3" t="str">
        <f>HYPERLINK("https://www.boe.es/gazeta/dias/1814/08/13/pdfs/GMD-1814-111.pdf#page=8","Abrir facsímil")</f>
        <v>Abrir facsímil</v>
      </c>
      <c r="K422" s="3" t="s">
        <v>64</v>
      </c>
    </row>
    <row r="423" spans="1:11" ht="42" customHeight="1">
      <c r="A423" s="2" t="s">
        <v>1233</v>
      </c>
      <c r="B423" s="2" t="s">
        <v>1234</v>
      </c>
      <c r="C423" s="2" t="s">
        <v>38</v>
      </c>
      <c r="D423" s="2" t="s">
        <v>39</v>
      </c>
      <c r="E423" s="5">
        <v>-31180</v>
      </c>
      <c r="F423" s="3" t="s">
        <v>520</v>
      </c>
      <c r="G423" s="3" t="s">
        <v>602</v>
      </c>
      <c r="H423" s="2" t="s">
        <v>62</v>
      </c>
      <c r="I423" s="2" t="s">
        <v>1240</v>
      </c>
      <c r="J423" s="3" t="str">
        <f>HYPERLINK("https://www.boe.es/gazeta/dias/1814/08/18/pdfs/GMD-1814-113.pdf#page=8","Abrir facsímil")</f>
        <v>Abrir facsímil</v>
      </c>
      <c r="K423" s="3" t="s">
        <v>64</v>
      </c>
    </row>
    <row r="424" spans="1:11" ht="42" customHeight="1">
      <c r="A424" s="2" t="s">
        <v>1233</v>
      </c>
      <c r="B424" s="2" t="s">
        <v>1234</v>
      </c>
      <c r="C424" s="2" t="s">
        <v>26</v>
      </c>
      <c r="D424" s="2" t="s">
        <v>27</v>
      </c>
      <c r="E424" s="5">
        <v>-31133</v>
      </c>
      <c r="F424" s="3" t="s">
        <v>184</v>
      </c>
      <c r="G424" s="3" t="s">
        <v>1241</v>
      </c>
      <c r="H424" s="2" t="s">
        <v>62</v>
      </c>
      <c r="I424" s="2" t="s">
        <v>1242</v>
      </c>
      <c r="J424" s="3" t="str">
        <f>HYPERLINK("https://www.boe.es/gazeta/dias/1814/10/04/pdfs/GMD-1814-134.pdf#page=3","Abrir facsímil")</f>
        <v>Abrir facsímil</v>
      </c>
      <c r="K424" s="3" t="s">
        <v>64</v>
      </c>
    </row>
    <row r="425" spans="1:11" ht="42" customHeight="1">
      <c r="A425" s="2" t="s">
        <v>1233</v>
      </c>
      <c r="B425" s="2" t="s">
        <v>1234</v>
      </c>
      <c r="C425" s="2" t="s">
        <v>26</v>
      </c>
      <c r="D425" s="2" t="s">
        <v>27</v>
      </c>
      <c r="E425" s="5">
        <v>-31133</v>
      </c>
      <c r="F425" s="3" t="s">
        <v>184</v>
      </c>
      <c r="G425" s="3" t="s">
        <v>1243</v>
      </c>
      <c r="H425" s="2" t="s">
        <v>62</v>
      </c>
      <c r="I425" s="2" t="s">
        <v>1244</v>
      </c>
      <c r="J425" s="3" t="str">
        <f>HYPERLINK("https://www.boe.es/gazeta/dias/1814/10/04/pdfs/GMD-1814-134.pdf#page=8","Abrir facsímil")</f>
        <v>Abrir facsímil</v>
      </c>
      <c r="K425" s="3" t="s">
        <v>64</v>
      </c>
    </row>
    <row r="426" spans="1:11" ht="42" customHeight="1">
      <c r="A426" s="2" t="s">
        <v>1233</v>
      </c>
      <c r="B426" s="2" t="s">
        <v>1234</v>
      </c>
      <c r="C426" s="2" t="s">
        <v>38</v>
      </c>
      <c r="D426" s="2" t="s">
        <v>39</v>
      </c>
      <c r="E426" s="5">
        <v>-31124</v>
      </c>
      <c r="F426" s="3" t="s">
        <v>383</v>
      </c>
      <c r="G426" s="3" t="s">
        <v>574</v>
      </c>
      <c r="H426" s="2" t="s">
        <v>62</v>
      </c>
      <c r="I426" s="2" t="s">
        <v>1245</v>
      </c>
      <c r="J426" s="3" t="str">
        <f>HYPERLINK("https://www.boe.es/gazeta/dias/1814/10/13/pdfs/GMD-1814-138.pdf#page=10","Abrir facsímil")</f>
        <v>Abrir facsímil</v>
      </c>
      <c r="K426" s="3" t="s">
        <v>64</v>
      </c>
    </row>
    <row r="427" spans="1:11" ht="42" customHeight="1">
      <c r="A427" s="2" t="s">
        <v>1233</v>
      </c>
      <c r="B427" s="2" t="s">
        <v>1234</v>
      </c>
      <c r="C427" s="2" t="s">
        <v>32</v>
      </c>
      <c r="D427" s="2" t="s">
        <v>18</v>
      </c>
      <c r="E427" s="5">
        <v>-31119</v>
      </c>
      <c r="F427" s="3" t="s">
        <v>136</v>
      </c>
      <c r="G427" s="3" t="s">
        <v>322</v>
      </c>
      <c r="H427" s="2" t="s">
        <v>62</v>
      </c>
      <c r="I427" s="2" t="s">
        <v>1246</v>
      </c>
      <c r="J427" s="3" t="str">
        <f>HYPERLINK("https://www.boe.es/gazeta/dias/1814/10/18/pdfs/GMD-1814-140.pdf#page=12","Abrir facsímil")</f>
        <v>Abrir facsímil</v>
      </c>
      <c r="K427" s="3" t="s">
        <v>64</v>
      </c>
    </row>
    <row r="428" spans="1:11" ht="42" customHeight="1">
      <c r="A428" s="2" t="s">
        <v>1233</v>
      </c>
      <c r="B428" s="2" t="s">
        <v>1234</v>
      </c>
      <c r="C428" s="2" t="s">
        <v>38</v>
      </c>
      <c r="D428" s="2" t="s">
        <v>39</v>
      </c>
      <c r="E428" s="5">
        <v>-31117</v>
      </c>
      <c r="F428" s="3" t="s">
        <v>172</v>
      </c>
      <c r="G428" s="3" t="s">
        <v>392</v>
      </c>
      <c r="H428" s="2" t="s">
        <v>62</v>
      </c>
      <c r="I428" s="2" t="s">
        <v>1247</v>
      </c>
      <c r="J428" s="3" t="str">
        <f>HYPERLINK("https://www.boe.es/gazeta/dias/1814/10/20/pdfs/GMD-1814-141.pdf#page=8","Abrir facsímil")</f>
        <v>Abrir facsímil</v>
      </c>
      <c r="K428" s="3" t="s">
        <v>64</v>
      </c>
    </row>
    <row r="429" spans="1:11" ht="42" customHeight="1">
      <c r="A429" s="2" t="s">
        <v>1233</v>
      </c>
      <c r="B429" s="2" t="s">
        <v>1234</v>
      </c>
      <c r="C429" s="2" t="s">
        <v>26</v>
      </c>
      <c r="D429" s="2" t="s">
        <v>27</v>
      </c>
      <c r="E429" s="5">
        <v>-31096</v>
      </c>
      <c r="F429" s="3" t="s">
        <v>223</v>
      </c>
      <c r="G429" s="3" t="s">
        <v>972</v>
      </c>
      <c r="H429" s="2" t="s">
        <v>62</v>
      </c>
      <c r="I429" s="2" t="s">
        <v>1248</v>
      </c>
      <c r="J429" s="3" t="str">
        <f>HYPERLINK("https://www.boe.es/gazeta/dias/1814/11/10/pdfs/GMD-1814-150.pdf#page=8","Abrir facsímil")</f>
        <v>Abrir facsímil</v>
      </c>
      <c r="K429" s="3" t="s">
        <v>64</v>
      </c>
    </row>
    <row r="430" spans="1:11" ht="42" customHeight="1">
      <c r="A430" s="2" t="s">
        <v>1233</v>
      </c>
      <c r="B430" s="2" t="s">
        <v>1234</v>
      </c>
      <c r="C430" s="2" t="s">
        <v>26</v>
      </c>
      <c r="D430" s="2" t="s">
        <v>27</v>
      </c>
      <c r="E430" s="5">
        <v>-31063</v>
      </c>
      <c r="F430" s="3" t="s">
        <v>649</v>
      </c>
      <c r="G430" s="3" t="s">
        <v>52</v>
      </c>
      <c r="H430" s="2" t="s">
        <v>62</v>
      </c>
      <c r="I430" s="2" t="s">
        <v>1249</v>
      </c>
      <c r="J430" s="3" t="str">
        <f>HYPERLINK("https://www.boe.es/gazeta/dias/1814/12/13/pdfs/GMD-1814-164.pdf#page=8","Abrir facsímil")</f>
        <v>Abrir facsímil</v>
      </c>
      <c r="K430" s="3" t="s">
        <v>64</v>
      </c>
    </row>
    <row r="431" spans="1:11" ht="42" customHeight="1">
      <c r="A431" s="2" t="s">
        <v>1250</v>
      </c>
      <c r="B431" s="2" t="s">
        <v>1251</v>
      </c>
      <c r="C431" s="2" t="s">
        <v>38</v>
      </c>
      <c r="D431" s="2" t="s">
        <v>39</v>
      </c>
      <c r="E431" s="5">
        <v>-31362</v>
      </c>
      <c r="F431" s="3" t="s">
        <v>302</v>
      </c>
      <c r="G431" s="3" t="s">
        <v>52</v>
      </c>
      <c r="H431" s="2" t="s">
        <v>62</v>
      </c>
      <c r="I431" s="2" t="s">
        <v>1252</v>
      </c>
      <c r="J431" s="3" t="str">
        <f>HYPERLINK("https://www.boe.es/gazeta/dias/1814/02/17/pdfs/GRE-1814-22.pdf#page=8","Abrir facsímil")</f>
        <v>Abrir facsímil</v>
      </c>
      <c r="K431" s="3" t="s">
        <v>64</v>
      </c>
    </row>
    <row r="432" spans="1:11" ht="42" customHeight="1">
      <c r="A432" s="2" t="s">
        <v>1250</v>
      </c>
      <c r="B432" s="2" t="s">
        <v>1251</v>
      </c>
      <c r="C432" s="2" t="s">
        <v>26</v>
      </c>
      <c r="D432" s="2" t="s">
        <v>27</v>
      </c>
      <c r="E432" s="5">
        <v>-31241</v>
      </c>
      <c r="F432" s="3" t="s">
        <v>703</v>
      </c>
      <c r="G432" s="3" t="s">
        <v>322</v>
      </c>
      <c r="H432" s="2" t="s">
        <v>62</v>
      </c>
      <c r="I432" s="2" t="s">
        <v>1253</v>
      </c>
      <c r="J432" s="3" t="str">
        <f>HYPERLINK("https://www.boe.es/gazeta/dias/1814/06/18/pdfs/GMD-1814-87.pdf#page=12","Abrir facsímil")</f>
        <v>Abrir facsímil</v>
      </c>
      <c r="K432" s="3" t="s">
        <v>64</v>
      </c>
    </row>
    <row r="433" spans="1:11" ht="42" customHeight="1">
      <c r="A433" s="2" t="s">
        <v>1250</v>
      </c>
      <c r="B433" s="2" t="s">
        <v>1251</v>
      </c>
      <c r="C433" s="2" t="s">
        <v>17</v>
      </c>
      <c r="D433" s="2" t="s">
        <v>18</v>
      </c>
      <c r="E433" s="5">
        <v>-31136</v>
      </c>
      <c r="F433" s="3" t="s">
        <v>956</v>
      </c>
      <c r="G433" s="3" t="s">
        <v>1254</v>
      </c>
      <c r="H433" s="2" t="s">
        <v>62</v>
      </c>
      <c r="I433" s="2" t="s">
        <v>1255</v>
      </c>
      <c r="J433" s="3" t="str">
        <f>HYPERLINK("https://www.boe.es/gazeta/dias/1814/10/01/pdfs/GMD-1814-133.pdf#page=9","Abrir facsímil")</f>
        <v>Abrir facsímil</v>
      </c>
      <c r="K433" s="3" t="s">
        <v>64</v>
      </c>
    </row>
    <row r="434" spans="1:11" ht="42" customHeight="1">
      <c r="A434" s="2" t="s">
        <v>1256</v>
      </c>
      <c r="B434" s="2" t="s">
        <v>1256</v>
      </c>
      <c r="C434" s="2" t="s">
        <v>26</v>
      </c>
      <c r="D434" s="2" t="s">
        <v>27</v>
      </c>
      <c r="E434" s="5">
        <v>-31182</v>
      </c>
      <c r="F434" s="3" t="s">
        <v>19</v>
      </c>
      <c r="G434" s="3" t="s">
        <v>20</v>
      </c>
      <c r="H434" s="2" t="s">
        <v>62</v>
      </c>
      <c r="I434" s="2" t="s">
        <v>1257</v>
      </c>
      <c r="J434" s="3" t="str">
        <f>HYPERLINK("https://www.boe.es/gazeta/dias/1814/08/16/pdfs/GMD-1814-112.pdf#page=7","Abrir facsímil")</f>
        <v>Abrir facsímil</v>
      </c>
      <c r="K434" s="3" t="s">
        <v>64</v>
      </c>
    </row>
    <row r="435" spans="1:11" ht="42" customHeight="1">
      <c r="A435" s="2" t="s">
        <v>1258</v>
      </c>
      <c r="B435" s="2" t="s">
        <v>1259</v>
      </c>
      <c r="C435" s="2" t="s">
        <v>32</v>
      </c>
      <c r="D435" s="2" t="s">
        <v>18</v>
      </c>
      <c r="E435" s="5">
        <v>-31103</v>
      </c>
      <c r="F435" s="3" t="s">
        <v>1260</v>
      </c>
      <c r="G435" s="3" t="s">
        <v>1261</v>
      </c>
      <c r="H435" s="2" t="s">
        <v>62</v>
      </c>
      <c r="I435" s="2" t="s">
        <v>1262</v>
      </c>
      <c r="J435" s="3" t="str">
        <f>HYPERLINK("https://www.boe.es/gazeta/dias/1814/11/03/pdfs/GMD-1814-147.pdf#page=8","Abrir facsímil")</f>
        <v>Abrir facsímil</v>
      </c>
      <c r="K435" s="3" t="s">
        <v>64</v>
      </c>
    </row>
    <row r="436" spans="1:11" ht="42" customHeight="1">
      <c r="A436" s="2" t="s">
        <v>1263</v>
      </c>
      <c r="B436" s="2" t="s">
        <v>1264</v>
      </c>
      <c r="C436" s="2" t="s">
        <v>32</v>
      </c>
      <c r="D436" s="2" t="s">
        <v>18</v>
      </c>
      <c r="E436" s="5">
        <v>-31075</v>
      </c>
      <c r="F436" s="3" t="s">
        <v>537</v>
      </c>
      <c r="G436" s="3" t="s">
        <v>57</v>
      </c>
      <c r="H436" s="2" t="s">
        <v>62</v>
      </c>
      <c r="I436" s="2" t="s">
        <v>1265</v>
      </c>
      <c r="J436" s="3" t="str">
        <f>HYPERLINK("https://www.boe.es/gazeta/dias/1814/12/01/pdfs/GMD-1814-159.pdf#page=6","Abrir facsímil")</f>
        <v>Abrir facsímil</v>
      </c>
      <c r="K436" s="3" t="s">
        <v>64</v>
      </c>
    </row>
    <row r="437" spans="1:11" ht="42" customHeight="1">
      <c r="A437" s="2" t="s">
        <v>1266</v>
      </c>
      <c r="B437" s="2" t="s">
        <v>1267</v>
      </c>
      <c r="C437" s="2" t="s">
        <v>38</v>
      </c>
      <c r="D437" s="2" t="s">
        <v>39</v>
      </c>
      <c r="E437" s="5">
        <v>-31075</v>
      </c>
      <c r="F437" s="3" t="s">
        <v>537</v>
      </c>
      <c r="G437" s="3" t="s">
        <v>57</v>
      </c>
      <c r="H437" s="2" t="s">
        <v>62</v>
      </c>
      <c r="I437" s="2" t="s">
        <v>1268</v>
      </c>
      <c r="J437" s="3" t="str">
        <f>HYPERLINK("https://www.boe.es/gazeta/dias/1814/12/01/pdfs/GMD-1814-159.pdf#page=6","Abrir facsímil")</f>
        <v>Abrir facsímil</v>
      </c>
      <c r="K437" s="3" t="s">
        <v>64</v>
      </c>
    </row>
    <row r="438" spans="1:11" ht="42" customHeight="1">
      <c r="A438" s="2" t="s">
        <v>1269</v>
      </c>
      <c r="B438" s="2" t="s">
        <v>1270</v>
      </c>
      <c r="C438" s="2" t="s">
        <v>45</v>
      </c>
      <c r="D438" s="2" t="s">
        <v>18</v>
      </c>
      <c r="E438" s="5">
        <v>-31108</v>
      </c>
      <c r="F438" s="3" t="s">
        <v>528</v>
      </c>
      <c r="G438" s="3" t="s">
        <v>20</v>
      </c>
      <c r="H438" s="2" t="s">
        <v>62</v>
      </c>
      <c r="I438" s="2" t="s">
        <v>1271</v>
      </c>
      <c r="J438" s="3" t="str">
        <f>HYPERLINK("https://www.boe.es/gazeta/dias/1814/10/29/pdfs/GMD-1814-145.pdf#page=7","Abrir facsímil")</f>
        <v>Abrir facsímil</v>
      </c>
      <c r="K438" s="3" t="s">
        <v>64</v>
      </c>
    </row>
    <row r="439" spans="1:11" ht="42" customHeight="1">
      <c r="A439" s="2" t="s">
        <v>1272</v>
      </c>
      <c r="B439" s="2" t="s">
        <v>1273</v>
      </c>
      <c r="C439" s="2" t="s">
        <v>144</v>
      </c>
      <c r="D439" s="2" t="s">
        <v>18</v>
      </c>
      <c r="E439" s="5">
        <v>-31383</v>
      </c>
      <c r="F439" s="3" t="s">
        <v>715</v>
      </c>
      <c r="G439" s="3" t="s">
        <v>20</v>
      </c>
      <c r="H439" s="2" t="s">
        <v>62</v>
      </c>
      <c r="I439" s="2" t="s">
        <v>1274</v>
      </c>
      <c r="J439" s="3" t="str">
        <f>HYPERLINK("https://www.boe.es/gazeta/dias/1814/01/27/pdfs/GRE-1814-13.pdf#page=7","Abrir facsímil")</f>
        <v>Abrir facsímil</v>
      </c>
      <c r="K439" s="3" t="s">
        <v>64</v>
      </c>
    </row>
    <row r="440" spans="1:11" ht="42" customHeight="1">
      <c r="A440" s="2" t="s">
        <v>1275</v>
      </c>
      <c r="B440" s="2" t="s">
        <v>1275</v>
      </c>
      <c r="C440" s="2" t="s">
        <v>38</v>
      </c>
      <c r="D440" s="2" t="s">
        <v>39</v>
      </c>
      <c r="E440" s="5">
        <v>-31329</v>
      </c>
      <c r="F440" s="3" t="s">
        <v>621</v>
      </c>
      <c r="G440" s="3" t="s">
        <v>622</v>
      </c>
      <c r="H440" s="2" t="s">
        <v>62</v>
      </c>
      <c r="I440" s="2" t="s">
        <v>1276</v>
      </c>
      <c r="J440" s="3" t="str">
        <f>HYPERLINK("https://www.boe.es/gazeta/dias/1814/03/22/pdfs/GRE-1814-39.pdf#page=2","Abrir facsímil")</f>
        <v>Abrir facsímil</v>
      </c>
      <c r="K440" s="3" t="s">
        <v>64</v>
      </c>
    </row>
    <row r="441" spans="1:11" ht="42" customHeight="1">
      <c r="A441" s="2" t="s">
        <v>1277</v>
      </c>
      <c r="B441" s="2" t="s">
        <v>1278</v>
      </c>
      <c r="C441" s="2" t="s">
        <v>17</v>
      </c>
      <c r="D441" s="2" t="s">
        <v>18</v>
      </c>
      <c r="E441" s="5">
        <v>-31182</v>
      </c>
      <c r="F441" s="3" t="s">
        <v>19</v>
      </c>
      <c r="G441" s="3" t="s">
        <v>1279</v>
      </c>
      <c r="H441" s="2" t="s">
        <v>62</v>
      </c>
      <c r="I441" s="2" t="s">
        <v>1280</v>
      </c>
      <c r="J441" s="3" t="str">
        <f>HYPERLINK("https://www.boe.es/gazeta/dias/1814/08/16/pdfs/GMD-1814-112.pdf#page=2","Abrir facsímil")</f>
        <v>Abrir facsímil</v>
      </c>
      <c r="K441" s="3" t="s">
        <v>64</v>
      </c>
    </row>
    <row r="442" spans="1:11" ht="42" customHeight="1">
      <c r="A442" s="2" t="s">
        <v>1281</v>
      </c>
      <c r="B442" s="2" t="s">
        <v>1281</v>
      </c>
      <c r="C442" s="2" t="s">
        <v>38</v>
      </c>
      <c r="D442" s="2" t="s">
        <v>39</v>
      </c>
      <c r="E442" s="5">
        <v>-31054</v>
      </c>
      <c r="F442" s="3" t="s">
        <v>952</v>
      </c>
      <c r="G442" s="3" t="s">
        <v>107</v>
      </c>
      <c r="H442" s="2" t="s">
        <v>62</v>
      </c>
      <c r="I442" s="2" t="s">
        <v>1282</v>
      </c>
      <c r="J442" s="3" t="str">
        <f>HYPERLINK("https://www.boe.es/gazeta/dias/1814/12/22/pdfs/GMD-1814-169.pdf#page=1","Abrir facsímil")</f>
        <v>Abrir facsímil</v>
      </c>
      <c r="K442" s="3" t="s">
        <v>64</v>
      </c>
    </row>
    <row r="443" spans="1:11" ht="42" customHeight="1">
      <c r="A443" s="2" t="s">
        <v>1283</v>
      </c>
      <c r="B443" s="2" t="s">
        <v>1283</v>
      </c>
      <c r="C443" s="2" t="s">
        <v>17</v>
      </c>
      <c r="D443" s="2" t="s">
        <v>18</v>
      </c>
      <c r="E443" s="5">
        <v>-31409</v>
      </c>
      <c r="F443" s="3" t="s">
        <v>168</v>
      </c>
      <c r="G443" s="3" t="s">
        <v>87</v>
      </c>
      <c r="H443" s="2" t="s">
        <v>62</v>
      </c>
      <c r="I443" s="2" t="s">
        <v>1284</v>
      </c>
      <c r="J443" s="3" t="str">
        <f>HYPERLINK("https://www.boe.es/gazeta/dias/1814/01/01/pdfs/GRE-1814-1.pdf#page=2","Abrir facsímil")</f>
        <v>Abrir facsímil</v>
      </c>
      <c r="K443" s="3" t="s">
        <v>64</v>
      </c>
    </row>
    <row r="444" spans="1:11" ht="42" customHeight="1">
      <c r="A444" s="2" t="s">
        <v>1285</v>
      </c>
      <c r="B444" s="2" t="s">
        <v>1285</v>
      </c>
      <c r="C444" s="2" t="s">
        <v>38</v>
      </c>
      <c r="D444" s="2" t="s">
        <v>39</v>
      </c>
      <c r="E444" s="5">
        <v>-31341</v>
      </c>
      <c r="F444" s="3" t="s">
        <v>360</v>
      </c>
      <c r="G444" s="3" t="s">
        <v>99</v>
      </c>
      <c r="H444" s="2" t="s">
        <v>62</v>
      </c>
      <c r="I444" s="2" t="s">
        <v>1286</v>
      </c>
      <c r="J444" s="3" t="str">
        <f>HYPERLINK("https://www.boe.es/gazeta/dias/1814/03/10/pdfs/GRE-1814-33.pdf#page=5","Abrir facsímil")</f>
        <v>Abrir facsímil</v>
      </c>
      <c r="K444" s="3" t="s">
        <v>64</v>
      </c>
    </row>
    <row r="445" spans="1:11" ht="42" customHeight="1">
      <c r="A445" s="2" t="s">
        <v>1287</v>
      </c>
      <c r="B445" s="2" t="s">
        <v>1287</v>
      </c>
      <c r="C445" s="2" t="s">
        <v>38</v>
      </c>
      <c r="D445" s="2" t="s">
        <v>39</v>
      </c>
      <c r="E445" s="5">
        <v>-31320</v>
      </c>
      <c r="F445" s="3" t="s">
        <v>40</v>
      </c>
      <c r="G445" s="3" t="s">
        <v>87</v>
      </c>
      <c r="H445" s="2" t="s">
        <v>62</v>
      </c>
      <c r="I445" s="2" t="s">
        <v>1288</v>
      </c>
      <c r="J445" s="3" t="str">
        <f>HYPERLINK("https://www.boe.es/gazeta/dias/1814/03/31/pdfs/GRE-1814-46.pdf#page=2","Abrir facsímil")</f>
        <v>Abrir facsímil</v>
      </c>
      <c r="K445" s="3" t="s">
        <v>64</v>
      </c>
    </row>
    <row r="446" spans="1:11" ht="42" customHeight="1">
      <c r="A446" s="2" t="s">
        <v>1289</v>
      </c>
      <c r="B446" s="2" t="s">
        <v>1289</v>
      </c>
      <c r="C446" s="2" t="s">
        <v>38</v>
      </c>
      <c r="D446" s="2" t="s">
        <v>39</v>
      </c>
      <c r="E446" s="5">
        <v>-31327</v>
      </c>
      <c r="F446" s="3" t="s">
        <v>180</v>
      </c>
      <c r="G446" s="3" t="s">
        <v>41</v>
      </c>
      <c r="H446" s="2" t="s">
        <v>62</v>
      </c>
      <c r="I446" s="2" t="s">
        <v>1290</v>
      </c>
      <c r="J446" s="3" t="str">
        <f>HYPERLINK("https://www.boe.es/gazeta/dias/1814/03/24/pdfs/GRE-1814-41.pdf#page=4","Abrir facsímil")</f>
        <v>Abrir facsímil</v>
      </c>
      <c r="K446" s="3" t="s">
        <v>64</v>
      </c>
    </row>
    <row r="447" spans="1:11" ht="42" customHeight="1">
      <c r="A447" s="2" t="s">
        <v>1291</v>
      </c>
      <c r="B447" s="2" t="s">
        <v>1292</v>
      </c>
      <c r="C447" s="2" t="s">
        <v>38</v>
      </c>
      <c r="D447" s="2" t="s">
        <v>314</v>
      </c>
      <c r="E447" s="5">
        <v>-31328</v>
      </c>
      <c r="F447" s="3" t="s">
        <v>442</v>
      </c>
      <c r="G447" s="3" t="s">
        <v>82</v>
      </c>
      <c r="H447" s="2" t="s">
        <v>62</v>
      </c>
      <c r="I447" s="2" t="s">
        <v>1293</v>
      </c>
      <c r="J447" s="3" t="str">
        <f>HYPERLINK("https://www.boe.es/gazeta/dias/1814/03/23/pdfs/GRE-1814-40E.pdf#page=3","Abrir facsímil")</f>
        <v>Abrir facsímil</v>
      </c>
      <c r="K447" s="3" t="s">
        <v>64</v>
      </c>
    </row>
    <row r="448" spans="1:11" ht="42" customHeight="1">
      <c r="A448" s="2" t="s">
        <v>1294</v>
      </c>
      <c r="B448" s="2" t="s">
        <v>1295</v>
      </c>
      <c r="C448" s="2" t="s">
        <v>38</v>
      </c>
      <c r="D448" s="2" t="s">
        <v>39</v>
      </c>
      <c r="E448" s="5">
        <v>-31068</v>
      </c>
      <c r="F448" s="3" t="s">
        <v>548</v>
      </c>
      <c r="G448" s="3" t="s">
        <v>87</v>
      </c>
      <c r="H448" s="2" t="s">
        <v>62</v>
      </c>
      <c r="I448" s="2" t="s">
        <v>1296</v>
      </c>
      <c r="J448" s="3" t="str">
        <f>HYPERLINK("https://www.boe.es/gazeta/dias/1814/12/08/pdfs/GMD-1814-162.pdf#page=2","Abrir facsímil")</f>
        <v>Abrir facsímil</v>
      </c>
      <c r="K448" s="3" t="s">
        <v>64</v>
      </c>
    </row>
    <row r="449" spans="1:11" ht="42" customHeight="1">
      <c r="A449" s="2" t="s">
        <v>1297</v>
      </c>
      <c r="B449" s="2" t="s">
        <v>1298</v>
      </c>
      <c r="C449" s="2" t="s">
        <v>309</v>
      </c>
      <c r="D449" s="2" t="s">
        <v>18</v>
      </c>
      <c r="E449" s="5">
        <v>-31388</v>
      </c>
      <c r="F449" s="3" t="s">
        <v>1299</v>
      </c>
      <c r="G449" s="3" t="s">
        <v>20</v>
      </c>
      <c r="H449" s="2" t="s">
        <v>62</v>
      </c>
      <c r="I449" s="2" t="s">
        <v>1300</v>
      </c>
      <c r="J449" s="3" t="str">
        <f>HYPERLINK("https://www.boe.es/gazeta/dias/1814/01/22/pdfs/GRE-1814-11.pdf#page=7","Abrir facsímil")</f>
        <v>Abrir facsímil</v>
      </c>
      <c r="K449" s="3" t="s">
        <v>64</v>
      </c>
    </row>
    <row r="450" spans="1:11" ht="42" customHeight="1">
      <c r="A450" s="2" t="s">
        <v>1301</v>
      </c>
      <c r="B450" s="2" t="s">
        <v>1302</v>
      </c>
      <c r="C450" s="2" t="s">
        <v>38</v>
      </c>
      <c r="D450" s="2" t="s">
        <v>39</v>
      </c>
      <c r="E450" s="5">
        <v>-31115</v>
      </c>
      <c r="F450" s="3" t="s">
        <v>805</v>
      </c>
      <c r="G450" s="3" t="s">
        <v>99</v>
      </c>
      <c r="H450" s="2" t="s">
        <v>62</v>
      </c>
      <c r="I450" s="2" t="s">
        <v>1303</v>
      </c>
      <c r="J450" s="3" t="str">
        <f>HYPERLINK("https://www.boe.es/gazeta/dias/1814/10/22/pdfs/GMD-1814-142.pdf#page=5","Abrir facsímil")</f>
        <v>Abrir facsímil</v>
      </c>
      <c r="K450" s="3" t="s">
        <v>64</v>
      </c>
    </row>
    <row r="451" spans="1:11" ht="42" customHeight="1">
      <c r="A451" s="2" t="s">
        <v>1304</v>
      </c>
      <c r="B451" s="2" t="s">
        <v>1305</v>
      </c>
      <c r="C451" s="2" t="s">
        <v>26</v>
      </c>
      <c r="D451" s="2" t="s">
        <v>27</v>
      </c>
      <c r="E451" s="5">
        <v>-31306</v>
      </c>
      <c r="F451" s="3" t="s">
        <v>670</v>
      </c>
      <c r="G451" s="3" t="s">
        <v>82</v>
      </c>
      <c r="H451" s="2" t="s">
        <v>62</v>
      </c>
      <c r="I451" s="2" t="s">
        <v>1306</v>
      </c>
      <c r="J451" s="3" t="str">
        <f>HYPERLINK("https://www.boe.es/gazeta/dias/1814/04/14/pdfs/GRE-1814-53.pdf#page=3","Abrir facsímil")</f>
        <v>Abrir facsímil</v>
      </c>
      <c r="K451" s="3" t="s">
        <v>64</v>
      </c>
    </row>
    <row r="452" spans="1:11" ht="42" customHeight="1">
      <c r="A452" s="2" t="s">
        <v>1307</v>
      </c>
      <c r="B452" s="2" t="s">
        <v>1307</v>
      </c>
      <c r="C452" s="2" t="s">
        <v>38</v>
      </c>
      <c r="D452" s="2" t="s">
        <v>314</v>
      </c>
      <c r="E452" s="5">
        <v>-31341</v>
      </c>
      <c r="F452" s="3" t="s">
        <v>354</v>
      </c>
      <c r="G452" s="3" t="s">
        <v>82</v>
      </c>
      <c r="H452" s="2" t="s">
        <v>62</v>
      </c>
      <c r="I452" s="2" t="s">
        <v>1308</v>
      </c>
      <c r="J452" s="3" t="str">
        <f>HYPERLINK("https://www.boe.es/gazeta/dias/1814/03/10/pdfs/GRE-1814-34E.pdf#page=3","Abrir facsímil")</f>
        <v>Abrir facsímil</v>
      </c>
      <c r="K452" s="3" t="s">
        <v>64</v>
      </c>
    </row>
    <row r="453" spans="1:11" ht="42" customHeight="1">
      <c r="A453" s="2" t="s">
        <v>1309</v>
      </c>
      <c r="B453" s="2" t="s">
        <v>1310</v>
      </c>
      <c r="C453" s="2" t="s">
        <v>26</v>
      </c>
      <c r="D453" s="2" t="s">
        <v>27</v>
      </c>
      <c r="E453" s="5">
        <v>-31171</v>
      </c>
      <c r="F453" s="3" t="s">
        <v>157</v>
      </c>
      <c r="G453" s="3" t="s">
        <v>82</v>
      </c>
      <c r="H453" s="2" t="s">
        <v>62</v>
      </c>
      <c r="I453" s="2" t="s">
        <v>1311</v>
      </c>
      <c r="J453" s="3" t="str">
        <f>HYPERLINK("https://www.boe.es/gazeta/dias/1814/08/27/pdfs/GMD-1814-117.pdf#page=3","Abrir facsímil")</f>
        <v>Abrir facsímil</v>
      </c>
      <c r="K453" s="3" t="s">
        <v>64</v>
      </c>
    </row>
    <row r="454" spans="1:11" ht="42" customHeight="1">
      <c r="A454" s="2" t="s">
        <v>1312</v>
      </c>
      <c r="B454" s="2" t="s">
        <v>1312</v>
      </c>
      <c r="C454" s="2" t="s">
        <v>26</v>
      </c>
      <c r="D454" s="2" t="s">
        <v>27</v>
      </c>
      <c r="E454" s="5">
        <v>-31257</v>
      </c>
      <c r="F454" s="3" t="s">
        <v>437</v>
      </c>
      <c r="G454" s="3" t="s">
        <v>41</v>
      </c>
      <c r="H454" s="2" t="s">
        <v>62</v>
      </c>
      <c r="I454" s="2" t="s">
        <v>1313</v>
      </c>
      <c r="J454" s="3" t="str">
        <f>HYPERLINK("https://www.boe.es/gazeta/dias/1814/06/02/pdfs/GMD-1814-80.pdf#page=4","Abrir facsímil")</f>
        <v>Abrir facsímil</v>
      </c>
      <c r="K454" s="3" t="s">
        <v>64</v>
      </c>
    </row>
    <row r="455" spans="1:11" ht="42" customHeight="1">
      <c r="A455" s="2" t="s">
        <v>1314</v>
      </c>
      <c r="B455" s="2" t="s">
        <v>1314</v>
      </c>
      <c r="C455" s="2" t="s">
        <v>38</v>
      </c>
      <c r="D455" s="2" t="s">
        <v>39</v>
      </c>
      <c r="E455" s="5">
        <v>-31367</v>
      </c>
      <c r="F455" s="3" t="s">
        <v>857</v>
      </c>
      <c r="G455" s="3" t="s">
        <v>41</v>
      </c>
      <c r="H455" s="2" t="s">
        <v>62</v>
      </c>
      <c r="I455" s="2" t="s">
        <v>1315</v>
      </c>
      <c r="J455" s="3" t="str">
        <f>HYPERLINK("https://www.boe.es/gazeta/dias/1814/02/12/pdfs/GRE-1814-20.pdf#page=4","Abrir facsímil")</f>
        <v>Abrir facsímil</v>
      </c>
      <c r="K455" s="3" t="s">
        <v>64</v>
      </c>
    </row>
    <row r="456" spans="1:11" ht="42" customHeight="1">
      <c r="A456" s="2" t="s">
        <v>1316</v>
      </c>
      <c r="B456" s="2" t="s">
        <v>1317</v>
      </c>
      <c r="C456" s="2" t="s">
        <v>38</v>
      </c>
      <c r="D456" s="2" t="s">
        <v>39</v>
      </c>
      <c r="E456" s="5">
        <v>-31049</v>
      </c>
      <c r="F456" s="3" t="s">
        <v>542</v>
      </c>
      <c r="G456" s="3" t="s">
        <v>87</v>
      </c>
      <c r="H456" s="2" t="s">
        <v>62</v>
      </c>
      <c r="I456" s="2" t="s">
        <v>1318</v>
      </c>
      <c r="J456" s="3" t="str">
        <f>HYPERLINK("https://www.boe.es/gazeta/dias/1814/12/27/pdfs/GMD-1814-171.pdf#page=2","Abrir facsímil")</f>
        <v>Abrir facsímil</v>
      </c>
      <c r="K456" s="3" t="s">
        <v>64</v>
      </c>
    </row>
    <row r="457" spans="1:11" ht="42" customHeight="1">
      <c r="A457" s="2" t="s">
        <v>1319</v>
      </c>
      <c r="B457" s="2" t="s">
        <v>1319</v>
      </c>
      <c r="C457" s="2" t="s">
        <v>38</v>
      </c>
      <c r="D457" s="2" t="s">
        <v>39</v>
      </c>
      <c r="E457" s="5">
        <v>-31360</v>
      </c>
      <c r="F457" s="3" t="s">
        <v>480</v>
      </c>
      <c r="G457" s="3" t="s">
        <v>87</v>
      </c>
      <c r="H457" s="2" t="s">
        <v>62</v>
      </c>
      <c r="I457" s="2" t="s">
        <v>1320</v>
      </c>
      <c r="J457" s="3" t="str">
        <f>HYPERLINK("https://www.boe.es/gazeta/dias/1814/02/19/pdfs/GRE-1814-23.pdf#page=2","Abrir facsímil")</f>
        <v>Abrir facsímil</v>
      </c>
      <c r="K457" s="3" t="s">
        <v>64</v>
      </c>
    </row>
    <row r="458" spans="1:11" ht="42" customHeight="1">
      <c r="A458" s="2" t="s">
        <v>1321</v>
      </c>
      <c r="B458" s="2" t="s">
        <v>1322</v>
      </c>
      <c r="C458" s="2" t="s">
        <v>38</v>
      </c>
      <c r="D458" s="2" t="s">
        <v>39</v>
      </c>
      <c r="E458" s="5">
        <v>-31066</v>
      </c>
      <c r="F458" s="3" t="s">
        <v>1323</v>
      </c>
      <c r="G458" s="3" t="s">
        <v>20</v>
      </c>
      <c r="H458" s="2" t="s">
        <v>62</v>
      </c>
      <c r="I458" s="2" t="s">
        <v>1324</v>
      </c>
      <c r="J458" s="3" t="str">
        <f>HYPERLINK("https://www.boe.es/gazeta/dias/1814/12/10/pdfs/GMD-1814-163.pdf#page=7","Abrir facsímil")</f>
        <v>Abrir facsímil</v>
      </c>
      <c r="K458" s="3" t="s">
        <v>64</v>
      </c>
    </row>
    <row r="459" spans="1:11" ht="42" customHeight="1">
      <c r="A459" s="2" t="s">
        <v>1325</v>
      </c>
      <c r="B459" s="2" t="s">
        <v>1326</v>
      </c>
      <c r="C459" s="2" t="s">
        <v>26</v>
      </c>
      <c r="D459" s="2" t="s">
        <v>27</v>
      </c>
      <c r="E459" s="5">
        <v>-31224</v>
      </c>
      <c r="F459" s="3" t="s">
        <v>609</v>
      </c>
      <c r="G459" s="3" t="s">
        <v>704</v>
      </c>
      <c r="H459" s="2" t="s">
        <v>62</v>
      </c>
      <c r="I459" s="2" t="s">
        <v>1327</v>
      </c>
      <c r="J459" s="3" t="str">
        <f>HYPERLINK("https://www.boe.es/gazeta/dias/1814/07/05/pdfs/GMD-1814-94.pdf#page=10","Abrir facsímil")</f>
        <v>Abrir facsímil</v>
      </c>
      <c r="K459" s="3" t="s">
        <v>64</v>
      </c>
    </row>
    <row r="460" spans="1:11" ht="42" customHeight="1">
      <c r="A460" s="2" t="s">
        <v>1328</v>
      </c>
      <c r="B460" s="2" t="s">
        <v>1329</v>
      </c>
      <c r="C460" s="2" t="s">
        <v>17</v>
      </c>
      <c r="D460" s="2" t="s">
        <v>18</v>
      </c>
      <c r="E460" s="5">
        <v>-31117</v>
      </c>
      <c r="F460" s="3" t="s">
        <v>172</v>
      </c>
      <c r="G460" s="3" t="s">
        <v>173</v>
      </c>
      <c r="H460" s="2" t="s">
        <v>62</v>
      </c>
      <c r="I460" s="2" t="s">
        <v>1330</v>
      </c>
      <c r="J460" s="3" t="str">
        <f>HYPERLINK("https://www.boe.es/gazeta/dias/1814/10/20/pdfs/GMD-1814-141.pdf#page=7","Abrir facsímil")</f>
        <v>Abrir facsímil</v>
      </c>
      <c r="K460" s="3" t="s">
        <v>64</v>
      </c>
    </row>
    <row r="461" spans="1:11" ht="42" customHeight="1">
      <c r="A461" s="2" t="s">
        <v>1331</v>
      </c>
      <c r="B461" s="2" t="s">
        <v>1332</v>
      </c>
      <c r="C461" s="2" t="s">
        <v>38</v>
      </c>
      <c r="D461" s="2" t="s">
        <v>39</v>
      </c>
      <c r="E461" s="5">
        <v>-31383</v>
      </c>
      <c r="F461" s="3" t="s">
        <v>715</v>
      </c>
      <c r="G461" s="3" t="s">
        <v>52</v>
      </c>
      <c r="H461" s="2" t="s">
        <v>62</v>
      </c>
      <c r="I461" s="2" t="s">
        <v>1333</v>
      </c>
      <c r="J461" s="3" t="str">
        <f>HYPERLINK("https://www.boe.es/gazeta/dias/1814/01/27/pdfs/GRE-1814-13.pdf#page=8","Abrir facsímil")</f>
        <v>Abrir facsímil</v>
      </c>
      <c r="K461" s="3" t="s">
        <v>64</v>
      </c>
    </row>
    <row r="462" spans="1:11" ht="42" customHeight="1">
      <c r="A462" s="2" t="s">
        <v>1334</v>
      </c>
      <c r="B462" s="2" t="s">
        <v>1335</v>
      </c>
      <c r="C462" s="2" t="s">
        <v>38</v>
      </c>
      <c r="D462" s="2" t="s">
        <v>39</v>
      </c>
      <c r="E462" s="5">
        <v>-31266</v>
      </c>
      <c r="F462" s="3" t="s">
        <v>191</v>
      </c>
      <c r="G462" s="3" t="s">
        <v>52</v>
      </c>
      <c r="H462" s="2" t="s">
        <v>62</v>
      </c>
      <c r="I462" s="2" t="s">
        <v>1336</v>
      </c>
      <c r="J462" s="3" t="str">
        <f>HYPERLINK("https://www.boe.es/gazeta/dias/1814/05/24/pdfs/GMD-1814-76.pdf#page=8","Abrir facsímil")</f>
        <v>Abrir facsímil</v>
      </c>
      <c r="K462" s="3" t="s">
        <v>64</v>
      </c>
    </row>
    <row r="463" spans="1:11" ht="42" customHeight="1">
      <c r="A463" s="2" t="s">
        <v>1337</v>
      </c>
      <c r="B463" s="2" t="s">
        <v>1338</v>
      </c>
      <c r="C463" s="2" t="s">
        <v>38</v>
      </c>
      <c r="D463" s="2" t="s">
        <v>314</v>
      </c>
      <c r="E463" s="5">
        <v>-31296</v>
      </c>
      <c r="F463" s="3" t="s">
        <v>315</v>
      </c>
      <c r="G463" s="3" t="s">
        <v>52</v>
      </c>
      <c r="H463" s="2" t="s">
        <v>62</v>
      </c>
      <c r="I463" s="2" t="s">
        <v>1339</v>
      </c>
      <c r="J463" s="3" t="str">
        <f>HYPERLINK("https://www.boe.es/gazeta/dias/1814/04/24/pdfs/GRE-1814-60E.pdf#page=8","Abrir facsímil")</f>
        <v>Abrir facsímil</v>
      </c>
      <c r="K463" s="3" t="s">
        <v>64</v>
      </c>
    </row>
    <row r="464" spans="1:11" ht="42" customHeight="1">
      <c r="A464" s="2" t="s">
        <v>1340</v>
      </c>
      <c r="B464" s="2" t="s">
        <v>1341</v>
      </c>
      <c r="C464" s="2" t="s">
        <v>38</v>
      </c>
      <c r="D464" s="2" t="s">
        <v>39</v>
      </c>
      <c r="E464" s="5">
        <v>-31355</v>
      </c>
      <c r="F464" s="3" t="s">
        <v>50</v>
      </c>
      <c r="G464" s="3" t="s">
        <v>20</v>
      </c>
      <c r="H464" s="2" t="s">
        <v>62</v>
      </c>
      <c r="I464" s="2" t="s">
        <v>1342</v>
      </c>
      <c r="J464" s="3" t="str">
        <f>HYPERLINK("https://www.boe.es/gazeta/dias/1814/02/24/pdfs/GRE-1814-26.pdf#page=7","Abrir facsímil")</f>
        <v>Abrir facsímil</v>
      </c>
      <c r="K464" s="3" t="s">
        <v>64</v>
      </c>
    </row>
    <row r="465" spans="1:11" ht="42" customHeight="1">
      <c r="A465" s="2" t="s">
        <v>1343</v>
      </c>
      <c r="B465" s="2" t="s">
        <v>1344</v>
      </c>
      <c r="C465" s="2" t="s">
        <v>38</v>
      </c>
      <c r="D465" s="2" t="s">
        <v>39</v>
      </c>
      <c r="E465" s="5">
        <v>-31220</v>
      </c>
      <c r="F465" s="3" t="s">
        <v>122</v>
      </c>
      <c r="G465" s="3" t="s">
        <v>57</v>
      </c>
      <c r="H465" s="2" t="s">
        <v>62</v>
      </c>
      <c r="I465" s="2" t="s">
        <v>1345</v>
      </c>
      <c r="J465" s="3" t="str">
        <f>HYPERLINK("https://www.boe.es/gazeta/dias/1814/07/09/pdfs/GMD-1814-96.pdf#page=6","Abrir facsímil")</f>
        <v>Abrir facsímil</v>
      </c>
      <c r="K465" s="3" t="s">
        <v>64</v>
      </c>
    </row>
    <row r="466" spans="1:11" ht="42" customHeight="1">
      <c r="A466" s="2" t="s">
        <v>1346</v>
      </c>
      <c r="B466" s="2" t="s">
        <v>1347</v>
      </c>
      <c r="C466" s="2" t="s">
        <v>26</v>
      </c>
      <c r="D466" s="2" t="s">
        <v>27</v>
      </c>
      <c r="E466" s="5">
        <v>-31245</v>
      </c>
      <c r="F466" s="3" t="s">
        <v>908</v>
      </c>
      <c r="G466" s="3" t="s">
        <v>1348</v>
      </c>
      <c r="H466" s="2" t="s">
        <v>62</v>
      </c>
      <c r="I466" s="2" t="s">
        <v>1349</v>
      </c>
      <c r="J466" s="3" t="str">
        <f>HYPERLINK("https://www.boe.es/gazeta/dias/1814/06/14/pdfs/GMD-1814-85.pdf#page=9","Abrir facsímil")</f>
        <v>Abrir facsímil</v>
      </c>
      <c r="K466" s="3" t="s">
        <v>64</v>
      </c>
    </row>
    <row r="467" spans="1:11" ht="42" customHeight="1">
      <c r="A467" s="2" t="s">
        <v>1350</v>
      </c>
      <c r="B467" s="2" t="s">
        <v>1351</v>
      </c>
      <c r="C467" s="2" t="s">
        <v>26</v>
      </c>
      <c r="D467" s="2" t="s">
        <v>27</v>
      </c>
      <c r="E467" s="5">
        <v>-31157</v>
      </c>
      <c r="F467" s="3" t="s">
        <v>206</v>
      </c>
      <c r="G467" s="3" t="s">
        <v>52</v>
      </c>
      <c r="H467" s="2" t="s">
        <v>62</v>
      </c>
      <c r="I467" s="2" t="s">
        <v>1352</v>
      </c>
      <c r="J467" s="3" t="str">
        <f>HYPERLINK("https://www.boe.es/gazeta/dias/1814/09/10/pdfs/GMD-1814-124.pdf#page=8","Abrir facsímil")</f>
        <v>Abrir facsímil</v>
      </c>
      <c r="K467" s="3" t="s">
        <v>64</v>
      </c>
    </row>
    <row r="468" spans="1:11" ht="42" customHeight="1">
      <c r="A468" s="2" t="s">
        <v>1353</v>
      </c>
      <c r="B468" s="2" t="s">
        <v>1354</v>
      </c>
      <c r="C468" s="2" t="s">
        <v>26</v>
      </c>
      <c r="D468" s="2" t="s">
        <v>27</v>
      </c>
      <c r="E468" s="5">
        <v>-31217</v>
      </c>
      <c r="F468" s="3" t="s">
        <v>506</v>
      </c>
      <c r="G468" s="3" t="s">
        <v>704</v>
      </c>
      <c r="H468" s="2" t="s">
        <v>62</v>
      </c>
      <c r="I468" s="2" t="s">
        <v>1355</v>
      </c>
      <c r="J468" s="3" t="str">
        <f>HYPERLINK("https://www.boe.es/gazeta/dias/1814/07/12/pdfs/GMD-1814-97.pdf#page=10","Abrir facsímil")</f>
        <v>Abrir facsímil</v>
      </c>
      <c r="K468" s="3" t="s">
        <v>64</v>
      </c>
    </row>
    <row r="469" spans="1:11" ht="42" customHeight="1">
      <c r="A469" s="2" t="s">
        <v>1353</v>
      </c>
      <c r="B469" s="2" t="s">
        <v>1354</v>
      </c>
      <c r="C469" s="2" t="s">
        <v>26</v>
      </c>
      <c r="D469" s="2" t="s">
        <v>27</v>
      </c>
      <c r="E469" s="5">
        <v>-31206</v>
      </c>
      <c r="F469" s="3" t="s">
        <v>1196</v>
      </c>
      <c r="G469" s="3" t="s">
        <v>99</v>
      </c>
      <c r="H469" s="2" t="s">
        <v>62</v>
      </c>
      <c r="I469" s="2" t="s">
        <v>1356</v>
      </c>
      <c r="J469" s="3" t="str">
        <f>HYPERLINK("https://www.boe.es/gazeta/dias/1814/07/23/pdfs/GMD-1814-102.pdf#page=5","Abrir facsímil")</f>
        <v>Abrir facsímil</v>
      </c>
      <c r="K469" s="3" t="s">
        <v>64</v>
      </c>
    </row>
    <row r="470" spans="1:11" ht="42" customHeight="1">
      <c r="A470" s="2" t="s">
        <v>1353</v>
      </c>
      <c r="B470" s="2" t="s">
        <v>1354</v>
      </c>
      <c r="C470" s="2" t="s">
        <v>26</v>
      </c>
      <c r="D470" s="2" t="s">
        <v>27</v>
      </c>
      <c r="E470" s="5">
        <v>-31199</v>
      </c>
      <c r="F470" s="3" t="s">
        <v>453</v>
      </c>
      <c r="G470" s="3" t="s">
        <v>20</v>
      </c>
      <c r="H470" s="2" t="s">
        <v>62</v>
      </c>
      <c r="I470" s="2" t="s">
        <v>1357</v>
      </c>
      <c r="J470" s="3" t="str">
        <f>HYPERLINK("https://www.boe.es/gazeta/dias/1814/07/30/pdfs/GMD-1814-105.pdf#page=7","Abrir facsímil")</f>
        <v>Abrir facsímil</v>
      </c>
      <c r="K470" s="3" t="s">
        <v>64</v>
      </c>
    </row>
    <row r="471" spans="1:11" ht="42" customHeight="1">
      <c r="A471" s="2" t="s">
        <v>1353</v>
      </c>
      <c r="B471" s="2" t="s">
        <v>1354</v>
      </c>
      <c r="C471" s="2" t="s">
        <v>26</v>
      </c>
      <c r="D471" s="2" t="s">
        <v>27</v>
      </c>
      <c r="E471" s="5">
        <v>-31196</v>
      </c>
      <c r="F471" s="3" t="s">
        <v>828</v>
      </c>
      <c r="G471" s="3" t="s">
        <v>52</v>
      </c>
      <c r="H471" s="2" t="s">
        <v>62</v>
      </c>
      <c r="I471" s="2" t="s">
        <v>1358</v>
      </c>
      <c r="J471" s="3" t="str">
        <f>HYPERLINK("https://www.boe.es/gazeta/dias/1814/08/02/pdfs/GMD-1814-106.pdf#page=8","Abrir facsímil")</f>
        <v>Abrir facsímil</v>
      </c>
      <c r="K471" s="3" t="s">
        <v>64</v>
      </c>
    </row>
    <row r="472" spans="1:11" ht="42" customHeight="1">
      <c r="A472" s="2" t="s">
        <v>1353</v>
      </c>
      <c r="B472" s="2" t="s">
        <v>1354</v>
      </c>
      <c r="C472" s="2" t="s">
        <v>26</v>
      </c>
      <c r="D472" s="2" t="s">
        <v>27</v>
      </c>
      <c r="E472" s="5">
        <v>-31185</v>
      </c>
      <c r="F472" s="3" t="s">
        <v>1238</v>
      </c>
      <c r="G472" s="3" t="s">
        <v>1359</v>
      </c>
      <c r="H472" s="2" t="s">
        <v>62</v>
      </c>
      <c r="I472" s="2" t="s">
        <v>1360</v>
      </c>
      <c r="J472" s="3" t="str">
        <f>HYPERLINK("https://www.boe.es/gazeta/dias/1814/08/13/pdfs/GMD-1814-111.pdf#page=6","Abrir facsímil")</f>
        <v>Abrir facsímil</v>
      </c>
      <c r="K472" s="3" t="s">
        <v>64</v>
      </c>
    </row>
    <row r="473" spans="1:11" ht="42" customHeight="1">
      <c r="A473" s="2" t="s">
        <v>1353</v>
      </c>
      <c r="B473" s="2" t="s">
        <v>1354</v>
      </c>
      <c r="C473" s="2" t="s">
        <v>26</v>
      </c>
      <c r="D473" s="2" t="s">
        <v>27</v>
      </c>
      <c r="E473" s="5">
        <v>-31161</v>
      </c>
      <c r="F473" s="3" t="s">
        <v>407</v>
      </c>
      <c r="G473" s="3" t="s">
        <v>1361</v>
      </c>
      <c r="H473" s="2" t="s">
        <v>62</v>
      </c>
      <c r="I473" s="2" t="s">
        <v>1362</v>
      </c>
      <c r="J473" s="3" t="str">
        <f>HYPERLINK("https://www.boe.es/gazeta/dias/1814/09/06/pdfs/GMD-1814-122.pdf#page=7","Abrir facsímil")</f>
        <v>Abrir facsímil</v>
      </c>
      <c r="K473" s="3" t="s">
        <v>64</v>
      </c>
    </row>
    <row r="474" spans="1:11" ht="42" customHeight="1">
      <c r="A474" s="2" t="s">
        <v>1353</v>
      </c>
      <c r="B474" s="2" t="s">
        <v>1354</v>
      </c>
      <c r="C474" s="2" t="s">
        <v>26</v>
      </c>
      <c r="D474" s="2" t="s">
        <v>27</v>
      </c>
      <c r="E474" s="5">
        <v>-31138</v>
      </c>
      <c r="F474" s="3" t="s">
        <v>1363</v>
      </c>
      <c r="G474" s="3" t="s">
        <v>1364</v>
      </c>
      <c r="H474" s="2" t="s">
        <v>62</v>
      </c>
      <c r="I474" s="2" t="s">
        <v>1365</v>
      </c>
      <c r="J474" s="3" t="str">
        <f>HYPERLINK("https://www.boe.es/gazeta/dias/1814/09/29/pdfs/GMD-1814-132.pdf#page=7","Abrir facsímil")</f>
        <v>Abrir facsímil</v>
      </c>
      <c r="K474" s="3" t="s">
        <v>64</v>
      </c>
    </row>
    <row r="475" spans="1:11" ht="42" customHeight="1">
      <c r="A475" s="2" t="s">
        <v>1353</v>
      </c>
      <c r="B475" s="2" t="s">
        <v>1354</v>
      </c>
      <c r="C475" s="2" t="s">
        <v>26</v>
      </c>
      <c r="D475" s="2" t="s">
        <v>27</v>
      </c>
      <c r="E475" s="5">
        <v>-31129</v>
      </c>
      <c r="F475" s="3" t="s">
        <v>418</v>
      </c>
      <c r="G475" s="3" t="s">
        <v>1366</v>
      </c>
      <c r="H475" s="2" t="s">
        <v>62</v>
      </c>
      <c r="I475" s="2" t="s">
        <v>1367</v>
      </c>
      <c r="J475" s="3" t="str">
        <f>HYPERLINK("https://www.boe.es/gazeta/dias/1814/10/08/pdfs/GMD-1814-136.pdf#page=6","Abrir facsímil")</f>
        <v>Abrir facsímil</v>
      </c>
      <c r="K475" s="3" t="s">
        <v>64</v>
      </c>
    </row>
    <row r="476" spans="1:11" ht="42" customHeight="1">
      <c r="A476" s="2" t="s">
        <v>1353</v>
      </c>
      <c r="B476" s="2" t="s">
        <v>1354</v>
      </c>
      <c r="C476" s="2" t="s">
        <v>26</v>
      </c>
      <c r="D476" s="2" t="s">
        <v>27</v>
      </c>
      <c r="E476" s="5">
        <v>-31122</v>
      </c>
      <c r="F476" s="3" t="s">
        <v>28</v>
      </c>
      <c r="G476" s="3" t="s">
        <v>57</v>
      </c>
      <c r="H476" s="2" t="s">
        <v>62</v>
      </c>
      <c r="I476" s="2" t="s">
        <v>1368</v>
      </c>
      <c r="J476" s="3" t="str">
        <f>HYPERLINK("https://www.boe.es/gazeta/dias/1814/10/15/pdfs/GMD-1814-139.pdf#page=6","Abrir facsímil")</f>
        <v>Abrir facsímil</v>
      </c>
      <c r="K476" s="3" t="s">
        <v>64</v>
      </c>
    </row>
    <row r="477" spans="1:11" ht="42" customHeight="1">
      <c r="A477" s="2" t="s">
        <v>1353</v>
      </c>
      <c r="B477" s="2" t="s">
        <v>1354</v>
      </c>
      <c r="C477" s="2" t="s">
        <v>26</v>
      </c>
      <c r="D477" s="2" t="s">
        <v>27</v>
      </c>
      <c r="E477" s="5">
        <v>-31103</v>
      </c>
      <c r="F477" s="3" t="s">
        <v>1260</v>
      </c>
      <c r="G477" s="3" t="s">
        <v>20</v>
      </c>
      <c r="H477" s="2" t="s">
        <v>62</v>
      </c>
      <c r="I477" s="2" t="s">
        <v>1369</v>
      </c>
      <c r="J477" s="3" t="str">
        <f>HYPERLINK("https://www.boe.es/gazeta/dias/1814/11/03/pdfs/GMD-1814-147.pdf#page=7","Abrir facsímil")</f>
        <v>Abrir facsímil</v>
      </c>
      <c r="K477" s="3" t="s">
        <v>64</v>
      </c>
    </row>
    <row r="478" spans="1:11" ht="42" customHeight="1">
      <c r="A478" s="2" t="s">
        <v>1370</v>
      </c>
      <c r="B478" s="2" t="s">
        <v>1371</v>
      </c>
      <c r="C478" s="2" t="s">
        <v>45</v>
      </c>
      <c r="D478" s="2" t="s">
        <v>18</v>
      </c>
      <c r="E478" s="5">
        <v>-31187</v>
      </c>
      <c r="F478" s="3" t="s">
        <v>518</v>
      </c>
      <c r="G478" s="3" t="s">
        <v>52</v>
      </c>
      <c r="H478" s="2" t="s">
        <v>62</v>
      </c>
      <c r="I478" s="2" t="s">
        <v>1372</v>
      </c>
      <c r="J478" s="3" t="str">
        <f>HYPERLINK("https://www.boe.es/gazeta/dias/1814/08/11/pdfs/GMD-1814-110.pdf#page=8","Abrir facsímil")</f>
        <v>Abrir facsímil</v>
      </c>
      <c r="K478" s="3" t="s">
        <v>64</v>
      </c>
    </row>
    <row r="479" spans="1:11" ht="42" customHeight="1">
      <c r="A479" s="2" t="s">
        <v>1373</v>
      </c>
      <c r="B479" s="2" t="s">
        <v>1374</v>
      </c>
      <c r="C479" s="2" t="s">
        <v>38</v>
      </c>
      <c r="D479" s="2" t="s">
        <v>39</v>
      </c>
      <c r="E479" s="5">
        <v>-31129</v>
      </c>
      <c r="F479" s="3" t="s">
        <v>418</v>
      </c>
      <c r="G479" s="3" t="s">
        <v>20</v>
      </c>
      <c r="H479" s="2" t="s">
        <v>62</v>
      </c>
      <c r="I479" s="2" t="s">
        <v>1375</v>
      </c>
      <c r="J479" s="3" t="str">
        <f>HYPERLINK("https://www.boe.es/gazeta/dias/1814/10/08/pdfs/GMD-1814-136.pdf#page=7","Abrir facsímil")</f>
        <v>Abrir facsímil</v>
      </c>
      <c r="K479" s="3" t="s">
        <v>64</v>
      </c>
    </row>
    <row r="480" spans="1:11" ht="42" customHeight="1">
      <c r="A480" s="2" t="s">
        <v>1376</v>
      </c>
      <c r="B480" s="2" t="s">
        <v>1377</v>
      </c>
      <c r="C480" s="2" t="s">
        <v>38</v>
      </c>
      <c r="D480" s="2" t="s">
        <v>39</v>
      </c>
      <c r="E480" s="5">
        <v>-31290</v>
      </c>
      <c r="F480" s="3" t="s">
        <v>488</v>
      </c>
      <c r="G480" s="3" t="s">
        <v>52</v>
      </c>
      <c r="H480" s="2" t="s">
        <v>62</v>
      </c>
      <c r="I480" s="2" t="s">
        <v>1378</v>
      </c>
      <c r="J480" s="3" t="str">
        <f>HYPERLINK("https://www.boe.es/gazeta/dias/1814/04/30/pdfs/GRE-1814-64.pdf#page=8","Abrir facsímil")</f>
        <v>Abrir facsímil</v>
      </c>
      <c r="K480" s="3" t="s">
        <v>64</v>
      </c>
    </row>
    <row r="481" spans="1:11" ht="42" customHeight="1">
      <c r="A481" s="2" t="s">
        <v>1379</v>
      </c>
      <c r="B481" s="2" t="s">
        <v>1380</v>
      </c>
      <c r="C481" s="2" t="s">
        <v>38</v>
      </c>
      <c r="D481" s="2" t="s">
        <v>39</v>
      </c>
      <c r="E481" s="5">
        <v>-31290</v>
      </c>
      <c r="F481" s="3" t="s">
        <v>488</v>
      </c>
      <c r="G481" s="3" t="s">
        <v>52</v>
      </c>
      <c r="H481" s="2" t="s">
        <v>62</v>
      </c>
      <c r="I481" s="2" t="s">
        <v>1381</v>
      </c>
      <c r="J481" s="3" t="str">
        <f>HYPERLINK("https://www.boe.es/gazeta/dias/1814/04/30/pdfs/GRE-1814-64.pdf#page=8","Abrir facsímil")</f>
        <v>Abrir facsímil</v>
      </c>
      <c r="K481" s="3" t="s">
        <v>64</v>
      </c>
    </row>
    <row r="482" spans="1:11" ht="42" customHeight="1">
      <c r="A482" s="2" t="s">
        <v>1382</v>
      </c>
      <c r="B482" s="2" t="s">
        <v>1383</v>
      </c>
      <c r="C482" s="2" t="s">
        <v>26</v>
      </c>
      <c r="D482" s="2" t="s">
        <v>27</v>
      </c>
      <c r="E482" s="5">
        <v>-31185</v>
      </c>
      <c r="F482" s="3" t="s">
        <v>1238</v>
      </c>
      <c r="G482" s="3" t="s">
        <v>41</v>
      </c>
      <c r="H482" s="2" t="s">
        <v>62</v>
      </c>
      <c r="I482" s="2" t="s">
        <v>1384</v>
      </c>
      <c r="J482" s="3" t="str">
        <f>HYPERLINK("https://www.boe.es/gazeta/dias/1814/08/13/pdfs/GMD-1814-111.pdf#page=4","Abrir facsímil")</f>
        <v>Abrir facsímil</v>
      </c>
      <c r="K482" s="3" t="s">
        <v>64</v>
      </c>
    </row>
    <row r="483" spans="1:11" ht="42" customHeight="1">
      <c r="A483" s="2" t="s">
        <v>1385</v>
      </c>
      <c r="B483" s="2" t="s">
        <v>1386</v>
      </c>
      <c r="C483" s="2" t="s">
        <v>38</v>
      </c>
      <c r="D483" s="2" t="s">
        <v>39</v>
      </c>
      <c r="E483" s="5">
        <v>-31129</v>
      </c>
      <c r="F483" s="3" t="s">
        <v>418</v>
      </c>
      <c r="G483" s="3" t="s">
        <v>52</v>
      </c>
      <c r="H483" s="2" t="s">
        <v>62</v>
      </c>
      <c r="I483" s="2" t="s">
        <v>1387</v>
      </c>
      <c r="J483" s="3" t="str">
        <f>HYPERLINK("https://www.boe.es/gazeta/dias/1814/10/08/pdfs/GMD-1814-136.pdf#page=8","Abrir facsímil")</f>
        <v>Abrir facsímil</v>
      </c>
      <c r="K483" s="3" t="s">
        <v>64</v>
      </c>
    </row>
    <row r="484" spans="1:11" ht="42" customHeight="1">
      <c r="A484" s="2" t="s">
        <v>1388</v>
      </c>
      <c r="B484" s="2" t="s">
        <v>1389</v>
      </c>
      <c r="C484" s="2" t="s">
        <v>26</v>
      </c>
      <c r="D484" s="2" t="s">
        <v>27</v>
      </c>
      <c r="E484" s="5">
        <v>-31178</v>
      </c>
      <c r="F484" s="3" t="s">
        <v>1390</v>
      </c>
      <c r="G484" s="3" t="s">
        <v>52</v>
      </c>
      <c r="H484" s="2" t="s">
        <v>62</v>
      </c>
      <c r="I484" s="2" t="s">
        <v>1391</v>
      </c>
      <c r="J484" s="3" t="str">
        <f>HYPERLINK("https://www.boe.es/gazeta/dias/1814/08/20/pdfs/GMD-1814-114.pdf#page=8","Abrir facsímil")</f>
        <v>Abrir facsímil</v>
      </c>
      <c r="K484" s="3" t="s">
        <v>64</v>
      </c>
    </row>
    <row r="485" spans="1:11" ht="42" customHeight="1">
      <c r="A485" s="2" t="s">
        <v>1392</v>
      </c>
      <c r="B485" s="2" t="s">
        <v>1393</v>
      </c>
      <c r="C485" s="2" t="s">
        <v>26</v>
      </c>
      <c r="D485" s="2" t="s">
        <v>27</v>
      </c>
      <c r="E485" s="5">
        <v>-31322</v>
      </c>
      <c r="F485" s="3" t="s">
        <v>114</v>
      </c>
      <c r="G485" s="3" t="s">
        <v>52</v>
      </c>
      <c r="H485" s="2" t="s">
        <v>62</v>
      </c>
      <c r="I485" s="2" t="s">
        <v>1394</v>
      </c>
      <c r="J485" s="3" t="str">
        <f>HYPERLINK("https://www.boe.es/gazeta/dias/1814/03/29/pdfs/GRE-1814-44.pdf#page=8","Abrir facsímil")</f>
        <v>Abrir facsímil</v>
      </c>
      <c r="K485" s="3" t="s">
        <v>64</v>
      </c>
    </row>
    <row r="486" spans="1:11" ht="42" customHeight="1">
      <c r="A486" s="2" t="s">
        <v>1395</v>
      </c>
      <c r="B486" s="2" t="s">
        <v>1396</v>
      </c>
      <c r="C486" s="2" t="s">
        <v>38</v>
      </c>
      <c r="D486" s="2" t="s">
        <v>39</v>
      </c>
      <c r="E486" s="5">
        <v>-31192</v>
      </c>
      <c r="F486" s="3" t="s">
        <v>388</v>
      </c>
      <c r="G486" s="3" t="s">
        <v>1397</v>
      </c>
      <c r="H486" s="2" t="s">
        <v>62</v>
      </c>
      <c r="I486" s="2" t="s">
        <v>1398</v>
      </c>
      <c r="J486" s="3" t="str">
        <f>HYPERLINK("https://www.boe.es/gazeta/dias/1814/08/06/pdfs/GMD-1814-108.pdf#page=8","Abrir facsímil")</f>
        <v>Abrir facsímil</v>
      </c>
      <c r="K486" s="3" t="s">
        <v>64</v>
      </c>
    </row>
    <row r="487" spans="1:11" ht="42" customHeight="1">
      <c r="A487" s="2" t="s">
        <v>1399</v>
      </c>
      <c r="B487" s="2" t="s">
        <v>1400</v>
      </c>
      <c r="C487" s="2" t="s">
        <v>38</v>
      </c>
      <c r="D487" s="2" t="s">
        <v>39</v>
      </c>
      <c r="E487" s="5">
        <v>-31292</v>
      </c>
      <c r="F487" s="3" t="s">
        <v>557</v>
      </c>
      <c r="G487" s="3" t="s">
        <v>20</v>
      </c>
      <c r="H487" s="2" t="s">
        <v>62</v>
      </c>
      <c r="I487" s="2" t="s">
        <v>1401</v>
      </c>
      <c r="J487" s="3" t="str">
        <f>HYPERLINK("https://www.boe.es/gazeta/dias/1814/04/28/pdfs/GRE-1814-63.pdf#page=7","Abrir facsímil")</f>
        <v>Abrir facsímil</v>
      </c>
      <c r="K487" s="3" t="s">
        <v>64</v>
      </c>
    </row>
    <row r="488" spans="1:11" ht="42" customHeight="1">
      <c r="A488" s="2" t="s">
        <v>1402</v>
      </c>
      <c r="B488" s="2" t="s">
        <v>1403</v>
      </c>
      <c r="C488" s="2" t="s">
        <v>38</v>
      </c>
      <c r="D488" s="2" t="s">
        <v>39</v>
      </c>
      <c r="E488" s="5">
        <v>-31381</v>
      </c>
      <c r="F488" s="3" t="s">
        <v>989</v>
      </c>
      <c r="G488" s="3" t="s">
        <v>52</v>
      </c>
      <c r="H488" s="2" t="s">
        <v>62</v>
      </c>
      <c r="I488" s="2" t="s">
        <v>1404</v>
      </c>
      <c r="J488" s="3" t="str">
        <f>HYPERLINK("https://www.boe.es/gazeta/dias/1814/01/29/pdfs/GRE-1814-14.pdf#page=8","Abrir facsímil")</f>
        <v>Abrir facsímil</v>
      </c>
      <c r="K488" s="3" t="s">
        <v>64</v>
      </c>
    </row>
    <row r="489" spans="1:11" ht="42" customHeight="1">
      <c r="A489" s="2" t="s">
        <v>1405</v>
      </c>
      <c r="B489" s="2" t="s">
        <v>1406</v>
      </c>
      <c r="C489" s="2" t="s">
        <v>38</v>
      </c>
      <c r="D489" s="2" t="s">
        <v>39</v>
      </c>
      <c r="E489" s="5">
        <v>-31052</v>
      </c>
      <c r="F489" s="3" t="s">
        <v>1407</v>
      </c>
      <c r="G489" s="3" t="s">
        <v>52</v>
      </c>
      <c r="H489" s="2" t="s">
        <v>62</v>
      </c>
      <c r="I489" s="2" t="s">
        <v>1408</v>
      </c>
      <c r="J489" s="3" t="str">
        <f>HYPERLINK("https://www.boe.es/gazeta/dias/1814/12/24/pdfs/GMD-1814-170.pdf#page=8","Abrir facsímil")</f>
        <v>Abrir facsímil</v>
      </c>
      <c r="K489" s="3" t="s">
        <v>64</v>
      </c>
    </row>
    <row r="490" spans="1:11" ht="42" customHeight="1">
      <c r="A490" s="2" t="s">
        <v>1409</v>
      </c>
      <c r="B490" s="2" t="s">
        <v>1410</v>
      </c>
      <c r="C490" s="2" t="s">
        <v>38</v>
      </c>
      <c r="D490" s="2" t="s">
        <v>39</v>
      </c>
      <c r="E490" s="5">
        <v>-31315</v>
      </c>
      <c r="F490" s="3" t="s">
        <v>645</v>
      </c>
      <c r="G490" s="3" t="s">
        <v>57</v>
      </c>
      <c r="H490" s="2" t="s">
        <v>62</v>
      </c>
      <c r="I490" s="2" t="s">
        <v>1411</v>
      </c>
      <c r="J490" s="3" t="str">
        <f>HYPERLINK("https://www.boe.es/gazeta/dias/1814/04/05/pdfs/GRE-1814-49.pdf#page=6","Abrir facsímil")</f>
        <v>Abrir facsímil</v>
      </c>
      <c r="K490" s="3" t="s">
        <v>64</v>
      </c>
    </row>
    <row r="491" spans="1:11" ht="42" customHeight="1">
      <c r="A491" s="2" t="s">
        <v>1412</v>
      </c>
      <c r="B491" s="2" t="s">
        <v>1413</v>
      </c>
      <c r="C491" s="2" t="s">
        <v>38</v>
      </c>
      <c r="D491" s="2" t="s">
        <v>39</v>
      </c>
      <c r="E491" s="5">
        <v>-31136</v>
      </c>
      <c r="F491" s="3" t="s">
        <v>956</v>
      </c>
      <c r="G491" s="3" t="s">
        <v>957</v>
      </c>
      <c r="H491" s="2" t="s">
        <v>62</v>
      </c>
      <c r="I491" s="2" t="s">
        <v>1414</v>
      </c>
      <c r="J491" s="3" t="str">
        <f>HYPERLINK("https://www.boe.es/gazeta/dias/1814/10/01/pdfs/GMD-1814-133.pdf#page=8","Abrir facsímil")</f>
        <v>Abrir facsímil</v>
      </c>
      <c r="K491" s="3" t="s">
        <v>64</v>
      </c>
    </row>
    <row r="492" spans="1:11" ht="42" customHeight="1">
      <c r="A492" s="2" t="s">
        <v>1415</v>
      </c>
      <c r="B492" s="2" t="s">
        <v>1416</v>
      </c>
      <c r="C492" s="2" t="s">
        <v>26</v>
      </c>
      <c r="D492" s="2" t="s">
        <v>27</v>
      </c>
      <c r="E492" s="5">
        <v>-31122</v>
      </c>
      <c r="F492" s="3" t="s">
        <v>28</v>
      </c>
      <c r="G492" s="3" t="s">
        <v>57</v>
      </c>
      <c r="H492" s="2" t="s">
        <v>62</v>
      </c>
      <c r="I492" s="2" t="s">
        <v>1417</v>
      </c>
      <c r="J492" s="3" t="str">
        <f>HYPERLINK("https://www.boe.es/gazeta/dias/1814/10/15/pdfs/GMD-1814-139.pdf#page=6","Abrir facsímil")</f>
        <v>Abrir facsímil</v>
      </c>
      <c r="K492" s="3" t="s">
        <v>64</v>
      </c>
    </row>
    <row r="493" spans="1:11" ht="42" customHeight="1">
      <c r="A493" s="2" t="s">
        <v>1418</v>
      </c>
      <c r="B493" s="2" t="s">
        <v>1419</v>
      </c>
      <c r="C493" s="2" t="s">
        <v>26</v>
      </c>
      <c r="D493" s="2" t="s">
        <v>27</v>
      </c>
      <c r="E493" s="5">
        <v>-31171</v>
      </c>
      <c r="F493" s="3" t="s">
        <v>157</v>
      </c>
      <c r="G493" s="3" t="s">
        <v>158</v>
      </c>
      <c r="H493" s="2" t="s">
        <v>62</v>
      </c>
      <c r="I493" s="2" t="s">
        <v>1420</v>
      </c>
      <c r="J493" s="3" t="str">
        <f>HYPERLINK("https://www.boe.es/gazeta/dias/1814/08/27/pdfs/GMD-1814-117.pdf#page=7","Abrir facsímil")</f>
        <v>Abrir facsímil</v>
      </c>
      <c r="K493" s="3" t="s">
        <v>64</v>
      </c>
    </row>
    <row r="494" spans="1:11" ht="42" customHeight="1">
      <c r="A494" s="2" t="s">
        <v>1421</v>
      </c>
      <c r="B494" s="2" t="s">
        <v>1422</v>
      </c>
      <c r="C494" s="2" t="s">
        <v>26</v>
      </c>
      <c r="D494" s="2" t="s">
        <v>27</v>
      </c>
      <c r="E494" s="5">
        <v>-31164</v>
      </c>
      <c r="F494" s="3" t="s">
        <v>1423</v>
      </c>
      <c r="G494" s="3" t="s">
        <v>20</v>
      </c>
      <c r="H494" s="2" t="s">
        <v>62</v>
      </c>
      <c r="I494" s="2" t="s">
        <v>1424</v>
      </c>
      <c r="J494" s="3" t="str">
        <f>HYPERLINK("https://www.boe.es/gazeta/dias/1814/09/03/pdfs/GMD-1814-121.pdf#page=7","Abrir facsímil")</f>
        <v>Abrir facsímil</v>
      </c>
      <c r="K494" s="3" t="s">
        <v>64</v>
      </c>
    </row>
    <row r="495" spans="1:11" ht="42" customHeight="1">
      <c r="A495" s="2" t="s">
        <v>1425</v>
      </c>
      <c r="B495" s="2" t="s">
        <v>1426</v>
      </c>
      <c r="C495" s="2" t="s">
        <v>144</v>
      </c>
      <c r="D495" s="2" t="s">
        <v>18</v>
      </c>
      <c r="E495" s="5">
        <v>-31045</v>
      </c>
      <c r="F495" s="3" t="s">
        <v>165</v>
      </c>
      <c r="G495" s="3" t="s">
        <v>52</v>
      </c>
      <c r="H495" s="2" t="s">
        <v>62</v>
      </c>
      <c r="I495" s="2" t="s">
        <v>1427</v>
      </c>
      <c r="J495" s="3" t="str">
        <f>HYPERLINK("https://www.boe.es/gazeta/dias/1814/12/31/pdfs/GMD-1814-173.pdf#page=8","Abrir facsímil")</f>
        <v>Abrir facsímil</v>
      </c>
      <c r="K495" s="3" t="s">
        <v>64</v>
      </c>
    </row>
    <row r="496" spans="1:11" ht="42" customHeight="1">
      <c r="A496" s="2" t="s">
        <v>1428</v>
      </c>
      <c r="B496" s="2" t="s">
        <v>1428</v>
      </c>
      <c r="C496" s="2" t="s">
        <v>38</v>
      </c>
      <c r="D496" s="2" t="s">
        <v>314</v>
      </c>
      <c r="E496" s="5">
        <v>-31328</v>
      </c>
      <c r="F496" s="3" t="s">
        <v>442</v>
      </c>
      <c r="G496" s="3" t="s">
        <v>20</v>
      </c>
      <c r="H496" s="2" t="s">
        <v>62</v>
      </c>
      <c r="I496" s="2" t="s">
        <v>1429</v>
      </c>
      <c r="J496" s="3" t="str">
        <f>HYPERLINK("https://www.boe.es/gazeta/dias/1814/03/23/pdfs/GRE-1814-40E.pdf#page=7","Abrir facsímil")</f>
        <v>Abrir facsímil</v>
      </c>
      <c r="K496" s="3" t="s">
        <v>64</v>
      </c>
    </row>
    <row r="497" spans="1:11" ht="42" customHeight="1">
      <c r="A497" s="2" t="s">
        <v>1430</v>
      </c>
      <c r="B497" s="2" t="s">
        <v>1430</v>
      </c>
      <c r="C497" s="2" t="s">
        <v>17</v>
      </c>
      <c r="D497" s="2" t="s">
        <v>18</v>
      </c>
      <c r="E497" s="5">
        <v>-31080</v>
      </c>
      <c r="F497" s="3" t="s">
        <v>286</v>
      </c>
      <c r="G497" s="3" t="s">
        <v>57</v>
      </c>
      <c r="H497" s="2" t="s">
        <v>62</v>
      </c>
      <c r="I497" s="2" t="s">
        <v>1431</v>
      </c>
      <c r="J497" s="3" t="str">
        <f>HYPERLINK("https://www.boe.es/gazeta/dias/1814/11/26/pdfs/GMD-1814-157.pdf#page=6","Abrir facsímil")</f>
        <v>Abrir facsímil</v>
      </c>
      <c r="K497" s="3" t="s">
        <v>64</v>
      </c>
    </row>
    <row r="498" spans="1:11" ht="42" customHeight="1">
      <c r="A498" s="2" t="s">
        <v>1432</v>
      </c>
      <c r="B498" s="2" t="s">
        <v>1433</v>
      </c>
      <c r="C498" s="2" t="s">
        <v>17</v>
      </c>
      <c r="D498" s="2" t="s">
        <v>18</v>
      </c>
      <c r="E498" s="5">
        <v>-31383</v>
      </c>
      <c r="F498" s="3" t="s">
        <v>715</v>
      </c>
      <c r="G498" s="3" t="s">
        <v>57</v>
      </c>
      <c r="H498" s="2" t="s">
        <v>62</v>
      </c>
      <c r="I498" s="2" t="s">
        <v>1434</v>
      </c>
      <c r="J498" s="3" t="str">
        <f>HYPERLINK("https://www.boe.es/gazeta/dias/1814/01/27/pdfs/GRE-1814-13.pdf#page=6","Abrir facsímil")</f>
        <v>Abrir facsímil</v>
      </c>
      <c r="K498" s="3" t="s">
        <v>64</v>
      </c>
    </row>
    <row r="499" spans="1:11" ht="42" customHeight="1">
      <c r="A499" s="2" t="s">
        <v>1435</v>
      </c>
      <c r="B499" s="2" t="s">
        <v>1436</v>
      </c>
      <c r="C499" s="2" t="s">
        <v>38</v>
      </c>
      <c r="D499" s="2" t="s">
        <v>39</v>
      </c>
      <c r="E499" s="5">
        <v>-31252</v>
      </c>
      <c r="F499" s="3" t="s">
        <v>364</v>
      </c>
      <c r="G499" s="3" t="s">
        <v>1437</v>
      </c>
      <c r="H499" s="2" t="s">
        <v>62</v>
      </c>
      <c r="I499" s="2" t="s">
        <v>1438</v>
      </c>
      <c r="J499" s="3" t="str">
        <f>HYPERLINK("https://www.boe.es/gazeta/dias/1814/06/07/pdfs/GMD-1814-82.pdf#page=11","Abrir facsímil")</f>
        <v>Abrir facsímil</v>
      </c>
      <c r="K499" s="3" t="s">
        <v>64</v>
      </c>
    </row>
    <row r="500" spans="1:11" ht="42" customHeight="1">
      <c r="A500" s="2" t="s">
        <v>1439</v>
      </c>
      <c r="B500" s="2" t="s">
        <v>1439</v>
      </c>
      <c r="C500" s="2" t="s">
        <v>38</v>
      </c>
      <c r="D500" s="2" t="s">
        <v>39</v>
      </c>
      <c r="E500" s="5">
        <v>-31126</v>
      </c>
      <c r="F500" s="3" t="s">
        <v>56</v>
      </c>
      <c r="G500" s="3" t="s">
        <v>52</v>
      </c>
      <c r="H500" s="2" t="s">
        <v>62</v>
      </c>
      <c r="I500" s="2" t="s">
        <v>1440</v>
      </c>
      <c r="J500" s="3" t="str">
        <f>HYPERLINK("https://www.boe.es/gazeta/dias/1814/10/11/pdfs/GMD-1814-137.pdf#page=8","Abrir facsímil")</f>
        <v>Abrir facsímil</v>
      </c>
      <c r="K500" s="3" t="s">
        <v>64</v>
      </c>
    </row>
    <row r="501" spans="1:11" ht="42" customHeight="1">
      <c r="A501" s="2" t="s">
        <v>1441</v>
      </c>
      <c r="B501" s="2" t="s">
        <v>1442</v>
      </c>
      <c r="C501" s="2" t="s">
        <v>38</v>
      </c>
      <c r="D501" s="2" t="s">
        <v>39</v>
      </c>
      <c r="E501" s="5">
        <v>-31238</v>
      </c>
      <c r="F501" s="3" t="s">
        <v>127</v>
      </c>
      <c r="G501" s="3" t="s">
        <v>322</v>
      </c>
      <c r="H501" s="2" t="s">
        <v>62</v>
      </c>
      <c r="I501" s="2" t="s">
        <v>1443</v>
      </c>
      <c r="J501" s="3" t="str">
        <f>HYPERLINK("https://www.boe.es/gazeta/dias/1814/06/21/pdfs/GMD-1814-88.pdf#page=12","Abrir facsímil")</f>
        <v>Abrir facsímil</v>
      </c>
      <c r="K501" s="3" t="s">
        <v>64</v>
      </c>
    </row>
    <row r="502" spans="1:11" ht="42" customHeight="1">
      <c r="A502" s="2" t="s">
        <v>1444</v>
      </c>
      <c r="B502" s="2" t="s">
        <v>1445</v>
      </c>
      <c r="C502" s="2" t="s">
        <v>38</v>
      </c>
      <c r="D502" s="2" t="s">
        <v>39</v>
      </c>
      <c r="E502" s="5">
        <v>-31399</v>
      </c>
      <c r="F502" s="3" t="s">
        <v>218</v>
      </c>
      <c r="G502" s="3" t="s">
        <v>20</v>
      </c>
      <c r="H502" s="2" t="s">
        <v>62</v>
      </c>
      <c r="I502" s="2" t="s">
        <v>1446</v>
      </c>
      <c r="J502" s="3" t="str">
        <f>HYPERLINK("https://www.boe.es/gazeta/dias/1814/01/11/pdfs/GRE-1814-6.pdf#page=7","Abrir facsímil")</f>
        <v>Abrir facsímil</v>
      </c>
      <c r="K502" s="3" t="s">
        <v>64</v>
      </c>
    </row>
    <row r="503" spans="1:11" ht="42" customHeight="1">
      <c r="A503" s="2" t="s">
        <v>1447</v>
      </c>
      <c r="B503" s="2" t="s">
        <v>1447</v>
      </c>
      <c r="C503" s="2" t="s">
        <v>38</v>
      </c>
      <c r="D503" s="2" t="s">
        <v>39</v>
      </c>
      <c r="E503" s="5">
        <v>-31215</v>
      </c>
      <c r="F503" s="3" t="s">
        <v>372</v>
      </c>
      <c r="G503" s="3" t="s">
        <v>82</v>
      </c>
      <c r="H503" s="2" t="s">
        <v>62</v>
      </c>
      <c r="I503" s="2" t="s">
        <v>1448</v>
      </c>
      <c r="J503" s="3" t="str">
        <f>HYPERLINK("https://www.boe.es/gazeta/dias/1814/07/14/pdfs/GMD-1814-98.pdf#page=3","Abrir facsímil")</f>
        <v>Abrir facsímil</v>
      </c>
      <c r="K503" s="3" t="s">
        <v>64</v>
      </c>
    </row>
    <row r="504" spans="1:11" ht="42" customHeight="1">
      <c r="A504" s="2" t="s">
        <v>1449</v>
      </c>
      <c r="B504" s="2" t="s">
        <v>1450</v>
      </c>
      <c r="C504" s="2" t="s">
        <v>38</v>
      </c>
      <c r="D504" s="2" t="s">
        <v>39</v>
      </c>
      <c r="E504" s="5">
        <v>-31210</v>
      </c>
      <c r="F504" s="3" t="s">
        <v>141</v>
      </c>
      <c r="G504" s="3" t="s">
        <v>99</v>
      </c>
      <c r="H504" s="2" t="s">
        <v>62</v>
      </c>
      <c r="I504" s="2" t="s">
        <v>1451</v>
      </c>
      <c r="J504" s="3" t="str">
        <f>HYPERLINK("https://www.boe.es/gazeta/dias/1814/07/19/pdfs/GMD-1814-100.pdf#page=5","Abrir facsímil")</f>
        <v>Abrir facsímil</v>
      </c>
      <c r="K504" s="3" t="s">
        <v>64</v>
      </c>
    </row>
    <row r="505" spans="1:11" ht="42" customHeight="1">
      <c r="A505" s="2" t="s">
        <v>1452</v>
      </c>
      <c r="B505" s="2" t="s">
        <v>1453</v>
      </c>
      <c r="C505" s="2" t="s">
        <v>45</v>
      </c>
      <c r="D505" s="2" t="s">
        <v>18</v>
      </c>
      <c r="E505" s="5">
        <v>-31117</v>
      </c>
      <c r="F505" s="3" t="s">
        <v>172</v>
      </c>
      <c r="G505" s="3" t="s">
        <v>392</v>
      </c>
      <c r="H505" s="2" t="s">
        <v>21</v>
      </c>
      <c r="I505" s="2" t="s">
        <v>1454</v>
      </c>
      <c r="J505" s="3" t="str">
        <f>HYPERLINK("https://www.boe.es/gazeta/dias/1814/10/20/pdfs/GMD-1814-141.pdf#page=8","Abrir facsímil")</f>
        <v>Abrir facsímil</v>
      </c>
      <c r="K505" s="3" t="s">
        <v>23</v>
      </c>
    </row>
    <row r="506" spans="1:11" ht="42" customHeight="1">
      <c r="A506" s="2" t="s">
        <v>1455</v>
      </c>
      <c r="B506" s="2" t="s">
        <v>1456</v>
      </c>
      <c r="C506" s="2" t="s">
        <v>38</v>
      </c>
      <c r="D506" s="2" t="s">
        <v>39</v>
      </c>
      <c r="E506" s="5">
        <v>-31264</v>
      </c>
      <c r="F506" s="3" t="s">
        <v>396</v>
      </c>
      <c r="G506" s="3" t="s">
        <v>82</v>
      </c>
      <c r="H506" s="2" t="s">
        <v>62</v>
      </c>
      <c r="I506" s="2" t="s">
        <v>1457</v>
      </c>
      <c r="J506" s="3" t="str">
        <f>HYPERLINK("https://www.boe.es/gazeta/dias/1814/05/26/pdfs/GMD-1814-77.pdf#page=3","Abrir facsímil")</f>
        <v>Abrir facsímil</v>
      </c>
      <c r="K506" s="3" t="s">
        <v>64</v>
      </c>
    </row>
    <row r="507" spans="1:11" ht="42" customHeight="1">
      <c r="A507" s="2" t="s">
        <v>1458</v>
      </c>
      <c r="B507" s="2" t="s">
        <v>1459</v>
      </c>
      <c r="C507" s="2" t="s">
        <v>38</v>
      </c>
      <c r="D507" s="2" t="s">
        <v>39</v>
      </c>
      <c r="E507" s="5">
        <v>-31357</v>
      </c>
      <c r="F507" s="3" t="s">
        <v>1460</v>
      </c>
      <c r="G507" s="3" t="s">
        <v>52</v>
      </c>
      <c r="H507" s="2" t="s">
        <v>62</v>
      </c>
      <c r="I507" s="2" t="s">
        <v>1461</v>
      </c>
      <c r="J507" s="3" t="str">
        <f>HYPERLINK("https://www.boe.es/gazeta/dias/1814/02/22/pdfs/GRE-1814-25.pdf#page=8","Abrir facsímil")</f>
        <v>Abrir facsímil</v>
      </c>
      <c r="K507" s="3" t="s">
        <v>64</v>
      </c>
    </row>
    <row r="508" spans="1:11" ht="42" customHeight="1">
      <c r="A508" s="2" t="s">
        <v>1462</v>
      </c>
      <c r="B508" s="2" t="s">
        <v>1462</v>
      </c>
      <c r="C508" s="2" t="s">
        <v>38</v>
      </c>
      <c r="D508" s="2" t="s">
        <v>39</v>
      </c>
      <c r="E508" s="5">
        <v>-31222</v>
      </c>
      <c r="F508" s="3" t="s">
        <v>153</v>
      </c>
      <c r="G508" s="3" t="s">
        <v>20</v>
      </c>
      <c r="H508" s="2" t="s">
        <v>62</v>
      </c>
      <c r="I508" s="2" t="s">
        <v>1463</v>
      </c>
      <c r="J508" s="3" t="str">
        <f>HYPERLINK("https://www.boe.es/gazeta/dias/1814/07/07/pdfs/GMD-1814-95.pdf#page=7","Abrir facsímil")</f>
        <v>Abrir facsímil</v>
      </c>
      <c r="K508" s="3" t="s">
        <v>64</v>
      </c>
    </row>
    <row r="509" spans="1:11" ht="42" customHeight="1">
      <c r="A509" s="2" t="s">
        <v>1464</v>
      </c>
      <c r="B509" s="2" t="s">
        <v>1464</v>
      </c>
      <c r="C509" s="2" t="s">
        <v>26</v>
      </c>
      <c r="D509" s="2" t="s">
        <v>27</v>
      </c>
      <c r="E509" s="5">
        <v>-31066</v>
      </c>
      <c r="F509" s="3" t="s">
        <v>1323</v>
      </c>
      <c r="G509" s="3" t="s">
        <v>99</v>
      </c>
      <c r="H509" s="2" t="s">
        <v>62</v>
      </c>
      <c r="I509" s="2" t="s">
        <v>1465</v>
      </c>
      <c r="J509" s="3" t="str">
        <f>HYPERLINK("https://www.boe.es/gazeta/dias/1814/12/10/pdfs/GMD-1814-163.pdf#page=5","Abrir facsímil")</f>
        <v>Abrir facsímil</v>
      </c>
      <c r="K509" s="3" t="s">
        <v>64</v>
      </c>
    </row>
    <row r="510" spans="1:11" ht="42" customHeight="1">
      <c r="A510" s="2" t="s">
        <v>1466</v>
      </c>
      <c r="B510" s="2" t="s">
        <v>1467</v>
      </c>
      <c r="C510" s="2" t="s">
        <v>17</v>
      </c>
      <c r="D510" s="2" t="s">
        <v>18</v>
      </c>
      <c r="E510" s="5">
        <v>-31122</v>
      </c>
      <c r="F510" s="3" t="s">
        <v>28</v>
      </c>
      <c r="G510" s="3" t="s">
        <v>20</v>
      </c>
      <c r="H510" s="2" t="s">
        <v>62</v>
      </c>
      <c r="I510" s="2" t="s">
        <v>1468</v>
      </c>
      <c r="J510" s="3" t="str">
        <f>HYPERLINK("https://www.boe.es/gazeta/dias/1814/10/15/pdfs/GMD-1814-139.pdf#page=7","Abrir facsímil")</f>
        <v>Abrir facsímil</v>
      </c>
      <c r="K510" s="3" t="s">
        <v>64</v>
      </c>
    </row>
    <row r="511" spans="1:11" ht="42" customHeight="1">
      <c r="A511" s="2" t="s">
        <v>1469</v>
      </c>
      <c r="B511" s="2" t="s">
        <v>1470</v>
      </c>
      <c r="C511" s="2" t="s">
        <v>32</v>
      </c>
      <c r="D511" s="2" t="s">
        <v>18</v>
      </c>
      <c r="E511" s="5">
        <v>-31045</v>
      </c>
      <c r="F511" s="3" t="s">
        <v>165</v>
      </c>
      <c r="G511" s="3" t="s">
        <v>52</v>
      </c>
      <c r="H511" s="2" t="s">
        <v>62</v>
      </c>
      <c r="I511" s="2" t="s">
        <v>1471</v>
      </c>
      <c r="J511" s="3" t="str">
        <f>HYPERLINK("https://www.boe.es/gazeta/dias/1814/12/31/pdfs/GMD-1814-173.pdf#page=8","Abrir facsímil")</f>
        <v>Abrir facsímil</v>
      </c>
      <c r="K511" s="3" t="s">
        <v>64</v>
      </c>
    </row>
    <row r="512" spans="1:11" ht="42" customHeight="1">
      <c r="A512" s="2" t="s">
        <v>1472</v>
      </c>
      <c r="B512" s="2" t="s">
        <v>1473</v>
      </c>
      <c r="C512" s="2" t="s">
        <v>26</v>
      </c>
      <c r="D512" s="2" t="s">
        <v>27</v>
      </c>
      <c r="E512" s="5">
        <v>-31182</v>
      </c>
      <c r="F512" s="3" t="s">
        <v>19</v>
      </c>
      <c r="G512" s="3" t="s">
        <v>82</v>
      </c>
      <c r="H512" s="2" t="s">
        <v>62</v>
      </c>
      <c r="I512" s="2" t="s">
        <v>1474</v>
      </c>
      <c r="J512" s="3" t="str">
        <f>HYPERLINK("https://www.boe.es/gazeta/dias/1814/08/16/pdfs/GMD-1814-112.pdf#page=3","Abrir facsímil")</f>
        <v>Abrir facsímil</v>
      </c>
      <c r="K512" s="3" t="s">
        <v>64</v>
      </c>
    </row>
    <row r="513" spans="1:11" ht="42" customHeight="1">
      <c r="A513" s="2" t="s">
        <v>1475</v>
      </c>
      <c r="B513" s="2" t="s">
        <v>1476</v>
      </c>
      <c r="C513" s="2" t="s">
        <v>38</v>
      </c>
      <c r="D513" s="2" t="s">
        <v>39</v>
      </c>
      <c r="E513" s="5">
        <v>-31091</v>
      </c>
      <c r="F513" s="3" t="s">
        <v>1156</v>
      </c>
      <c r="G513" s="3" t="s">
        <v>52</v>
      </c>
      <c r="H513" s="2" t="s">
        <v>62</v>
      </c>
      <c r="I513" s="2" t="s">
        <v>1477</v>
      </c>
      <c r="J513" s="3" t="str">
        <f>HYPERLINK("https://www.boe.es/gazeta/dias/1814/11/15/pdfs/GMD-1814-152.pdf#page=8","Abrir facsímil")</f>
        <v>Abrir facsímil</v>
      </c>
      <c r="K513" s="3" t="s">
        <v>64</v>
      </c>
    </row>
    <row r="514" spans="1:11" ht="42" customHeight="1">
      <c r="A514" s="2" t="s">
        <v>1478</v>
      </c>
      <c r="B514" s="2" t="s">
        <v>1479</v>
      </c>
      <c r="C514" s="2" t="s">
        <v>144</v>
      </c>
      <c r="D514" s="2" t="s">
        <v>18</v>
      </c>
      <c r="E514" s="5">
        <v>-31192</v>
      </c>
      <c r="F514" s="3" t="s">
        <v>388</v>
      </c>
      <c r="G514" s="3" t="s">
        <v>20</v>
      </c>
      <c r="H514" s="2" t="s">
        <v>62</v>
      </c>
      <c r="I514" s="2" t="s">
        <v>1480</v>
      </c>
      <c r="J514" s="3" t="str">
        <f>HYPERLINK("https://www.boe.es/gazeta/dias/1814/08/06/pdfs/GMD-1814-108.pdf#page=7","Abrir facsímil")</f>
        <v>Abrir facsímil</v>
      </c>
      <c r="K514" s="3" t="s">
        <v>64</v>
      </c>
    </row>
    <row r="515" spans="1:11" ht="42" customHeight="1">
      <c r="A515" s="2" t="s">
        <v>1481</v>
      </c>
      <c r="B515" s="2" t="s">
        <v>1481</v>
      </c>
      <c r="C515" s="2" t="s">
        <v>38</v>
      </c>
      <c r="D515" s="2" t="s">
        <v>39</v>
      </c>
      <c r="E515" s="5">
        <v>-31269</v>
      </c>
      <c r="F515" s="3" t="s">
        <v>496</v>
      </c>
      <c r="G515" s="3" t="s">
        <v>82</v>
      </c>
      <c r="H515" s="2" t="s">
        <v>62</v>
      </c>
      <c r="I515" s="2" t="s">
        <v>1482</v>
      </c>
      <c r="J515" s="3" t="str">
        <f>HYPERLINK("https://www.boe.es/gazeta/dias/1814/05/21/pdfs/GMD-1814-75.pdf#page=3","Abrir facsímil")</f>
        <v>Abrir facsímil</v>
      </c>
      <c r="K515" s="3" t="s">
        <v>64</v>
      </c>
    </row>
    <row r="516" spans="1:11" ht="42" customHeight="1">
      <c r="A516" s="2" t="s">
        <v>1481</v>
      </c>
      <c r="B516" s="2" t="s">
        <v>1481</v>
      </c>
      <c r="C516" s="2" t="s">
        <v>26</v>
      </c>
      <c r="D516" s="2" t="s">
        <v>27</v>
      </c>
      <c r="E516" s="5">
        <v>-31119</v>
      </c>
      <c r="F516" s="3" t="s">
        <v>136</v>
      </c>
      <c r="G516" s="3" t="s">
        <v>20</v>
      </c>
      <c r="H516" s="2" t="s">
        <v>62</v>
      </c>
      <c r="I516" s="2" t="s">
        <v>1483</v>
      </c>
      <c r="J516" s="3" t="str">
        <f>HYPERLINK("https://www.boe.es/gazeta/dias/1814/10/18/pdfs/GMD-1814-140.pdf#page=7","Abrir facsímil")</f>
        <v>Abrir facsímil</v>
      </c>
      <c r="K516" s="3" t="s">
        <v>64</v>
      </c>
    </row>
    <row r="517" spans="1:11" ht="42" customHeight="1">
      <c r="A517" s="2" t="s">
        <v>1481</v>
      </c>
      <c r="B517" s="2" t="s">
        <v>1481</v>
      </c>
      <c r="C517" s="2" t="s">
        <v>38</v>
      </c>
      <c r="D517" s="2" t="s">
        <v>39</v>
      </c>
      <c r="E517" s="5">
        <v>-31049</v>
      </c>
      <c r="F517" s="3" t="s">
        <v>542</v>
      </c>
      <c r="G517" s="3" t="s">
        <v>87</v>
      </c>
      <c r="H517" s="2" t="s">
        <v>62</v>
      </c>
      <c r="I517" s="2" t="s">
        <v>1484</v>
      </c>
      <c r="J517" s="3" t="str">
        <f>HYPERLINK("https://www.boe.es/gazeta/dias/1814/12/27/pdfs/GMD-1814-171.pdf#page=2","Abrir facsímil")</f>
        <v>Abrir facsímil</v>
      </c>
      <c r="K517" s="3" t="s">
        <v>64</v>
      </c>
    </row>
    <row r="518" spans="1:11" ht="42" customHeight="1">
      <c r="A518" s="2" t="s">
        <v>1485</v>
      </c>
      <c r="B518" s="2" t="s">
        <v>1486</v>
      </c>
      <c r="C518" s="2" t="s">
        <v>26</v>
      </c>
      <c r="D518" s="2" t="s">
        <v>27</v>
      </c>
      <c r="E518" s="5">
        <v>-31068</v>
      </c>
      <c r="F518" s="3" t="s">
        <v>548</v>
      </c>
      <c r="G518" s="3" t="s">
        <v>52</v>
      </c>
      <c r="H518" s="2" t="s">
        <v>62</v>
      </c>
      <c r="I518" s="2" t="s">
        <v>1487</v>
      </c>
      <c r="J518" s="3" t="str">
        <f>HYPERLINK("https://www.boe.es/gazeta/dias/1814/12/08/pdfs/GMD-1814-162.pdf#page=8","Abrir facsímil")</f>
        <v>Abrir facsímil</v>
      </c>
      <c r="K518" s="3" t="s">
        <v>64</v>
      </c>
    </row>
    <row r="519" spans="1:11" ht="42" customHeight="1">
      <c r="A519" s="2" t="s">
        <v>1488</v>
      </c>
      <c r="B519" s="2" t="s">
        <v>1489</v>
      </c>
      <c r="C519" s="2" t="s">
        <v>38</v>
      </c>
      <c r="D519" s="2" t="s">
        <v>39</v>
      </c>
      <c r="E519" s="5">
        <v>-31255</v>
      </c>
      <c r="F519" s="3" t="s">
        <v>983</v>
      </c>
      <c r="G519" s="3" t="s">
        <v>57</v>
      </c>
      <c r="H519" s="2" t="s">
        <v>62</v>
      </c>
      <c r="I519" s="2" t="s">
        <v>1490</v>
      </c>
      <c r="J519" s="3" t="str">
        <f>HYPERLINK("https://www.boe.es/gazeta/dias/1814/06/04/pdfs/GMD-1814-81.pdf#page=6","Abrir facsímil")</f>
        <v>Abrir facsímil</v>
      </c>
      <c r="K519" s="3" t="s">
        <v>64</v>
      </c>
    </row>
    <row r="520" spans="1:11" ht="42" customHeight="1">
      <c r="A520" s="2" t="s">
        <v>1491</v>
      </c>
      <c r="B520" s="2" t="s">
        <v>1492</v>
      </c>
      <c r="C520" s="2" t="s">
        <v>38</v>
      </c>
      <c r="D520" s="2" t="s">
        <v>39</v>
      </c>
      <c r="E520" s="5">
        <v>-31080</v>
      </c>
      <c r="F520" s="3" t="s">
        <v>286</v>
      </c>
      <c r="G520" s="3" t="s">
        <v>677</v>
      </c>
      <c r="H520" s="2" t="s">
        <v>62</v>
      </c>
      <c r="I520" s="2" t="s">
        <v>1493</v>
      </c>
      <c r="J520" s="3" t="str">
        <f>HYPERLINK("https://www.boe.es/gazeta/dias/1814/11/26/pdfs/GMD-1814-157.pdf#page=7","Abrir facsímil")</f>
        <v>Abrir facsímil</v>
      </c>
      <c r="K520" s="3" t="s">
        <v>64</v>
      </c>
    </row>
    <row r="521" spans="1:11" ht="42" customHeight="1">
      <c r="A521" s="2" t="s">
        <v>1494</v>
      </c>
      <c r="B521" s="2" t="s">
        <v>1495</v>
      </c>
      <c r="C521" s="2" t="s">
        <v>26</v>
      </c>
      <c r="D521" s="2" t="s">
        <v>27</v>
      </c>
      <c r="E521" s="5">
        <v>-31297</v>
      </c>
      <c r="F521" s="3" t="s">
        <v>737</v>
      </c>
      <c r="G521" s="3" t="s">
        <v>52</v>
      </c>
      <c r="H521" s="2" t="s">
        <v>62</v>
      </c>
      <c r="I521" s="2" t="s">
        <v>1496</v>
      </c>
      <c r="J521" s="3" t="str">
        <f>HYPERLINK("https://www.boe.es/gazeta/dias/1814/04/23/pdfs/GRE-1814-59.pdf#page=8","Abrir facsímil")</f>
        <v>Abrir facsímil</v>
      </c>
      <c r="K521" s="3" t="s">
        <v>64</v>
      </c>
    </row>
    <row r="522" spans="1:11" ht="42" customHeight="1">
      <c r="A522" s="2" t="s">
        <v>1497</v>
      </c>
      <c r="B522" s="2" t="s">
        <v>1498</v>
      </c>
      <c r="C522" s="2" t="s">
        <v>38</v>
      </c>
      <c r="D522" s="2" t="s">
        <v>39</v>
      </c>
      <c r="E522" s="5">
        <v>-31236</v>
      </c>
      <c r="F522" s="3" t="s">
        <v>33</v>
      </c>
      <c r="G522" s="3" t="s">
        <v>20</v>
      </c>
      <c r="H522" s="2" t="s">
        <v>21</v>
      </c>
      <c r="I522" s="2" t="s">
        <v>1499</v>
      </c>
      <c r="J522" s="3" t="str">
        <f>HYPERLINK("https://www.boe.es/gazeta/dias/1814/06/23/pdfs/GMD-1814-89.pdf#page=7","Abrir facsímil")</f>
        <v>Abrir facsímil</v>
      </c>
      <c r="K522" s="3" t="s">
        <v>23</v>
      </c>
    </row>
    <row r="523" spans="1:11" ht="42" customHeight="1">
      <c r="A523" s="2" t="s">
        <v>1500</v>
      </c>
      <c r="B523" s="2" t="s">
        <v>1501</v>
      </c>
      <c r="C523" s="2" t="s">
        <v>38</v>
      </c>
      <c r="D523" s="2" t="s">
        <v>39</v>
      </c>
      <c r="E523" s="5">
        <v>-31238</v>
      </c>
      <c r="F523" s="3" t="s">
        <v>127</v>
      </c>
      <c r="G523" s="3" t="s">
        <v>137</v>
      </c>
      <c r="H523" s="2" t="s">
        <v>21</v>
      </c>
      <c r="I523" s="2" t="s">
        <v>1502</v>
      </c>
      <c r="J523" s="3" t="str">
        <f>HYPERLINK("https://www.boe.es/gazeta/dias/1814/06/21/pdfs/GMD-1814-88.pdf#page=9","Abrir facsímil")</f>
        <v>Abrir facsímil</v>
      </c>
      <c r="K523" s="3" t="s">
        <v>23</v>
      </c>
    </row>
    <row r="524" spans="1:11" ht="42" customHeight="1">
      <c r="A524" s="2" t="s">
        <v>1503</v>
      </c>
      <c r="B524" s="2" t="s">
        <v>1504</v>
      </c>
      <c r="C524" s="2" t="s">
        <v>45</v>
      </c>
      <c r="D524" s="2" t="s">
        <v>18</v>
      </c>
      <c r="E524" s="5">
        <v>-31131</v>
      </c>
      <c r="F524" s="3" t="s">
        <v>132</v>
      </c>
      <c r="G524" s="3" t="s">
        <v>20</v>
      </c>
      <c r="H524" s="2" t="s">
        <v>62</v>
      </c>
      <c r="I524" s="2" t="s">
        <v>1505</v>
      </c>
      <c r="J524" s="3" t="str">
        <f>HYPERLINK("https://www.boe.es/gazeta/dias/1814/10/06/pdfs/GMD-1814-135.pdf#page=7","Abrir facsímil")</f>
        <v>Abrir facsímil</v>
      </c>
      <c r="K524" s="3" t="s">
        <v>64</v>
      </c>
    </row>
    <row r="525" spans="1:11" ht="42" customHeight="1">
      <c r="A525" s="2" t="s">
        <v>1506</v>
      </c>
      <c r="B525" s="2" t="s">
        <v>1507</v>
      </c>
      <c r="C525" s="2" t="s">
        <v>17</v>
      </c>
      <c r="D525" s="2" t="s">
        <v>18</v>
      </c>
      <c r="E525" s="5">
        <v>-31115</v>
      </c>
      <c r="F525" s="3" t="s">
        <v>805</v>
      </c>
      <c r="G525" s="3" t="s">
        <v>20</v>
      </c>
      <c r="H525" s="2" t="s">
        <v>21</v>
      </c>
      <c r="I525" s="2" t="s">
        <v>1508</v>
      </c>
      <c r="J525" s="3" t="str">
        <f>HYPERLINK("https://www.boe.es/gazeta/dias/1814/10/22/pdfs/GMD-1814-142.pdf#page=7","Abrir facsímil")</f>
        <v>Abrir facsímil</v>
      </c>
      <c r="K525" s="3" t="s">
        <v>23</v>
      </c>
    </row>
    <row r="526" spans="1:11" ht="42" customHeight="1">
      <c r="A526" s="2" t="s">
        <v>1509</v>
      </c>
      <c r="B526" s="2" t="s">
        <v>1509</v>
      </c>
      <c r="C526" s="2" t="s">
        <v>38</v>
      </c>
      <c r="D526" s="2" t="s">
        <v>39</v>
      </c>
      <c r="E526" s="5">
        <v>-31395</v>
      </c>
      <c r="F526" s="3" t="s">
        <v>662</v>
      </c>
      <c r="G526" s="3" t="s">
        <v>41</v>
      </c>
      <c r="H526" s="2" t="s">
        <v>62</v>
      </c>
      <c r="I526" s="2" t="s">
        <v>1510</v>
      </c>
      <c r="J526" s="3" t="str">
        <f>HYPERLINK("https://www.boe.es/gazeta/dias/1814/01/15/pdfs/GRE-1814-8.pdf#page=4","Abrir facsímil")</f>
        <v>Abrir facsímil</v>
      </c>
      <c r="K526" s="3" t="s">
        <v>64</v>
      </c>
    </row>
    <row r="527" spans="1:11" ht="42" customHeight="1">
      <c r="A527" s="2" t="s">
        <v>1511</v>
      </c>
      <c r="B527" s="2" t="s">
        <v>1511</v>
      </c>
      <c r="C527" s="2" t="s">
        <v>38</v>
      </c>
      <c r="D527" s="2" t="s">
        <v>39</v>
      </c>
      <c r="E527" s="5">
        <v>-31346</v>
      </c>
      <c r="F527" s="3" t="s">
        <v>78</v>
      </c>
      <c r="G527" s="3" t="s">
        <v>57</v>
      </c>
      <c r="H527" s="2" t="s">
        <v>62</v>
      </c>
      <c r="I527" s="2" t="s">
        <v>1512</v>
      </c>
      <c r="J527" s="3" t="str">
        <f>HYPERLINK("https://www.boe.es/gazeta/dias/1814/03/05/pdfs/GRE-1814-30.pdf#page=6","Abrir facsímil")</f>
        <v>Abrir facsímil</v>
      </c>
      <c r="K527" s="3" t="s">
        <v>64</v>
      </c>
    </row>
    <row r="528" spans="1:11" ht="42" customHeight="1">
      <c r="A528" s="2" t="s">
        <v>1511</v>
      </c>
      <c r="B528" s="2" t="s">
        <v>1511</v>
      </c>
      <c r="C528" s="2" t="s">
        <v>38</v>
      </c>
      <c r="D528" s="2" t="s">
        <v>314</v>
      </c>
      <c r="E528" s="5">
        <v>-31328</v>
      </c>
      <c r="F528" s="3" t="s">
        <v>442</v>
      </c>
      <c r="G528" s="3" t="s">
        <v>107</v>
      </c>
      <c r="H528" s="2" t="s">
        <v>62</v>
      </c>
      <c r="I528" s="2" t="s">
        <v>1513</v>
      </c>
      <c r="J528" s="3" t="str">
        <f>HYPERLINK("https://www.boe.es/gazeta/dias/1814/03/23/pdfs/GRE-1814-40E.pdf#page=1","Abrir facsímil")</f>
        <v>Abrir facsímil</v>
      </c>
      <c r="K528" s="3" t="s">
        <v>64</v>
      </c>
    </row>
    <row r="529" spans="1:11" ht="42" customHeight="1">
      <c r="A529" s="2" t="s">
        <v>1511</v>
      </c>
      <c r="B529" s="2" t="s">
        <v>1511</v>
      </c>
      <c r="C529" s="2" t="s">
        <v>38</v>
      </c>
      <c r="D529" s="2" t="s">
        <v>314</v>
      </c>
      <c r="E529" s="5">
        <v>-31328</v>
      </c>
      <c r="F529" s="3" t="s">
        <v>442</v>
      </c>
      <c r="G529" s="3" t="s">
        <v>52</v>
      </c>
      <c r="H529" s="2" t="s">
        <v>62</v>
      </c>
      <c r="I529" s="2" t="s">
        <v>1514</v>
      </c>
      <c r="J529" s="3" t="str">
        <f>HYPERLINK("https://www.boe.es/gazeta/dias/1814/03/23/pdfs/GRE-1814-40E.pdf#page=8","Abrir facsímil")</f>
        <v>Abrir facsímil</v>
      </c>
      <c r="K529" s="3" t="s">
        <v>64</v>
      </c>
    </row>
    <row r="530" spans="1:11" ht="42" customHeight="1">
      <c r="A530" s="2" t="s">
        <v>1515</v>
      </c>
      <c r="B530" s="2" t="s">
        <v>1516</v>
      </c>
      <c r="C530" s="2" t="s">
        <v>38</v>
      </c>
      <c r="D530" s="2" t="s">
        <v>314</v>
      </c>
      <c r="E530" s="5">
        <v>-31328</v>
      </c>
      <c r="F530" s="3" t="s">
        <v>442</v>
      </c>
      <c r="G530" s="3" t="s">
        <v>107</v>
      </c>
      <c r="H530" s="2" t="s">
        <v>62</v>
      </c>
      <c r="I530" s="2" t="s">
        <v>1517</v>
      </c>
      <c r="J530" s="3" t="str">
        <f>HYPERLINK("https://www.boe.es/gazeta/dias/1814/03/23/pdfs/GRE-1814-40E.pdf#page=1","Abrir facsímil")</f>
        <v>Abrir facsímil</v>
      </c>
      <c r="K530" s="3" t="s">
        <v>64</v>
      </c>
    </row>
    <row r="531" spans="1:11" ht="42" customHeight="1">
      <c r="A531" s="2" t="s">
        <v>1515</v>
      </c>
      <c r="B531" s="2" t="s">
        <v>1516</v>
      </c>
      <c r="C531" s="2" t="s">
        <v>38</v>
      </c>
      <c r="D531" s="2" t="s">
        <v>314</v>
      </c>
      <c r="E531" s="5">
        <v>-31328</v>
      </c>
      <c r="F531" s="3" t="s">
        <v>442</v>
      </c>
      <c r="G531" s="3" t="s">
        <v>41</v>
      </c>
      <c r="H531" s="2" t="s">
        <v>62</v>
      </c>
      <c r="I531" s="2" t="s">
        <v>1518</v>
      </c>
      <c r="J531" s="3" t="str">
        <f>HYPERLINK("https://www.boe.es/gazeta/dias/1814/03/23/pdfs/GRE-1814-40E.pdf#page=4","Abrir facsímil")</f>
        <v>Abrir facsímil</v>
      </c>
      <c r="K531" s="3" t="s">
        <v>64</v>
      </c>
    </row>
    <row r="532" spans="1:11" ht="42" customHeight="1">
      <c r="A532" s="2" t="s">
        <v>1519</v>
      </c>
      <c r="B532" s="2" t="s">
        <v>1520</v>
      </c>
      <c r="C532" s="2" t="s">
        <v>309</v>
      </c>
      <c r="D532" s="2" t="s">
        <v>18</v>
      </c>
      <c r="E532" s="5">
        <v>-31136</v>
      </c>
      <c r="F532" s="3" t="s">
        <v>956</v>
      </c>
      <c r="G532" s="3" t="s">
        <v>1254</v>
      </c>
      <c r="H532" s="2" t="s">
        <v>62</v>
      </c>
      <c r="I532" s="2" t="s">
        <v>1521</v>
      </c>
      <c r="J532" s="3" t="str">
        <f>HYPERLINK("https://www.boe.es/gazeta/dias/1814/10/01/pdfs/GMD-1814-133.pdf#page=9","Abrir facsímil")</f>
        <v>Abrir facsímil</v>
      </c>
      <c r="K532" s="3" t="s">
        <v>64</v>
      </c>
    </row>
    <row r="533" spans="1:11" ht="42" customHeight="1">
      <c r="A533" s="2" t="s">
        <v>1522</v>
      </c>
      <c r="B533" s="2" t="s">
        <v>1522</v>
      </c>
      <c r="C533" s="2" t="s">
        <v>38</v>
      </c>
      <c r="D533" s="2" t="s">
        <v>314</v>
      </c>
      <c r="E533" s="5">
        <v>-31341</v>
      </c>
      <c r="F533" s="3" t="s">
        <v>354</v>
      </c>
      <c r="G533" s="3" t="s">
        <v>82</v>
      </c>
      <c r="H533" s="2" t="s">
        <v>62</v>
      </c>
      <c r="I533" s="2" t="s">
        <v>1523</v>
      </c>
      <c r="J533" s="3" t="str">
        <f>HYPERLINK("https://www.boe.es/gazeta/dias/1814/03/10/pdfs/GRE-1814-34E.pdf#page=3","Abrir facsímil")</f>
        <v>Abrir facsímil</v>
      </c>
      <c r="K533" s="3" t="s">
        <v>64</v>
      </c>
    </row>
    <row r="534" spans="1:11" ht="42" customHeight="1">
      <c r="A534" s="2" t="s">
        <v>1524</v>
      </c>
      <c r="B534" s="2" t="s">
        <v>1524</v>
      </c>
      <c r="C534" s="2" t="s">
        <v>38</v>
      </c>
      <c r="D534" s="2" t="s">
        <v>39</v>
      </c>
      <c r="E534" s="5">
        <v>-31124</v>
      </c>
      <c r="F534" s="3" t="s">
        <v>383</v>
      </c>
      <c r="G534" s="3" t="s">
        <v>87</v>
      </c>
      <c r="H534" s="2" t="s">
        <v>62</v>
      </c>
      <c r="I534" s="2" t="s">
        <v>1525</v>
      </c>
      <c r="J534" s="3" t="str">
        <f>HYPERLINK("https://www.boe.es/gazeta/dias/1814/10/13/pdfs/GMD-1814-138.pdf#page=2","Abrir facsímil")</f>
        <v>Abrir facsímil</v>
      </c>
      <c r="K534" s="3" t="s">
        <v>64</v>
      </c>
    </row>
    <row r="535" spans="1:11" ht="42" customHeight="1">
      <c r="A535" s="2" t="s">
        <v>1526</v>
      </c>
      <c r="B535" s="2" t="s">
        <v>1526</v>
      </c>
      <c r="C535" s="2" t="s">
        <v>144</v>
      </c>
      <c r="D535" s="2" t="s">
        <v>18</v>
      </c>
      <c r="E535" s="5">
        <v>-31222</v>
      </c>
      <c r="F535" s="3" t="s">
        <v>153</v>
      </c>
      <c r="G535" s="3" t="s">
        <v>87</v>
      </c>
      <c r="H535" s="2" t="s">
        <v>62</v>
      </c>
      <c r="I535" s="2" t="s">
        <v>1527</v>
      </c>
      <c r="J535" s="3" t="str">
        <f>HYPERLINK("https://www.boe.es/gazeta/dias/1814/07/07/pdfs/GMD-1814-95.pdf#page=2","Abrir facsímil")</f>
        <v>Abrir facsímil</v>
      </c>
      <c r="K535" s="3" t="s">
        <v>64</v>
      </c>
    </row>
    <row r="536" spans="1:11" ht="42" customHeight="1">
      <c r="A536" s="2" t="s">
        <v>1528</v>
      </c>
      <c r="B536" s="2" t="s">
        <v>1529</v>
      </c>
      <c r="C536" s="2" t="s">
        <v>38</v>
      </c>
      <c r="D536" s="2" t="s">
        <v>39</v>
      </c>
      <c r="E536" s="5">
        <v>-31222</v>
      </c>
      <c r="F536" s="3" t="s">
        <v>153</v>
      </c>
      <c r="G536" s="3" t="s">
        <v>57</v>
      </c>
      <c r="H536" s="2" t="s">
        <v>62</v>
      </c>
      <c r="I536" s="2" t="s">
        <v>1530</v>
      </c>
      <c r="J536" s="3" t="str">
        <f>HYPERLINK("https://www.boe.es/gazeta/dias/1814/07/07/pdfs/GMD-1814-95.pdf#page=6","Abrir facsímil")</f>
        <v>Abrir facsímil</v>
      </c>
      <c r="K536" s="3" t="s">
        <v>64</v>
      </c>
    </row>
    <row r="537" spans="1:11" ht="42" customHeight="1">
      <c r="A537" s="2" t="s">
        <v>1531</v>
      </c>
      <c r="B537" s="2" t="s">
        <v>1532</v>
      </c>
      <c r="C537" s="2" t="s">
        <v>38</v>
      </c>
      <c r="D537" s="2" t="s">
        <v>39</v>
      </c>
      <c r="E537" s="5">
        <v>-31049</v>
      </c>
      <c r="F537" s="3" t="s">
        <v>542</v>
      </c>
      <c r="G537" s="3" t="s">
        <v>99</v>
      </c>
      <c r="H537" s="2" t="s">
        <v>62</v>
      </c>
      <c r="I537" s="2" t="s">
        <v>1533</v>
      </c>
      <c r="J537" s="3" t="str">
        <f>HYPERLINK("https://www.boe.es/gazeta/dias/1814/12/27/pdfs/GMD-1814-171.pdf#page=5","Abrir facsímil")</f>
        <v>Abrir facsímil</v>
      </c>
      <c r="K537" s="3" t="s">
        <v>64</v>
      </c>
    </row>
    <row r="538" spans="1:11" ht="42" customHeight="1">
      <c r="A538" s="2" t="s">
        <v>1534</v>
      </c>
      <c r="B538" s="2" t="s">
        <v>1534</v>
      </c>
      <c r="C538" s="2" t="s">
        <v>17</v>
      </c>
      <c r="D538" s="2" t="s">
        <v>18</v>
      </c>
      <c r="E538" s="5">
        <v>-31313</v>
      </c>
      <c r="F538" s="3" t="s">
        <v>239</v>
      </c>
      <c r="G538" s="3" t="s">
        <v>1535</v>
      </c>
      <c r="H538" s="2" t="s">
        <v>62</v>
      </c>
      <c r="I538" s="2" t="s">
        <v>1536</v>
      </c>
      <c r="J538" s="3" t="str">
        <f>HYPERLINK("https://www.boe.es/gazeta/dias/1814/04/07/pdfs/GRE-1814-50.pdf#page=4","Abrir facsímil")</f>
        <v>Abrir facsímil</v>
      </c>
      <c r="K538" s="3" t="s">
        <v>64</v>
      </c>
    </row>
    <row r="539" spans="1:11" ht="42" customHeight="1">
      <c r="A539" s="2" t="s">
        <v>1537</v>
      </c>
      <c r="B539" s="2" t="s">
        <v>1538</v>
      </c>
      <c r="C539" s="2" t="s">
        <v>26</v>
      </c>
      <c r="D539" s="2" t="s">
        <v>27</v>
      </c>
      <c r="E539" s="5">
        <v>-31152</v>
      </c>
      <c r="F539" s="3" t="s">
        <v>199</v>
      </c>
      <c r="G539" s="3" t="s">
        <v>20</v>
      </c>
      <c r="H539" s="2" t="s">
        <v>62</v>
      </c>
      <c r="I539" s="2" t="s">
        <v>1539</v>
      </c>
      <c r="J539" s="3" t="str">
        <f>HYPERLINK("https://www.boe.es/gazeta/dias/1814/09/15/pdfs/GMD-1814-126.pdf#page=7","Abrir facsímil")</f>
        <v>Abrir facsímil</v>
      </c>
      <c r="K539" s="3" t="s">
        <v>64</v>
      </c>
    </row>
    <row r="540" spans="1:11" ht="42" customHeight="1">
      <c r="A540" s="2" t="s">
        <v>1540</v>
      </c>
      <c r="B540" s="2" t="s">
        <v>1541</v>
      </c>
      <c r="C540" s="2" t="s">
        <v>687</v>
      </c>
      <c r="D540" s="2" t="s">
        <v>27</v>
      </c>
      <c r="E540" s="5">
        <v>-31152</v>
      </c>
      <c r="F540" s="3" t="s">
        <v>199</v>
      </c>
      <c r="G540" s="3" t="s">
        <v>20</v>
      </c>
      <c r="H540" s="2" t="s">
        <v>62</v>
      </c>
      <c r="I540" s="2" t="s">
        <v>1542</v>
      </c>
      <c r="J540" s="3" t="str">
        <f>HYPERLINK("https://www.boe.es/gazeta/dias/1814/09/15/pdfs/GMD-1814-126.pdf#page=7","Abrir facsímil")</f>
        <v>Abrir facsímil</v>
      </c>
      <c r="K540" s="3" t="s">
        <v>64</v>
      </c>
    </row>
    <row r="541" spans="1:11" ht="42" customHeight="1">
      <c r="A541" s="2" t="s">
        <v>1543</v>
      </c>
      <c r="B541" s="2" t="s">
        <v>1544</v>
      </c>
      <c r="C541" s="2" t="s">
        <v>26</v>
      </c>
      <c r="D541" s="2" t="s">
        <v>27</v>
      </c>
      <c r="E541" s="5">
        <v>-31234</v>
      </c>
      <c r="F541" s="3" t="s">
        <v>462</v>
      </c>
      <c r="G541" s="3" t="s">
        <v>99</v>
      </c>
      <c r="H541" s="2" t="s">
        <v>62</v>
      </c>
      <c r="I541" s="2" t="s">
        <v>1545</v>
      </c>
      <c r="J541" s="3" t="str">
        <f>HYPERLINK("https://www.boe.es/gazeta/dias/1814/06/25/pdfs/GMD-1814-90.pdf#page=5","Abrir facsímil")</f>
        <v>Abrir facsímil</v>
      </c>
      <c r="K541" s="3" t="s">
        <v>64</v>
      </c>
    </row>
    <row r="542" spans="1:11" ht="42" customHeight="1">
      <c r="A542" s="2" t="s">
        <v>1546</v>
      </c>
      <c r="B542" s="2" t="s">
        <v>1547</v>
      </c>
      <c r="C542" s="2" t="s">
        <v>17</v>
      </c>
      <c r="D542" s="2" t="s">
        <v>18</v>
      </c>
      <c r="E542" s="5">
        <v>-31119</v>
      </c>
      <c r="F542" s="3" t="s">
        <v>136</v>
      </c>
      <c r="G542" s="3" t="s">
        <v>704</v>
      </c>
      <c r="H542" s="2" t="s">
        <v>62</v>
      </c>
      <c r="I542" s="2" t="s">
        <v>1548</v>
      </c>
      <c r="J542" s="3" t="str">
        <f>HYPERLINK("https://www.boe.es/gazeta/dias/1814/10/18/pdfs/GMD-1814-140.pdf#page=10","Abrir facsímil")</f>
        <v>Abrir facsímil</v>
      </c>
      <c r="K542" s="3" t="s">
        <v>64</v>
      </c>
    </row>
    <row r="543" spans="1:11" ht="42" customHeight="1">
      <c r="A543" s="2" t="s">
        <v>1549</v>
      </c>
      <c r="B543" s="2" t="s">
        <v>1550</v>
      </c>
      <c r="C543" s="2" t="s">
        <v>38</v>
      </c>
      <c r="D543" s="2" t="s">
        <v>39</v>
      </c>
      <c r="E543" s="5">
        <v>-31080</v>
      </c>
      <c r="F543" s="3" t="s">
        <v>286</v>
      </c>
      <c r="G543" s="3" t="s">
        <v>677</v>
      </c>
      <c r="H543" s="2" t="s">
        <v>62</v>
      </c>
      <c r="I543" s="2" t="s">
        <v>1551</v>
      </c>
      <c r="J543" s="3" t="str">
        <f>HYPERLINK("https://www.boe.es/gazeta/dias/1814/11/26/pdfs/GMD-1814-157.pdf#page=7","Abrir facsímil")</f>
        <v>Abrir facsímil</v>
      </c>
      <c r="K543" s="3" t="s">
        <v>64</v>
      </c>
    </row>
    <row r="544" spans="1:11" ht="42" customHeight="1">
      <c r="A544" s="2" t="s">
        <v>1552</v>
      </c>
      <c r="B544" s="2" t="s">
        <v>1553</v>
      </c>
      <c r="C544" s="2" t="s">
        <v>144</v>
      </c>
      <c r="D544" s="2" t="s">
        <v>18</v>
      </c>
      <c r="E544" s="5">
        <v>-31112</v>
      </c>
      <c r="F544" s="3" t="s">
        <v>707</v>
      </c>
      <c r="G544" s="3" t="s">
        <v>20</v>
      </c>
      <c r="H544" s="2" t="s">
        <v>62</v>
      </c>
      <c r="I544" s="2" t="s">
        <v>1554</v>
      </c>
      <c r="J544" s="3" t="str">
        <f>HYPERLINK("https://www.boe.es/gazeta/dias/1814/10/25/pdfs/GMD-1814-143.pdf#page=7","Abrir facsímil")</f>
        <v>Abrir facsímil</v>
      </c>
      <c r="K544" s="3" t="s">
        <v>64</v>
      </c>
    </row>
    <row r="545" spans="1:11" ht="42" customHeight="1">
      <c r="A545" s="2" t="s">
        <v>1555</v>
      </c>
      <c r="B545" s="2" t="s">
        <v>1556</v>
      </c>
      <c r="C545" s="2" t="s">
        <v>38</v>
      </c>
      <c r="D545" s="2" t="s">
        <v>39</v>
      </c>
      <c r="E545" s="5">
        <v>-31194</v>
      </c>
      <c r="F545" s="3" t="s">
        <v>333</v>
      </c>
      <c r="G545" s="3" t="s">
        <v>57</v>
      </c>
      <c r="H545" s="2" t="s">
        <v>62</v>
      </c>
      <c r="I545" s="2" t="s">
        <v>1557</v>
      </c>
      <c r="J545" s="3" t="str">
        <f>HYPERLINK("https://www.boe.es/gazeta/dias/1814/08/04/pdfs/GMD-1814-107.pdf#page=6","Abrir facsímil")</f>
        <v>Abrir facsímil</v>
      </c>
      <c r="K545" s="3" t="s">
        <v>64</v>
      </c>
    </row>
    <row r="546" spans="1:11" ht="42" customHeight="1">
      <c r="A546" s="2" t="s">
        <v>1558</v>
      </c>
      <c r="B546" s="2" t="s">
        <v>1558</v>
      </c>
      <c r="C546" s="2" t="s">
        <v>38</v>
      </c>
      <c r="D546" s="2" t="s">
        <v>314</v>
      </c>
      <c r="E546" s="5">
        <v>-31296</v>
      </c>
      <c r="F546" s="3" t="s">
        <v>315</v>
      </c>
      <c r="G546" s="3" t="s">
        <v>41</v>
      </c>
      <c r="H546" s="2" t="s">
        <v>62</v>
      </c>
      <c r="I546" s="2" t="s">
        <v>1559</v>
      </c>
      <c r="J546" s="3" t="str">
        <f>HYPERLINK("https://www.boe.es/gazeta/dias/1814/04/24/pdfs/GRE-1814-60E.pdf#page=4","Abrir facsímil")</f>
        <v>Abrir facsímil</v>
      </c>
      <c r="K546" s="3" t="s">
        <v>64</v>
      </c>
    </row>
    <row r="547" spans="1:11" ht="42" customHeight="1">
      <c r="A547" s="2" t="s">
        <v>1560</v>
      </c>
      <c r="B547" s="2" t="s">
        <v>1561</v>
      </c>
      <c r="C547" s="2" t="s">
        <v>38</v>
      </c>
      <c r="D547" s="2" t="s">
        <v>39</v>
      </c>
      <c r="E547" s="5">
        <v>-31089</v>
      </c>
      <c r="F547" s="3" t="s">
        <v>531</v>
      </c>
      <c r="G547" s="3" t="s">
        <v>20</v>
      </c>
      <c r="H547" s="2" t="s">
        <v>62</v>
      </c>
      <c r="I547" s="2" t="s">
        <v>1562</v>
      </c>
      <c r="J547" s="3" t="str">
        <f>HYPERLINK("https://www.boe.es/gazeta/dias/1814/11/17/pdfs/GMD-1814-153.pdf#page=7","Abrir facsímil")</f>
        <v>Abrir facsímil</v>
      </c>
      <c r="K547" s="3" t="s">
        <v>64</v>
      </c>
    </row>
    <row r="548" spans="1:11" ht="42" customHeight="1">
      <c r="A548" s="2" t="s">
        <v>1563</v>
      </c>
      <c r="B548" s="2" t="s">
        <v>1564</v>
      </c>
      <c r="C548" s="2" t="s">
        <v>105</v>
      </c>
      <c r="D548" s="2" t="s">
        <v>18</v>
      </c>
      <c r="E548" s="5">
        <v>-31322</v>
      </c>
      <c r="F548" s="3" t="s">
        <v>114</v>
      </c>
      <c r="G548" s="3" t="s">
        <v>52</v>
      </c>
      <c r="H548" s="2" t="s">
        <v>62</v>
      </c>
      <c r="I548" s="2" t="s">
        <v>1565</v>
      </c>
      <c r="J548" s="3" t="str">
        <f>HYPERLINK("https://www.boe.es/gazeta/dias/1814/03/29/pdfs/GRE-1814-44.pdf#page=8","Abrir facsímil")</f>
        <v>Abrir facsímil</v>
      </c>
      <c r="K548" s="3" t="s">
        <v>64</v>
      </c>
    </row>
    <row r="549" spans="1:11" ht="42" customHeight="1">
      <c r="A549" s="2" t="s">
        <v>1566</v>
      </c>
      <c r="B549" s="2" t="s">
        <v>1567</v>
      </c>
      <c r="C549" s="2" t="s">
        <v>38</v>
      </c>
      <c r="D549" s="2" t="s">
        <v>39</v>
      </c>
      <c r="E549" s="5">
        <v>-31089</v>
      </c>
      <c r="F549" s="3" t="s">
        <v>531</v>
      </c>
      <c r="G549" s="3" t="s">
        <v>20</v>
      </c>
      <c r="H549" s="2" t="s">
        <v>62</v>
      </c>
      <c r="I549" s="2" t="s">
        <v>1568</v>
      </c>
      <c r="J549" s="3" t="str">
        <f>HYPERLINK("https://www.boe.es/gazeta/dias/1814/11/17/pdfs/GMD-1814-153.pdf#page=7","Abrir facsímil")</f>
        <v>Abrir facsímil</v>
      </c>
      <c r="K549" s="3" t="s">
        <v>64</v>
      </c>
    </row>
    <row r="550" spans="1:11" ht="42" customHeight="1">
      <c r="A550" s="2" t="s">
        <v>1569</v>
      </c>
      <c r="B550" s="2" t="s">
        <v>1570</v>
      </c>
      <c r="C550" s="2" t="s">
        <v>38</v>
      </c>
      <c r="D550" s="2" t="s">
        <v>39</v>
      </c>
      <c r="E550" s="5">
        <v>-31215</v>
      </c>
      <c r="F550" s="3" t="s">
        <v>372</v>
      </c>
      <c r="G550" s="3" t="s">
        <v>704</v>
      </c>
      <c r="H550" s="2" t="s">
        <v>62</v>
      </c>
      <c r="I550" s="2" t="s">
        <v>1571</v>
      </c>
      <c r="J550" s="3" t="str">
        <f>HYPERLINK("https://www.boe.es/gazeta/dias/1814/07/14/pdfs/GMD-1814-98.pdf#page=10","Abrir facsímil")</f>
        <v>Abrir facsímil</v>
      </c>
      <c r="K550" s="3" t="s">
        <v>64</v>
      </c>
    </row>
    <row r="551" spans="1:11" ht="42" customHeight="1">
      <c r="A551" s="2" t="s">
        <v>1572</v>
      </c>
      <c r="B551" s="2" t="s">
        <v>1572</v>
      </c>
      <c r="C551" s="2" t="s">
        <v>38</v>
      </c>
      <c r="D551" s="2" t="s">
        <v>39</v>
      </c>
      <c r="E551" s="5">
        <v>-31348</v>
      </c>
      <c r="F551" s="3" t="s">
        <v>898</v>
      </c>
      <c r="G551" s="3" t="s">
        <v>41</v>
      </c>
      <c r="H551" s="2" t="s">
        <v>62</v>
      </c>
      <c r="I551" s="2" t="s">
        <v>1573</v>
      </c>
      <c r="J551" s="3" t="str">
        <f>HYPERLINK("https://www.boe.es/gazeta/dias/1814/03/03/pdfs/GRE-1814-29.pdf#page=4","Abrir facsímil")</f>
        <v>Abrir facsímil</v>
      </c>
      <c r="K551" s="3" t="s">
        <v>64</v>
      </c>
    </row>
    <row r="552" spans="1:11" ht="42" customHeight="1">
      <c r="A552" s="2" t="s">
        <v>1574</v>
      </c>
      <c r="B552" s="2" t="s">
        <v>1574</v>
      </c>
      <c r="C552" s="2" t="s">
        <v>38</v>
      </c>
      <c r="D552" s="2" t="s">
        <v>39</v>
      </c>
      <c r="E552" s="5">
        <v>-31252</v>
      </c>
      <c r="F552" s="3" t="s">
        <v>364</v>
      </c>
      <c r="G552" s="3" t="s">
        <v>1575</v>
      </c>
      <c r="H552" s="2" t="s">
        <v>62</v>
      </c>
      <c r="I552" s="2" t="s">
        <v>1576</v>
      </c>
      <c r="J552" s="3" t="str">
        <f>HYPERLINK("https://www.boe.es/gazeta/dias/1814/06/07/pdfs/GMD-1814-82.pdf#page=2","Abrir facsímil")</f>
        <v>Abrir facsímil</v>
      </c>
      <c r="K552" s="3" t="s">
        <v>64</v>
      </c>
    </row>
    <row r="553" spans="1:11" ht="42" customHeight="1">
      <c r="A553" s="2" t="s">
        <v>1574</v>
      </c>
      <c r="B553" s="2" t="s">
        <v>1574</v>
      </c>
      <c r="C553" s="2" t="s">
        <v>38</v>
      </c>
      <c r="D553" s="2" t="s">
        <v>39</v>
      </c>
      <c r="E553" s="5">
        <v>-31252</v>
      </c>
      <c r="F553" s="3" t="s">
        <v>364</v>
      </c>
      <c r="G553" s="3" t="s">
        <v>82</v>
      </c>
      <c r="H553" s="2" t="s">
        <v>62</v>
      </c>
      <c r="I553" s="2" t="s">
        <v>1577</v>
      </c>
      <c r="J553" s="3" t="str">
        <f>HYPERLINK("https://www.boe.es/gazeta/dias/1814/06/07/pdfs/GMD-1814-82.pdf#page=3","Abrir facsímil")</f>
        <v>Abrir facsímil</v>
      </c>
      <c r="K553" s="3" t="s">
        <v>64</v>
      </c>
    </row>
    <row r="554" spans="1:11" ht="42" customHeight="1">
      <c r="A554" s="2" t="s">
        <v>1578</v>
      </c>
      <c r="B554" s="2" t="s">
        <v>1579</v>
      </c>
      <c r="C554" s="2" t="s">
        <v>17</v>
      </c>
      <c r="D554" s="2" t="s">
        <v>18</v>
      </c>
      <c r="E554" s="5">
        <v>-31133</v>
      </c>
      <c r="F554" s="3" t="s">
        <v>184</v>
      </c>
      <c r="G554" s="3" t="s">
        <v>20</v>
      </c>
      <c r="H554" s="2" t="s">
        <v>62</v>
      </c>
      <c r="I554" s="2" t="s">
        <v>1580</v>
      </c>
      <c r="J554" s="3" t="str">
        <f>HYPERLINK("https://www.boe.es/gazeta/dias/1814/10/04/pdfs/GMD-1814-134.pdf#page=7","Abrir facsímil")</f>
        <v>Abrir facsímil</v>
      </c>
      <c r="K554" s="3" t="s">
        <v>64</v>
      </c>
    </row>
    <row r="555" spans="1:11" ht="42" customHeight="1">
      <c r="A555" s="2" t="s">
        <v>1581</v>
      </c>
      <c r="B555" s="2" t="s">
        <v>1582</v>
      </c>
      <c r="C555" s="2" t="s">
        <v>38</v>
      </c>
      <c r="D555" s="2" t="s">
        <v>39</v>
      </c>
      <c r="E555" s="5">
        <v>-31383</v>
      </c>
      <c r="F555" s="3" t="s">
        <v>715</v>
      </c>
      <c r="G555" s="3" t="s">
        <v>52</v>
      </c>
      <c r="H555" s="2" t="s">
        <v>62</v>
      </c>
      <c r="I555" s="2" t="s">
        <v>1583</v>
      </c>
      <c r="J555" s="3" t="str">
        <f>HYPERLINK("https://www.boe.es/gazeta/dias/1814/01/27/pdfs/GRE-1814-13.pdf#page=8","Abrir facsímil")</f>
        <v>Abrir facsímil</v>
      </c>
      <c r="K555" s="3" t="s">
        <v>64</v>
      </c>
    </row>
    <row r="556" spans="1:11" ht="42" customHeight="1">
      <c r="A556" s="2" t="s">
        <v>1584</v>
      </c>
      <c r="B556" s="2" t="s">
        <v>1585</v>
      </c>
      <c r="C556" s="2" t="s">
        <v>26</v>
      </c>
      <c r="D556" s="2" t="s">
        <v>27</v>
      </c>
      <c r="E556" s="5">
        <v>-31171</v>
      </c>
      <c r="F556" s="3" t="s">
        <v>157</v>
      </c>
      <c r="G556" s="3" t="s">
        <v>158</v>
      </c>
      <c r="H556" s="2" t="s">
        <v>62</v>
      </c>
      <c r="I556" s="2" t="s">
        <v>1586</v>
      </c>
      <c r="J556" s="3" t="str">
        <f>HYPERLINK("https://www.boe.es/gazeta/dias/1814/08/27/pdfs/GMD-1814-117.pdf#page=7","Abrir facsímil")</f>
        <v>Abrir facsímil</v>
      </c>
      <c r="K556" s="3" t="s">
        <v>64</v>
      </c>
    </row>
    <row r="557" spans="1:11" ht="42" customHeight="1">
      <c r="A557" s="2" t="s">
        <v>1587</v>
      </c>
      <c r="B557" s="2" t="s">
        <v>1588</v>
      </c>
      <c r="C557" s="2" t="s">
        <v>45</v>
      </c>
      <c r="D557" s="2" t="s">
        <v>18</v>
      </c>
      <c r="E557" s="5">
        <v>-31068</v>
      </c>
      <c r="F557" s="3" t="s">
        <v>548</v>
      </c>
      <c r="G557" s="3" t="s">
        <v>52</v>
      </c>
      <c r="H557" s="2" t="s">
        <v>62</v>
      </c>
      <c r="I557" s="2" t="s">
        <v>1589</v>
      </c>
      <c r="J557" s="3" t="str">
        <f>HYPERLINK("https://www.boe.es/gazeta/dias/1814/12/08/pdfs/GMD-1814-162.pdf#page=8","Abrir facsímil")</f>
        <v>Abrir facsímil</v>
      </c>
      <c r="K557" s="3" t="s">
        <v>64</v>
      </c>
    </row>
    <row r="558" spans="1:11" ht="42" customHeight="1">
      <c r="A558" s="2" t="s">
        <v>1590</v>
      </c>
      <c r="B558" s="2" t="s">
        <v>1590</v>
      </c>
      <c r="C558" s="2" t="s">
        <v>26</v>
      </c>
      <c r="D558" s="2" t="s">
        <v>27</v>
      </c>
      <c r="E558" s="5">
        <v>-31206</v>
      </c>
      <c r="F558" s="3" t="s">
        <v>1196</v>
      </c>
      <c r="G558" s="3" t="s">
        <v>99</v>
      </c>
      <c r="H558" s="2" t="s">
        <v>62</v>
      </c>
      <c r="I558" s="2" t="s">
        <v>1591</v>
      </c>
      <c r="J558" s="3" t="str">
        <f>HYPERLINK("https://www.boe.es/gazeta/dias/1814/07/23/pdfs/GMD-1814-102.pdf#page=5","Abrir facsímil")</f>
        <v>Abrir facsímil</v>
      </c>
      <c r="K558" s="3" t="s">
        <v>64</v>
      </c>
    </row>
    <row r="559" spans="1:11" ht="42" customHeight="1">
      <c r="A559" s="2" t="s">
        <v>1590</v>
      </c>
      <c r="B559" s="2" t="s">
        <v>1590</v>
      </c>
      <c r="C559" s="2" t="s">
        <v>38</v>
      </c>
      <c r="D559" s="2" t="s">
        <v>39</v>
      </c>
      <c r="E559" s="5">
        <v>-31094</v>
      </c>
      <c r="F559" s="3" t="s">
        <v>761</v>
      </c>
      <c r="G559" s="3" t="s">
        <v>20</v>
      </c>
      <c r="H559" s="2" t="s">
        <v>62</v>
      </c>
      <c r="I559" s="2" t="s">
        <v>1592</v>
      </c>
      <c r="J559" s="3" t="str">
        <f>HYPERLINK("https://www.boe.es/gazeta/dias/1814/11/12/pdfs/GMD-1814-151.pdf#page=7","Abrir facsímil")</f>
        <v>Abrir facsímil</v>
      </c>
      <c r="K559" s="3" t="s">
        <v>64</v>
      </c>
    </row>
    <row r="560" spans="1:11" ht="42" customHeight="1">
      <c r="A560" s="2" t="s">
        <v>1593</v>
      </c>
      <c r="B560" s="2" t="s">
        <v>1594</v>
      </c>
      <c r="C560" s="2" t="s">
        <v>144</v>
      </c>
      <c r="D560" s="2" t="s">
        <v>18</v>
      </c>
      <c r="E560" s="5">
        <v>-31383</v>
      </c>
      <c r="F560" s="3" t="s">
        <v>715</v>
      </c>
      <c r="G560" s="3" t="s">
        <v>20</v>
      </c>
      <c r="H560" s="2" t="s">
        <v>62</v>
      </c>
      <c r="I560" s="2" t="s">
        <v>1595</v>
      </c>
      <c r="J560" s="3" t="str">
        <f>HYPERLINK("https://www.boe.es/gazeta/dias/1814/01/27/pdfs/GRE-1814-13.pdf#page=7","Abrir facsímil")</f>
        <v>Abrir facsímil</v>
      </c>
      <c r="K560" s="3" t="s">
        <v>64</v>
      </c>
    </row>
    <row r="561" spans="1:11" ht="42" customHeight="1">
      <c r="A561" s="2" t="s">
        <v>1596</v>
      </c>
      <c r="B561" s="2" t="s">
        <v>1597</v>
      </c>
      <c r="C561" s="2" t="s">
        <v>26</v>
      </c>
      <c r="D561" s="2" t="s">
        <v>27</v>
      </c>
      <c r="E561" s="5">
        <v>-31255</v>
      </c>
      <c r="F561" s="3" t="s">
        <v>983</v>
      </c>
      <c r="G561" s="3" t="s">
        <v>41</v>
      </c>
      <c r="H561" s="2" t="s">
        <v>62</v>
      </c>
      <c r="I561" s="2" t="s">
        <v>1598</v>
      </c>
      <c r="J561" s="3" t="str">
        <f>HYPERLINK("https://www.boe.es/gazeta/dias/1814/06/04/pdfs/GMD-1814-81.pdf#page=4","Abrir facsímil")</f>
        <v>Abrir facsímil</v>
      </c>
      <c r="K561" s="3" t="s">
        <v>64</v>
      </c>
    </row>
    <row r="562" spans="1:11" ht="42" customHeight="1">
      <c r="A562" s="2" t="s">
        <v>1599</v>
      </c>
      <c r="B562" s="2" t="s">
        <v>1600</v>
      </c>
      <c r="C562" s="2" t="s">
        <v>38</v>
      </c>
      <c r="D562" s="2" t="s">
        <v>39</v>
      </c>
      <c r="E562" s="5">
        <v>-31245</v>
      </c>
      <c r="F562" s="3" t="s">
        <v>908</v>
      </c>
      <c r="G562" s="3" t="s">
        <v>384</v>
      </c>
      <c r="H562" s="2" t="s">
        <v>62</v>
      </c>
      <c r="I562" s="2" t="s">
        <v>1601</v>
      </c>
      <c r="J562" s="3" t="str">
        <f>HYPERLINK("https://www.boe.es/gazeta/dias/1814/06/14/pdfs/GMD-1814-85.pdf#page=11","Abrir facsímil")</f>
        <v>Abrir facsímil</v>
      </c>
      <c r="K562" s="3" t="s">
        <v>64</v>
      </c>
    </row>
    <row r="563" spans="1:11" ht="42" customHeight="1">
      <c r="A563" s="2" t="s">
        <v>1602</v>
      </c>
      <c r="B563" s="2" t="s">
        <v>1603</v>
      </c>
      <c r="C563" s="2" t="s">
        <v>26</v>
      </c>
      <c r="D563" s="2" t="s">
        <v>27</v>
      </c>
      <c r="E563" s="5">
        <v>-31068</v>
      </c>
      <c r="F563" s="3" t="s">
        <v>548</v>
      </c>
      <c r="G563" s="3" t="s">
        <v>57</v>
      </c>
      <c r="H563" s="2" t="s">
        <v>62</v>
      </c>
      <c r="I563" s="2" t="s">
        <v>1604</v>
      </c>
      <c r="J563" s="3" t="str">
        <f>HYPERLINK("https://www.boe.es/gazeta/dias/1814/12/08/pdfs/GMD-1814-162.pdf#page=6","Abrir facsímil")</f>
        <v>Abrir facsímil</v>
      </c>
      <c r="K563" s="3" t="s">
        <v>64</v>
      </c>
    </row>
    <row r="564" spans="1:11" ht="42" customHeight="1">
      <c r="A564" s="2" t="s">
        <v>1605</v>
      </c>
      <c r="B564" s="2" t="s">
        <v>1606</v>
      </c>
      <c r="C564" s="2" t="s">
        <v>105</v>
      </c>
      <c r="D564" s="2" t="s">
        <v>18</v>
      </c>
      <c r="E564" s="5">
        <v>-31322</v>
      </c>
      <c r="F564" s="3" t="s">
        <v>114</v>
      </c>
      <c r="G564" s="3" t="s">
        <v>52</v>
      </c>
      <c r="H564" s="2" t="s">
        <v>62</v>
      </c>
      <c r="I564" s="2" t="s">
        <v>1607</v>
      </c>
      <c r="J564" s="3" t="str">
        <f>HYPERLINK("https://www.boe.es/gazeta/dias/1814/03/29/pdfs/GRE-1814-44.pdf#page=8","Abrir facsímil")</f>
        <v>Abrir facsímil</v>
      </c>
      <c r="K564" s="3" t="s">
        <v>64</v>
      </c>
    </row>
    <row r="565" spans="1:11" ht="42" customHeight="1">
      <c r="A565" s="2" t="s">
        <v>1608</v>
      </c>
      <c r="B565" s="2" t="s">
        <v>1608</v>
      </c>
      <c r="C565" s="2" t="s">
        <v>105</v>
      </c>
      <c r="D565" s="2" t="s">
        <v>18</v>
      </c>
      <c r="E565" s="5">
        <v>-31322</v>
      </c>
      <c r="F565" s="3" t="s">
        <v>114</v>
      </c>
      <c r="G565" s="3" t="s">
        <v>52</v>
      </c>
      <c r="H565" s="2" t="s">
        <v>62</v>
      </c>
      <c r="I565" s="2" t="s">
        <v>1609</v>
      </c>
      <c r="J565" s="3" t="str">
        <f>HYPERLINK("https://www.boe.es/gazeta/dias/1814/03/29/pdfs/GRE-1814-44.pdf#page=8","Abrir facsímil")</f>
        <v>Abrir facsímil</v>
      </c>
      <c r="K565" s="3" t="s">
        <v>64</v>
      </c>
    </row>
    <row r="566" spans="1:11" ht="42" customHeight="1">
      <c r="A566" s="2" t="s">
        <v>1610</v>
      </c>
      <c r="B566" s="2" t="s">
        <v>1611</v>
      </c>
      <c r="C566" s="2" t="s">
        <v>38</v>
      </c>
      <c r="D566" s="2" t="s">
        <v>39</v>
      </c>
      <c r="E566" s="5">
        <v>-31371</v>
      </c>
      <c r="F566" s="3" t="s">
        <v>1017</v>
      </c>
      <c r="G566" s="3" t="s">
        <v>87</v>
      </c>
      <c r="H566" s="2" t="s">
        <v>62</v>
      </c>
      <c r="I566" s="2" t="s">
        <v>1612</v>
      </c>
      <c r="J566" s="3" t="str">
        <f>HYPERLINK("https://www.boe.es/gazeta/dias/1814/02/08/pdfs/GRE-1814-18.pdf#page=2","Abrir facsímil")</f>
        <v>Abrir facsímil</v>
      </c>
      <c r="K566" s="3" t="s">
        <v>64</v>
      </c>
    </row>
    <row r="567" spans="1:11" ht="42" customHeight="1">
      <c r="A567" s="2" t="s">
        <v>1613</v>
      </c>
      <c r="B567" s="2" t="s">
        <v>1614</v>
      </c>
      <c r="C567" s="2" t="s">
        <v>26</v>
      </c>
      <c r="D567" s="2" t="s">
        <v>27</v>
      </c>
      <c r="E567" s="5">
        <v>-31229</v>
      </c>
      <c r="F567" s="3" t="s">
        <v>502</v>
      </c>
      <c r="G567" s="3" t="s">
        <v>20</v>
      </c>
      <c r="H567" s="2" t="s">
        <v>62</v>
      </c>
      <c r="I567" s="2" t="s">
        <v>1615</v>
      </c>
      <c r="J567" s="3" t="str">
        <f>HYPERLINK("https://www.boe.es/gazeta/dias/1814/06/30/pdfs/GMD-1814-92.pdf#page=7","Abrir facsímil")</f>
        <v>Abrir facsímil</v>
      </c>
      <c r="K567" s="3" t="s">
        <v>64</v>
      </c>
    </row>
    <row r="568" spans="1:11" ht="42" customHeight="1">
      <c r="A568" s="2" t="s">
        <v>1616</v>
      </c>
      <c r="B568" s="2" t="s">
        <v>1616</v>
      </c>
      <c r="C568" s="2" t="s">
        <v>38</v>
      </c>
      <c r="D568" s="2" t="s">
        <v>39</v>
      </c>
      <c r="E568" s="5">
        <v>-31353</v>
      </c>
      <c r="F568" s="3" t="s">
        <v>247</v>
      </c>
      <c r="G568" s="3" t="s">
        <v>1617</v>
      </c>
      <c r="H568" s="2" t="s">
        <v>62</v>
      </c>
      <c r="I568" s="2" t="s">
        <v>1618</v>
      </c>
      <c r="J568" s="3" t="str">
        <f>HYPERLINK("https://www.boe.es/gazeta/dias/1814/02/26/pdfs/GRE-1814-27.pdf#page=3","Abrir facsímil")</f>
        <v>Abrir facsímil</v>
      </c>
      <c r="K568" s="3" t="s">
        <v>64</v>
      </c>
    </row>
    <row r="569" spans="1:11" ht="42" customHeight="1">
      <c r="A569" s="2" t="s">
        <v>1619</v>
      </c>
      <c r="B569" s="2" t="s">
        <v>1620</v>
      </c>
      <c r="C569" s="2" t="s">
        <v>38</v>
      </c>
      <c r="D569" s="2" t="s">
        <v>39</v>
      </c>
      <c r="E569" s="5">
        <v>-31129</v>
      </c>
      <c r="F569" s="3" t="s">
        <v>418</v>
      </c>
      <c r="G569" s="3" t="s">
        <v>20</v>
      </c>
      <c r="H569" s="2" t="s">
        <v>62</v>
      </c>
      <c r="I569" s="2" t="s">
        <v>1621</v>
      </c>
      <c r="J569" s="3" t="str">
        <f>HYPERLINK("https://www.boe.es/gazeta/dias/1814/10/08/pdfs/GMD-1814-136.pdf#page=7","Abrir facsímil")</f>
        <v>Abrir facsímil</v>
      </c>
      <c r="K569" s="3" t="s">
        <v>64</v>
      </c>
    </row>
    <row r="570" spans="1:11" ht="42" customHeight="1">
      <c r="A570" s="2" t="s">
        <v>1622</v>
      </c>
      <c r="B570" s="2" t="s">
        <v>1623</v>
      </c>
      <c r="C570" s="2" t="s">
        <v>26</v>
      </c>
      <c r="D570" s="2" t="s">
        <v>27</v>
      </c>
      <c r="E570" s="5">
        <v>-31266</v>
      </c>
      <c r="F570" s="3" t="s">
        <v>191</v>
      </c>
      <c r="G570" s="3" t="s">
        <v>57</v>
      </c>
      <c r="H570" s="2" t="s">
        <v>62</v>
      </c>
      <c r="I570" s="2" t="s">
        <v>1624</v>
      </c>
      <c r="J570" s="3" t="str">
        <f>HYPERLINK("https://www.boe.es/gazeta/dias/1814/05/24/pdfs/GMD-1814-76.pdf#page=6","Abrir facsímil")</f>
        <v>Abrir facsímil</v>
      </c>
      <c r="K570" s="3" t="s">
        <v>64</v>
      </c>
    </row>
    <row r="571" spans="1:11" ht="42" customHeight="1">
      <c r="A571" s="2" t="s">
        <v>1625</v>
      </c>
      <c r="B571" s="2" t="s">
        <v>1625</v>
      </c>
      <c r="C571" s="2" t="s">
        <v>38</v>
      </c>
      <c r="D571" s="2" t="s">
        <v>39</v>
      </c>
      <c r="E571" s="5">
        <v>-31371</v>
      </c>
      <c r="F571" s="3" t="s">
        <v>476</v>
      </c>
      <c r="G571" s="3" t="s">
        <v>87</v>
      </c>
      <c r="H571" s="2" t="s">
        <v>62</v>
      </c>
      <c r="I571" s="2" t="s">
        <v>1626</v>
      </c>
      <c r="J571" s="3" t="str">
        <f>HYPERLINK("https://www.boe.es/gazeta/dias/1814/02/08/pdfs/GRE-1814-31.pdf#page=2","Abrir facsímil")</f>
        <v>Abrir facsímil</v>
      </c>
      <c r="K571" s="3" t="s">
        <v>64</v>
      </c>
    </row>
    <row r="572" spans="1:11" ht="42" customHeight="1">
      <c r="A572" s="2" t="s">
        <v>1625</v>
      </c>
      <c r="B572" s="2" t="s">
        <v>1625</v>
      </c>
      <c r="C572" s="2" t="s">
        <v>38</v>
      </c>
      <c r="D572" s="2" t="s">
        <v>39</v>
      </c>
      <c r="E572" s="5">
        <v>-31371</v>
      </c>
      <c r="F572" s="3" t="s">
        <v>476</v>
      </c>
      <c r="G572" s="3" t="s">
        <v>82</v>
      </c>
      <c r="H572" s="2" t="s">
        <v>62</v>
      </c>
      <c r="I572" s="2" t="s">
        <v>1627</v>
      </c>
      <c r="J572" s="3" t="str">
        <f>HYPERLINK("https://www.boe.es/gazeta/dias/1814/02/08/pdfs/GRE-1814-31.pdf#page=3","Abrir facsímil")</f>
        <v>Abrir facsímil</v>
      </c>
      <c r="K572" s="3" t="s">
        <v>64</v>
      </c>
    </row>
    <row r="573" spans="1:11" ht="42" customHeight="1">
      <c r="A573" s="2" t="s">
        <v>1625</v>
      </c>
      <c r="B573" s="2" t="s">
        <v>1625</v>
      </c>
      <c r="C573" s="2" t="s">
        <v>17</v>
      </c>
      <c r="D573" s="2" t="s">
        <v>18</v>
      </c>
      <c r="E573" s="5">
        <v>-31364</v>
      </c>
      <c r="F573" s="3" t="s">
        <v>594</v>
      </c>
      <c r="G573" s="3" t="s">
        <v>107</v>
      </c>
      <c r="H573" s="2" t="s">
        <v>62</v>
      </c>
      <c r="I573" s="2" t="s">
        <v>1628</v>
      </c>
      <c r="J573" s="3" t="str">
        <f>HYPERLINK("https://www.boe.es/gazeta/dias/1814/02/15/pdfs/GRE-1814-21.pdf#page=1","Abrir facsímil")</f>
        <v>Abrir facsímil</v>
      </c>
      <c r="K573" s="3" t="s">
        <v>64</v>
      </c>
    </row>
    <row r="574" spans="1:11" ht="42" customHeight="1">
      <c r="A574" s="2" t="s">
        <v>1625</v>
      </c>
      <c r="B574" s="2" t="s">
        <v>1625</v>
      </c>
      <c r="C574" s="2" t="s">
        <v>38</v>
      </c>
      <c r="D574" s="2" t="s">
        <v>39</v>
      </c>
      <c r="E574" s="5">
        <v>-31343</v>
      </c>
      <c r="F574" s="3" t="s">
        <v>476</v>
      </c>
      <c r="G574" s="3" t="s">
        <v>87</v>
      </c>
      <c r="H574" s="2" t="s">
        <v>62</v>
      </c>
      <c r="I574" s="2" t="s">
        <v>1626</v>
      </c>
      <c r="J574" s="3" t="str">
        <f>HYPERLINK("https://www.boe.es/gazeta/dias/1814/03/08/pdfs/GRE-1814-31.pdf#page=2","Abrir facsímil")</f>
        <v>Abrir facsímil</v>
      </c>
      <c r="K574" s="3" t="s">
        <v>64</v>
      </c>
    </row>
    <row r="575" spans="1:11" ht="42" customHeight="1">
      <c r="A575" s="2" t="s">
        <v>1625</v>
      </c>
      <c r="B575" s="2" t="s">
        <v>1625</v>
      </c>
      <c r="C575" s="2" t="s">
        <v>38</v>
      </c>
      <c r="D575" s="2" t="s">
        <v>39</v>
      </c>
      <c r="E575" s="5">
        <v>-31343</v>
      </c>
      <c r="F575" s="3" t="s">
        <v>476</v>
      </c>
      <c r="G575" s="3" t="s">
        <v>82</v>
      </c>
      <c r="H575" s="2" t="s">
        <v>62</v>
      </c>
      <c r="I575" s="2" t="s">
        <v>1627</v>
      </c>
      <c r="J575" s="3" t="str">
        <f>HYPERLINK("https://www.boe.es/gazeta/dias/1814/03/08/pdfs/GRE-1814-31.pdf#page=3","Abrir facsímil")</f>
        <v>Abrir facsímil</v>
      </c>
      <c r="K575" s="3" t="s">
        <v>64</v>
      </c>
    </row>
    <row r="576" spans="1:11" ht="42" customHeight="1">
      <c r="A576" s="2" t="s">
        <v>1625</v>
      </c>
      <c r="B576" s="2" t="s">
        <v>1625</v>
      </c>
      <c r="C576" s="2" t="s">
        <v>38</v>
      </c>
      <c r="D576" s="2" t="s">
        <v>39</v>
      </c>
      <c r="E576" s="5">
        <v>-31283</v>
      </c>
      <c r="F576" s="3" t="s">
        <v>701</v>
      </c>
      <c r="G576" s="3" t="s">
        <v>107</v>
      </c>
      <c r="H576" s="2" t="s">
        <v>62</v>
      </c>
      <c r="I576" s="2" t="s">
        <v>1629</v>
      </c>
      <c r="J576" s="3" t="str">
        <f>HYPERLINK("https://www.boe.es/gazeta/dias/1814/05/07/pdfs/GRE-1814-67.pdf#page=1","Abrir facsímil")</f>
        <v>Abrir facsímil</v>
      </c>
      <c r="K576" s="3" t="s">
        <v>64</v>
      </c>
    </row>
    <row r="577" spans="1:11" ht="42" customHeight="1">
      <c r="A577" s="2" t="s">
        <v>1625</v>
      </c>
      <c r="B577" s="2" t="s">
        <v>1625</v>
      </c>
      <c r="C577" s="2" t="s">
        <v>38</v>
      </c>
      <c r="D577" s="2" t="s">
        <v>39</v>
      </c>
      <c r="E577" s="5">
        <v>-31262</v>
      </c>
      <c r="F577" s="3" t="s">
        <v>254</v>
      </c>
      <c r="G577" s="3" t="s">
        <v>107</v>
      </c>
      <c r="H577" s="2" t="s">
        <v>62</v>
      </c>
      <c r="I577" s="2" t="s">
        <v>1630</v>
      </c>
      <c r="J577" s="3" t="str">
        <f>HYPERLINK("https://www.boe.es/gazeta/dias/1814/05/28/pdfs/GMD-1814-78.pdf#page=1","Abrir facsímil")</f>
        <v>Abrir facsímil</v>
      </c>
      <c r="K577" s="3" t="s">
        <v>64</v>
      </c>
    </row>
    <row r="578" spans="1:11" ht="42" customHeight="1">
      <c r="A578" s="2" t="s">
        <v>1625</v>
      </c>
      <c r="B578" s="2" t="s">
        <v>1625</v>
      </c>
      <c r="C578" s="2" t="s">
        <v>38</v>
      </c>
      <c r="D578" s="2" t="s">
        <v>39</v>
      </c>
      <c r="E578" s="5">
        <v>-31248</v>
      </c>
      <c r="F578" s="3" t="s">
        <v>1123</v>
      </c>
      <c r="G578" s="3" t="s">
        <v>107</v>
      </c>
      <c r="H578" s="2" t="s">
        <v>62</v>
      </c>
      <c r="I578" s="2" t="s">
        <v>1631</v>
      </c>
      <c r="J578" s="3" t="str">
        <f>HYPERLINK("https://www.boe.es/gazeta/dias/1814/06/11/pdfs/GMD-1814-84.pdf#page=1","Abrir facsímil")</f>
        <v>Abrir facsímil</v>
      </c>
      <c r="K578" s="3" t="s">
        <v>64</v>
      </c>
    </row>
    <row r="579" spans="1:11" ht="42" customHeight="1">
      <c r="A579" s="2" t="s">
        <v>1625</v>
      </c>
      <c r="B579" s="2" t="s">
        <v>1625</v>
      </c>
      <c r="C579" s="2" t="s">
        <v>38</v>
      </c>
      <c r="D579" s="2" t="s">
        <v>39</v>
      </c>
      <c r="E579" s="5">
        <v>-31245</v>
      </c>
      <c r="F579" s="3" t="s">
        <v>908</v>
      </c>
      <c r="G579" s="3" t="s">
        <v>87</v>
      </c>
      <c r="H579" s="2" t="s">
        <v>62</v>
      </c>
      <c r="I579" s="2" t="s">
        <v>1632</v>
      </c>
      <c r="J579" s="3" t="str">
        <f>HYPERLINK("https://www.boe.es/gazeta/dias/1814/06/14/pdfs/GMD-1814-85.pdf#page=2","Abrir facsímil")</f>
        <v>Abrir facsímil</v>
      </c>
      <c r="K579" s="3" t="s">
        <v>64</v>
      </c>
    </row>
    <row r="580" spans="1:11" ht="42" customHeight="1">
      <c r="A580" s="2" t="s">
        <v>1633</v>
      </c>
      <c r="B580" s="2" t="s">
        <v>1633</v>
      </c>
      <c r="C580" s="2" t="s">
        <v>38</v>
      </c>
      <c r="D580" s="2" t="s">
        <v>39</v>
      </c>
      <c r="E580" s="5">
        <v>-31367</v>
      </c>
      <c r="F580" s="3" t="s">
        <v>857</v>
      </c>
      <c r="G580" s="3" t="s">
        <v>87</v>
      </c>
      <c r="H580" s="2" t="s">
        <v>62</v>
      </c>
      <c r="I580" s="2" t="s">
        <v>1634</v>
      </c>
      <c r="J580" s="3" t="str">
        <f>HYPERLINK("https://www.boe.es/gazeta/dias/1814/02/12/pdfs/GRE-1814-20.pdf#page=2","Abrir facsímil")</f>
        <v>Abrir facsímil</v>
      </c>
      <c r="K580" s="3" t="s">
        <v>64</v>
      </c>
    </row>
    <row r="581" spans="1:11" ht="42" customHeight="1">
      <c r="A581" s="2" t="s">
        <v>1635</v>
      </c>
      <c r="B581" s="2" t="s">
        <v>1636</v>
      </c>
      <c r="C581" s="2" t="s">
        <v>26</v>
      </c>
      <c r="D581" s="2" t="s">
        <v>27</v>
      </c>
      <c r="E581" s="5">
        <v>-31173</v>
      </c>
      <c r="F581" s="3" t="s">
        <v>46</v>
      </c>
      <c r="G581" s="3" t="s">
        <v>20</v>
      </c>
      <c r="H581" s="2" t="s">
        <v>62</v>
      </c>
      <c r="I581" s="2" t="s">
        <v>1637</v>
      </c>
      <c r="J581" s="3" t="str">
        <f>HYPERLINK("https://www.boe.es/gazeta/dias/1814/08/25/pdfs/GMD-1814-116.pdf#page=7","Abrir facsímil")</f>
        <v>Abrir facsímil</v>
      </c>
      <c r="K581" s="3" t="s">
        <v>64</v>
      </c>
    </row>
    <row r="582" spans="1:11" ht="42" customHeight="1">
      <c r="A582" s="2" t="s">
        <v>1635</v>
      </c>
      <c r="B582" s="2" t="s">
        <v>1636</v>
      </c>
      <c r="C582" s="2" t="s">
        <v>17</v>
      </c>
      <c r="D582" s="2" t="s">
        <v>18</v>
      </c>
      <c r="E582" s="5">
        <v>-31077</v>
      </c>
      <c r="F582" s="3" t="s">
        <v>414</v>
      </c>
      <c r="G582" s="3" t="s">
        <v>57</v>
      </c>
      <c r="H582" s="2" t="s">
        <v>62</v>
      </c>
      <c r="I582" s="2" t="s">
        <v>1638</v>
      </c>
      <c r="J582" s="3" t="str">
        <f>HYPERLINK("https://www.boe.es/gazeta/dias/1814/11/29/pdfs/GMD-1814-158.pdf#page=6","Abrir facsímil")</f>
        <v>Abrir facsímil</v>
      </c>
      <c r="K582" s="3" t="s">
        <v>64</v>
      </c>
    </row>
    <row r="583" spans="1:11" ht="42" customHeight="1">
      <c r="A583" s="2" t="s">
        <v>1639</v>
      </c>
      <c r="B583" s="2" t="s">
        <v>1640</v>
      </c>
      <c r="C583" s="2" t="s">
        <v>17</v>
      </c>
      <c r="D583" s="2" t="s">
        <v>18</v>
      </c>
      <c r="E583" s="5">
        <v>-31299</v>
      </c>
      <c r="F583" s="3" t="s">
        <v>71</v>
      </c>
      <c r="G583" s="3" t="s">
        <v>52</v>
      </c>
      <c r="H583" s="2" t="s">
        <v>62</v>
      </c>
      <c r="I583" s="2" t="s">
        <v>1641</v>
      </c>
      <c r="J583" s="3" t="str">
        <f>HYPERLINK("https://www.boe.es/gazeta/dias/1814/04/21/pdfs/GRE-1814-57.pdf#page=8","Abrir facsímil")</f>
        <v>Abrir facsímil</v>
      </c>
      <c r="K583" s="3" t="s">
        <v>64</v>
      </c>
    </row>
    <row r="584" spans="1:11" ht="42" customHeight="1">
      <c r="A584" s="2" t="s">
        <v>1642</v>
      </c>
      <c r="B584" s="2" t="s">
        <v>1643</v>
      </c>
      <c r="C584" s="2" t="s">
        <v>38</v>
      </c>
      <c r="D584" s="2" t="s">
        <v>39</v>
      </c>
      <c r="E584" s="5">
        <v>-31353</v>
      </c>
      <c r="F584" s="3" t="s">
        <v>247</v>
      </c>
      <c r="G584" s="3" t="s">
        <v>20</v>
      </c>
      <c r="H584" s="2" t="s">
        <v>62</v>
      </c>
      <c r="I584" s="2" t="s">
        <v>1644</v>
      </c>
      <c r="J584" s="3" t="str">
        <f>HYPERLINK("https://www.boe.es/gazeta/dias/1814/02/26/pdfs/GRE-1814-27.pdf#page=7","Abrir facsímil")</f>
        <v>Abrir facsímil</v>
      </c>
      <c r="K584" s="3" t="s">
        <v>64</v>
      </c>
    </row>
    <row r="585" spans="1:11" ht="42" customHeight="1">
      <c r="A585" s="2" t="s">
        <v>1645</v>
      </c>
      <c r="B585" s="2" t="s">
        <v>1646</v>
      </c>
      <c r="C585" s="2" t="s">
        <v>38</v>
      </c>
      <c r="D585" s="2" t="s">
        <v>39</v>
      </c>
      <c r="E585" s="5">
        <v>-31238</v>
      </c>
      <c r="F585" s="3" t="s">
        <v>127</v>
      </c>
      <c r="G585" s="3" t="s">
        <v>322</v>
      </c>
      <c r="H585" s="2" t="s">
        <v>62</v>
      </c>
      <c r="I585" s="2" t="s">
        <v>1647</v>
      </c>
      <c r="J585" s="3" t="str">
        <f>HYPERLINK("https://www.boe.es/gazeta/dias/1814/06/21/pdfs/GMD-1814-88.pdf#page=12","Abrir facsímil")</f>
        <v>Abrir facsímil</v>
      </c>
      <c r="K585" s="3" t="s">
        <v>64</v>
      </c>
    </row>
    <row r="586" spans="1:11" ht="42" customHeight="1">
      <c r="A586" s="2" t="s">
        <v>1648</v>
      </c>
      <c r="B586" s="2" t="s">
        <v>1649</v>
      </c>
      <c r="C586" s="2" t="s">
        <v>17</v>
      </c>
      <c r="D586" s="2" t="s">
        <v>18</v>
      </c>
      <c r="E586" s="5">
        <v>-31388</v>
      </c>
      <c r="F586" s="3" t="s">
        <v>1299</v>
      </c>
      <c r="G586" s="3" t="s">
        <v>20</v>
      </c>
      <c r="H586" s="2" t="s">
        <v>62</v>
      </c>
      <c r="I586" s="2" t="s">
        <v>1650</v>
      </c>
      <c r="J586" s="3" t="str">
        <f>HYPERLINK("https://www.boe.es/gazeta/dias/1814/01/22/pdfs/GRE-1814-11.pdf#page=7","Abrir facsímil")</f>
        <v>Abrir facsímil</v>
      </c>
      <c r="K586" s="3" t="s">
        <v>64</v>
      </c>
    </row>
    <row r="587" spans="1:11" ht="42" customHeight="1">
      <c r="A587" s="2" t="s">
        <v>1651</v>
      </c>
      <c r="B587" s="2" t="s">
        <v>1652</v>
      </c>
      <c r="C587" s="2" t="s">
        <v>45</v>
      </c>
      <c r="D587" s="2" t="s">
        <v>18</v>
      </c>
      <c r="E587" s="5">
        <v>-31140</v>
      </c>
      <c r="F587" s="3" t="s">
        <v>525</v>
      </c>
      <c r="G587" s="3" t="s">
        <v>20</v>
      </c>
      <c r="H587" s="2" t="s">
        <v>62</v>
      </c>
      <c r="I587" s="2" t="s">
        <v>1653</v>
      </c>
      <c r="J587" s="3" t="str">
        <f>HYPERLINK("https://www.boe.es/gazeta/dias/1814/09/27/pdfs/GMD-1814-131.pdf#page=7","Abrir facsímil")</f>
        <v>Abrir facsímil</v>
      </c>
      <c r="K587" s="3" t="s">
        <v>64</v>
      </c>
    </row>
    <row r="588" spans="1:11" ht="42" customHeight="1">
      <c r="A588" s="2" t="s">
        <v>1654</v>
      </c>
      <c r="B588" s="2" t="s">
        <v>1655</v>
      </c>
      <c r="C588" s="2" t="s">
        <v>26</v>
      </c>
      <c r="D588" s="2" t="s">
        <v>27</v>
      </c>
      <c r="E588" s="5">
        <v>-31217</v>
      </c>
      <c r="F588" s="3" t="s">
        <v>506</v>
      </c>
      <c r="G588" s="3" t="s">
        <v>20</v>
      </c>
      <c r="H588" s="2" t="s">
        <v>62</v>
      </c>
      <c r="I588" s="2" t="s">
        <v>1656</v>
      </c>
      <c r="J588" s="3" t="str">
        <f>HYPERLINK("https://www.boe.es/gazeta/dias/1814/07/12/pdfs/GMD-1814-97.pdf#page=7","Abrir facsímil")</f>
        <v>Abrir facsímil</v>
      </c>
      <c r="K588" s="3" t="s">
        <v>64</v>
      </c>
    </row>
    <row r="589" spans="1:11" ht="42" customHeight="1">
      <c r="A589" s="2" t="s">
        <v>1657</v>
      </c>
      <c r="B589" s="2" t="s">
        <v>1658</v>
      </c>
      <c r="C589" s="2" t="s">
        <v>38</v>
      </c>
      <c r="D589" s="2" t="s">
        <v>39</v>
      </c>
      <c r="E589" s="5">
        <v>-31178</v>
      </c>
      <c r="F589" s="3" t="s">
        <v>1390</v>
      </c>
      <c r="G589" s="3" t="s">
        <v>20</v>
      </c>
      <c r="H589" s="2" t="s">
        <v>62</v>
      </c>
      <c r="I589" s="2" t="s">
        <v>1659</v>
      </c>
      <c r="J589" s="3" t="str">
        <f>HYPERLINK("https://www.boe.es/gazeta/dias/1814/08/20/pdfs/GMD-1814-114.pdf#page=7","Abrir facsímil")</f>
        <v>Abrir facsímil</v>
      </c>
      <c r="K589" s="3" t="s">
        <v>64</v>
      </c>
    </row>
    <row r="590" spans="1:11" ht="42" customHeight="1">
      <c r="A590" s="2" t="s">
        <v>1660</v>
      </c>
      <c r="B590" s="2" t="s">
        <v>1661</v>
      </c>
      <c r="C590" s="2" t="s">
        <v>38</v>
      </c>
      <c r="D590" s="2" t="s">
        <v>39</v>
      </c>
      <c r="E590" s="5">
        <v>-31178</v>
      </c>
      <c r="F590" s="3" t="s">
        <v>1390</v>
      </c>
      <c r="G590" s="3" t="s">
        <v>20</v>
      </c>
      <c r="H590" s="2" t="s">
        <v>62</v>
      </c>
      <c r="I590" s="2" t="s">
        <v>1662</v>
      </c>
      <c r="J590" s="3" t="str">
        <f>HYPERLINK("https://www.boe.es/gazeta/dias/1814/08/20/pdfs/GMD-1814-114.pdf#page=7","Abrir facsímil")</f>
        <v>Abrir facsímil</v>
      </c>
      <c r="K590" s="3" t="s">
        <v>64</v>
      </c>
    </row>
    <row r="591" spans="1:11" ht="42" customHeight="1">
      <c r="A591" s="2" t="s">
        <v>1663</v>
      </c>
      <c r="B591" s="2" t="s">
        <v>1664</v>
      </c>
      <c r="C591" s="2" t="s">
        <v>26</v>
      </c>
      <c r="D591" s="2" t="s">
        <v>27</v>
      </c>
      <c r="E591" s="5">
        <v>-31122</v>
      </c>
      <c r="F591" s="3" t="s">
        <v>28</v>
      </c>
      <c r="G591" s="3" t="s">
        <v>1665</v>
      </c>
      <c r="H591" s="2" t="s">
        <v>62</v>
      </c>
      <c r="I591" s="2" t="s">
        <v>1666</v>
      </c>
      <c r="J591" s="3" t="str">
        <f>HYPERLINK("https://www.boe.es/gazeta/dias/1814/10/15/pdfs/GMD-1814-139.pdf#page=4","Abrir facsímil")</f>
        <v>Abrir facsímil</v>
      </c>
      <c r="K591" s="3" t="s">
        <v>64</v>
      </c>
    </row>
    <row r="592" spans="1:11" ht="42" customHeight="1">
      <c r="A592" s="2" t="s">
        <v>1667</v>
      </c>
      <c r="B592" s="2" t="s">
        <v>1668</v>
      </c>
      <c r="C592" s="2" t="s">
        <v>38</v>
      </c>
      <c r="D592" s="2" t="s">
        <v>39</v>
      </c>
      <c r="E592" s="5">
        <v>-31210</v>
      </c>
      <c r="F592" s="3" t="s">
        <v>141</v>
      </c>
      <c r="G592" s="3" t="s">
        <v>57</v>
      </c>
      <c r="H592" s="2" t="s">
        <v>62</v>
      </c>
      <c r="I592" s="2" t="s">
        <v>1669</v>
      </c>
      <c r="J592" s="3" t="str">
        <f>HYPERLINK("https://www.boe.es/gazeta/dias/1814/07/19/pdfs/GMD-1814-100.pdf#page=6","Abrir facsímil")</f>
        <v>Abrir facsímil</v>
      </c>
      <c r="K592" s="3" t="s">
        <v>64</v>
      </c>
    </row>
    <row r="593" spans="1:11" ht="42" customHeight="1">
      <c r="A593" s="2" t="s">
        <v>1670</v>
      </c>
      <c r="B593" s="2" t="s">
        <v>1671</v>
      </c>
      <c r="C593" s="2" t="s">
        <v>38</v>
      </c>
      <c r="D593" s="2" t="s">
        <v>314</v>
      </c>
      <c r="E593" s="5">
        <v>-31296</v>
      </c>
      <c r="F593" s="3" t="s">
        <v>315</v>
      </c>
      <c r="G593" s="3" t="s">
        <v>57</v>
      </c>
      <c r="H593" s="2" t="s">
        <v>62</v>
      </c>
      <c r="I593" s="2" t="s">
        <v>1672</v>
      </c>
      <c r="J593" s="3" t="str">
        <f>HYPERLINK("https://www.boe.es/gazeta/dias/1814/04/24/pdfs/GRE-1814-60E.pdf#page=6","Abrir facsímil")</f>
        <v>Abrir facsímil</v>
      </c>
      <c r="K593" s="3" t="s">
        <v>64</v>
      </c>
    </row>
    <row r="594" spans="1:11" ht="42" customHeight="1">
      <c r="A594" s="2" t="s">
        <v>1673</v>
      </c>
      <c r="B594" s="2" t="s">
        <v>1673</v>
      </c>
      <c r="C594" s="2" t="s">
        <v>38</v>
      </c>
      <c r="D594" s="2" t="s">
        <v>39</v>
      </c>
      <c r="E594" s="5">
        <v>-31094</v>
      </c>
      <c r="F594" s="3" t="s">
        <v>761</v>
      </c>
      <c r="G594" s="3" t="s">
        <v>52</v>
      </c>
      <c r="H594" s="2" t="s">
        <v>62</v>
      </c>
      <c r="I594" s="2" t="s">
        <v>1674</v>
      </c>
      <c r="J594" s="3" t="str">
        <f>HYPERLINK("https://www.boe.es/gazeta/dias/1814/11/12/pdfs/GMD-1814-151.pdf#page=8","Abrir facsímil")</f>
        <v>Abrir facsímil</v>
      </c>
      <c r="K594" s="3" t="s">
        <v>64</v>
      </c>
    </row>
    <row r="595" spans="1:11" ht="42" customHeight="1">
      <c r="A595" s="2" t="s">
        <v>1675</v>
      </c>
      <c r="B595" s="2" t="s">
        <v>1675</v>
      </c>
      <c r="C595" s="2" t="s">
        <v>38</v>
      </c>
      <c r="D595" s="2" t="s">
        <v>39</v>
      </c>
      <c r="E595" s="5">
        <v>-31388</v>
      </c>
      <c r="F595" s="3" t="s">
        <v>1299</v>
      </c>
      <c r="G595" s="3" t="s">
        <v>87</v>
      </c>
      <c r="H595" s="2" t="s">
        <v>62</v>
      </c>
      <c r="I595" s="2" t="s">
        <v>1676</v>
      </c>
      <c r="J595" s="3" t="str">
        <f>HYPERLINK("https://www.boe.es/gazeta/dias/1814/01/22/pdfs/GRE-1814-11.pdf#page=2","Abrir facsímil")</f>
        <v>Abrir facsímil</v>
      </c>
      <c r="K595" s="3" t="s">
        <v>64</v>
      </c>
    </row>
    <row r="596" spans="1:11" ht="42" customHeight="1">
      <c r="A596" s="2" t="s">
        <v>1675</v>
      </c>
      <c r="B596" s="2" t="s">
        <v>1675</v>
      </c>
      <c r="C596" s="2" t="s">
        <v>38</v>
      </c>
      <c r="D596" s="2" t="s">
        <v>314</v>
      </c>
      <c r="E596" s="5">
        <v>-31341</v>
      </c>
      <c r="F596" s="3" t="s">
        <v>354</v>
      </c>
      <c r="G596" s="3" t="s">
        <v>82</v>
      </c>
      <c r="H596" s="2" t="s">
        <v>62</v>
      </c>
      <c r="I596" s="2" t="s">
        <v>1677</v>
      </c>
      <c r="J596" s="3" t="str">
        <f>HYPERLINK("https://www.boe.es/gazeta/dias/1814/03/10/pdfs/GRE-1814-34E.pdf#page=3","Abrir facsímil")</f>
        <v>Abrir facsímil</v>
      </c>
      <c r="K596" s="3" t="s">
        <v>64</v>
      </c>
    </row>
    <row r="597" spans="1:11" ht="42" customHeight="1">
      <c r="A597" s="2" t="s">
        <v>1675</v>
      </c>
      <c r="B597" s="2" t="s">
        <v>1675</v>
      </c>
      <c r="C597" s="2" t="s">
        <v>38</v>
      </c>
      <c r="D597" s="2" t="s">
        <v>39</v>
      </c>
      <c r="E597" s="5">
        <v>-31292</v>
      </c>
      <c r="F597" s="3" t="s">
        <v>557</v>
      </c>
      <c r="G597" s="3" t="s">
        <v>1678</v>
      </c>
      <c r="H597" s="2" t="s">
        <v>62</v>
      </c>
      <c r="I597" s="2" t="s">
        <v>1679</v>
      </c>
      <c r="J597" s="3" t="str">
        <f>HYPERLINK("https://www.boe.es/gazeta/dias/1814/04/28/pdfs/GRE-1814-63.pdf#page=3","Abrir facsímil")</f>
        <v>Abrir facsímil</v>
      </c>
      <c r="K597" s="3" t="s">
        <v>64</v>
      </c>
    </row>
    <row r="598" spans="1:11" ht="42" customHeight="1">
      <c r="A598" s="2" t="s">
        <v>1675</v>
      </c>
      <c r="B598" s="2" t="s">
        <v>1675</v>
      </c>
      <c r="C598" s="2" t="s">
        <v>45</v>
      </c>
      <c r="D598" s="2" t="s">
        <v>18</v>
      </c>
      <c r="E598" s="5">
        <v>-31059</v>
      </c>
      <c r="F598" s="3" t="s">
        <v>263</v>
      </c>
      <c r="G598" s="3" t="s">
        <v>264</v>
      </c>
      <c r="H598" s="2" t="s">
        <v>62</v>
      </c>
      <c r="I598" s="2" t="s">
        <v>1680</v>
      </c>
      <c r="J598" s="3" t="str">
        <f>HYPERLINK("https://www.boe.es/gazeta/dias/1814/12/17/pdfs/GMD-1814-167.pdf#page=7","Abrir facsímil")</f>
        <v>Abrir facsímil</v>
      </c>
      <c r="K598" s="3" t="s">
        <v>64</v>
      </c>
    </row>
    <row r="599" spans="1:11" ht="42" customHeight="1">
      <c r="A599" s="2" t="s">
        <v>1681</v>
      </c>
      <c r="B599" s="2" t="s">
        <v>1681</v>
      </c>
      <c r="C599" s="2" t="s">
        <v>38</v>
      </c>
      <c r="D599" s="2" t="s">
        <v>39</v>
      </c>
      <c r="E599" s="5">
        <v>-31290</v>
      </c>
      <c r="F599" s="3" t="s">
        <v>488</v>
      </c>
      <c r="G599" s="3" t="s">
        <v>82</v>
      </c>
      <c r="H599" s="2" t="s">
        <v>62</v>
      </c>
      <c r="I599" s="2" t="s">
        <v>1682</v>
      </c>
      <c r="J599" s="3" t="str">
        <f>HYPERLINK("https://www.boe.es/gazeta/dias/1814/04/30/pdfs/GRE-1814-64.pdf#page=3","Abrir facsímil")</f>
        <v>Abrir facsímil</v>
      </c>
      <c r="K599" s="3" t="s">
        <v>64</v>
      </c>
    </row>
    <row r="600" spans="1:11" ht="42" customHeight="1">
      <c r="A600" s="2" t="s">
        <v>1683</v>
      </c>
      <c r="B600" s="2" t="s">
        <v>1683</v>
      </c>
      <c r="C600" s="2" t="s">
        <v>38</v>
      </c>
      <c r="D600" s="2" t="s">
        <v>39</v>
      </c>
      <c r="E600" s="5">
        <v>-31350</v>
      </c>
      <c r="F600" s="3" t="s">
        <v>377</v>
      </c>
      <c r="G600" s="3" t="s">
        <v>52</v>
      </c>
      <c r="H600" s="2" t="s">
        <v>62</v>
      </c>
      <c r="I600" s="2" t="s">
        <v>1684</v>
      </c>
      <c r="J600" s="3" t="str">
        <f>HYPERLINK("https://www.boe.es/gazeta/dias/1814/03/01/pdfs/GRE-1814-28.pdf#page=8","Abrir facsímil")</f>
        <v>Abrir facsímil</v>
      </c>
      <c r="K600" s="3" t="s">
        <v>64</v>
      </c>
    </row>
    <row r="601" spans="1:11" ht="42" customHeight="1">
      <c r="A601" s="2" t="s">
        <v>1685</v>
      </c>
      <c r="B601" s="2" t="s">
        <v>1685</v>
      </c>
      <c r="C601" s="2" t="s">
        <v>309</v>
      </c>
      <c r="D601" s="2" t="s">
        <v>18</v>
      </c>
      <c r="E601" s="5">
        <v>-31308</v>
      </c>
      <c r="F601" s="3" t="s">
        <v>210</v>
      </c>
      <c r="G601" s="3" t="s">
        <v>52</v>
      </c>
      <c r="H601" s="2" t="s">
        <v>62</v>
      </c>
      <c r="I601" s="2" t="s">
        <v>1686</v>
      </c>
      <c r="J601" s="3" t="str">
        <f>HYPERLINK("https://www.boe.es/gazeta/dias/1814/04/12/pdfs/GRE-1814-52.pdf#page=8","Abrir facsímil")</f>
        <v>Abrir facsímil</v>
      </c>
      <c r="K601" s="3" t="s">
        <v>64</v>
      </c>
    </row>
    <row r="602" spans="1:11" ht="42" customHeight="1">
      <c r="A602" s="2" t="s">
        <v>1687</v>
      </c>
      <c r="B602" s="2" t="s">
        <v>1688</v>
      </c>
      <c r="C602" s="2" t="s">
        <v>38</v>
      </c>
      <c r="D602" s="2" t="s">
        <v>39</v>
      </c>
      <c r="E602" s="5">
        <v>-31262</v>
      </c>
      <c r="F602" s="3" t="s">
        <v>254</v>
      </c>
      <c r="G602" s="3" t="s">
        <v>87</v>
      </c>
      <c r="H602" s="2" t="s">
        <v>62</v>
      </c>
      <c r="I602" s="2" t="s">
        <v>1689</v>
      </c>
      <c r="J602" s="3" t="str">
        <f>HYPERLINK("https://www.boe.es/gazeta/dias/1814/05/28/pdfs/GMD-1814-78.pdf#page=2","Abrir facsímil")</f>
        <v>Abrir facsímil</v>
      </c>
      <c r="K602" s="3" t="s">
        <v>64</v>
      </c>
    </row>
    <row r="603" spans="1:11" ht="42" customHeight="1">
      <c r="A603" s="2" t="s">
        <v>1687</v>
      </c>
      <c r="B603" s="2" t="s">
        <v>1688</v>
      </c>
      <c r="C603" s="2" t="s">
        <v>38</v>
      </c>
      <c r="D603" s="2" t="s">
        <v>39</v>
      </c>
      <c r="E603" s="5">
        <v>-31252</v>
      </c>
      <c r="F603" s="3" t="s">
        <v>364</v>
      </c>
      <c r="G603" s="3" t="s">
        <v>1575</v>
      </c>
      <c r="H603" s="2" t="s">
        <v>62</v>
      </c>
      <c r="I603" s="2" t="s">
        <v>1690</v>
      </c>
      <c r="J603" s="3" t="str">
        <f>HYPERLINK("https://www.boe.es/gazeta/dias/1814/06/07/pdfs/GMD-1814-82.pdf#page=2","Abrir facsímil")</f>
        <v>Abrir facsímil</v>
      </c>
      <c r="K603" s="3" t="s">
        <v>64</v>
      </c>
    </row>
    <row r="604" spans="1:11" ht="42" customHeight="1">
      <c r="A604" s="2" t="s">
        <v>1691</v>
      </c>
      <c r="B604" s="2" t="s">
        <v>1692</v>
      </c>
      <c r="C604" s="2" t="s">
        <v>17</v>
      </c>
      <c r="D604" s="2" t="s">
        <v>18</v>
      </c>
      <c r="E604" s="5">
        <v>-31257</v>
      </c>
      <c r="F604" s="3" t="s">
        <v>437</v>
      </c>
      <c r="G604" s="3" t="s">
        <v>438</v>
      </c>
      <c r="H604" s="2" t="s">
        <v>62</v>
      </c>
      <c r="I604" s="2" t="s">
        <v>1693</v>
      </c>
      <c r="J604" s="3" t="str">
        <f>HYPERLINK("https://www.boe.es/gazeta/dias/1814/06/02/pdfs/GMD-1814-80.pdf#page=5","Abrir facsímil")</f>
        <v>Abrir facsímil</v>
      </c>
      <c r="K604" s="3" t="s">
        <v>64</v>
      </c>
    </row>
    <row r="605" spans="1:11" ht="42" customHeight="1">
      <c r="A605" s="2" t="s">
        <v>1694</v>
      </c>
      <c r="B605" s="2" t="s">
        <v>1694</v>
      </c>
      <c r="C605" s="2" t="s">
        <v>38</v>
      </c>
      <c r="D605" s="2" t="s">
        <v>314</v>
      </c>
      <c r="E605" s="5">
        <v>-31296</v>
      </c>
      <c r="F605" s="3" t="s">
        <v>315</v>
      </c>
      <c r="G605" s="3" t="s">
        <v>41</v>
      </c>
      <c r="H605" s="2" t="s">
        <v>62</v>
      </c>
      <c r="I605" s="2" t="s">
        <v>1695</v>
      </c>
      <c r="J605" s="3" t="str">
        <f>HYPERLINK("https://www.boe.es/gazeta/dias/1814/04/24/pdfs/GRE-1814-60E.pdf#page=4","Abrir facsímil")</f>
        <v>Abrir facsímil</v>
      </c>
      <c r="K605" s="3" t="s">
        <v>64</v>
      </c>
    </row>
    <row r="606" spans="1:11" ht="42" customHeight="1">
      <c r="A606" s="2" t="s">
        <v>1696</v>
      </c>
      <c r="B606" s="2" t="s">
        <v>1697</v>
      </c>
      <c r="C606" s="2" t="s">
        <v>45</v>
      </c>
      <c r="D606" s="2" t="s">
        <v>18</v>
      </c>
      <c r="E606" s="5">
        <v>-31103</v>
      </c>
      <c r="F606" s="3" t="s">
        <v>1260</v>
      </c>
      <c r="G606" s="3" t="s">
        <v>1261</v>
      </c>
      <c r="H606" s="2" t="s">
        <v>62</v>
      </c>
      <c r="I606" s="2" t="s">
        <v>1698</v>
      </c>
      <c r="J606" s="3" t="str">
        <f>HYPERLINK("https://www.boe.es/gazeta/dias/1814/11/03/pdfs/GMD-1814-147.pdf#page=8","Abrir facsímil")</f>
        <v>Abrir facsímil</v>
      </c>
      <c r="K606" s="3" t="s">
        <v>64</v>
      </c>
    </row>
    <row r="607" spans="1:11" ht="42" customHeight="1">
      <c r="A607" s="2" t="s">
        <v>1699</v>
      </c>
      <c r="B607" s="2" t="s">
        <v>1700</v>
      </c>
      <c r="C607" s="2" t="s">
        <v>26</v>
      </c>
      <c r="D607" s="2" t="s">
        <v>27</v>
      </c>
      <c r="E607" s="5">
        <v>-31059</v>
      </c>
      <c r="F607" s="3" t="s">
        <v>263</v>
      </c>
      <c r="G607" s="3" t="s">
        <v>264</v>
      </c>
      <c r="H607" s="2" t="s">
        <v>62</v>
      </c>
      <c r="I607" s="2" t="s">
        <v>1701</v>
      </c>
      <c r="J607" s="3" t="str">
        <f>HYPERLINK("https://www.boe.es/gazeta/dias/1814/12/17/pdfs/GMD-1814-167.pdf#page=7","Abrir facsímil")</f>
        <v>Abrir facsímil</v>
      </c>
      <c r="K607" s="3" t="s">
        <v>64</v>
      </c>
    </row>
    <row r="608" spans="1:11" ht="42" customHeight="1">
      <c r="A608" s="2" t="s">
        <v>1702</v>
      </c>
      <c r="B608" s="2" t="s">
        <v>1703</v>
      </c>
      <c r="C608" s="2" t="s">
        <v>38</v>
      </c>
      <c r="D608" s="2" t="s">
        <v>39</v>
      </c>
      <c r="E608" s="5">
        <v>-31182</v>
      </c>
      <c r="F608" s="3" t="s">
        <v>19</v>
      </c>
      <c r="G608" s="3" t="s">
        <v>20</v>
      </c>
      <c r="H608" s="2" t="s">
        <v>62</v>
      </c>
      <c r="I608" s="2" t="s">
        <v>1704</v>
      </c>
      <c r="J608" s="3" t="str">
        <f>HYPERLINK("https://www.boe.es/gazeta/dias/1814/08/16/pdfs/GMD-1814-112.pdf#page=7","Abrir facsímil")</f>
        <v>Abrir facsímil</v>
      </c>
      <c r="K608" s="3" t="s">
        <v>64</v>
      </c>
    </row>
    <row r="609" spans="1:11" ht="42" customHeight="1">
      <c r="A609" s="2" t="s">
        <v>1705</v>
      </c>
      <c r="B609" s="2" t="s">
        <v>1706</v>
      </c>
      <c r="C609" s="2" t="s">
        <v>144</v>
      </c>
      <c r="D609" s="2" t="s">
        <v>18</v>
      </c>
      <c r="E609" s="5">
        <v>-31255</v>
      </c>
      <c r="F609" s="3" t="s">
        <v>983</v>
      </c>
      <c r="G609" s="3" t="s">
        <v>99</v>
      </c>
      <c r="H609" s="2" t="s">
        <v>62</v>
      </c>
      <c r="I609" s="2" t="s">
        <v>1707</v>
      </c>
      <c r="J609" s="3" t="str">
        <f>HYPERLINK("https://www.boe.es/gazeta/dias/1814/06/04/pdfs/GMD-1814-81.pdf#page=5","Abrir facsímil")</f>
        <v>Abrir facsímil</v>
      </c>
      <c r="K609" s="3" t="s">
        <v>64</v>
      </c>
    </row>
    <row r="610" spans="1:11" ht="42" customHeight="1">
      <c r="A610" s="2" t="s">
        <v>1708</v>
      </c>
      <c r="B610" s="2" t="s">
        <v>1709</v>
      </c>
      <c r="C610" s="2" t="s">
        <v>38</v>
      </c>
      <c r="D610" s="2" t="s">
        <v>39</v>
      </c>
      <c r="E610" s="5">
        <v>-31320</v>
      </c>
      <c r="F610" s="3" t="s">
        <v>40</v>
      </c>
      <c r="G610" s="3" t="s">
        <v>82</v>
      </c>
      <c r="H610" s="2" t="s">
        <v>62</v>
      </c>
      <c r="I610" s="2" t="s">
        <v>1710</v>
      </c>
      <c r="J610" s="3" t="str">
        <f>HYPERLINK("https://www.boe.es/gazeta/dias/1814/03/31/pdfs/GRE-1814-46.pdf#page=3","Abrir facsímil")</f>
        <v>Abrir facsímil</v>
      </c>
      <c r="K610" s="3" t="s">
        <v>64</v>
      </c>
    </row>
    <row r="611" spans="1:11" ht="42" customHeight="1">
      <c r="A611" s="2" t="s">
        <v>1711</v>
      </c>
      <c r="B611" s="2" t="s">
        <v>1712</v>
      </c>
      <c r="C611" s="2" t="s">
        <v>17</v>
      </c>
      <c r="D611" s="2" t="s">
        <v>18</v>
      </c>
      <c r="E611" s="5">
        <v>-31115</v>
      </c>
      <c r="F611" s="3" t="s">
        <v>805</v>
      </c>
      <c r="G611" s="3" t="s">
        <v>20</v>
      </c>
      <c r="H611" s="2" t="s">
        <v>62</v>
      </c>
      <c r="I611" s="2" t="s">
        <v>1713</v>
      </c>
      <c r="J611" s="3" t="str">
        <f>HYPERLINK("https://www.boe.es/gazeta/dias/1814/10/22/pdfs/GMD-1814-142.pdf#page=7","Abrir facsímil")</f>
        <v>Abrir facsímil</v>
      </c>
      <c r="K611" s="3" t="s">
        <v>64</v>
      </c>
    </row>
    <row r="612" spans="1:11" ht="42" customHeight="1">
      <c r="A612" s="2" t="s">
        <v>1714</v>
      </c>
      <c r="B612" s="2" t="s">
        <v>1715</v>
      </c>
      <c r="C612" s="2" t="s">
        <v>17</v>
      </c>
      <c r="D612" s="2" t="s">
        <v>18</v>
      </c>
      <c r="E612" s="5">
        <v>-31360</v>
      </c>
      <c r="F612" s="3" t="s">
        <v>480</v>
      </c>
      <c r="G612" s="3" t="s">
        <v>52</v>
      </c>
      <c r="H612" s="2" t="s">
        <v>62</v>
      </c>
      <c r="I612" s="2" t="s">
        <v>1716</v>
      </c>
      <c r="J612" s="3" t="str">
        <f>HYPERLINK("https://www.boe.es/gazeta/dias/1814/02/19/pdfs/GRE-1814-23.pdf#page=8","Abrir facsímil")</f>
        <v>Abrir facsímil</v>
      </c>
      <c r="K612" s="3" t="s">
        <v>64</v>
      </c>
    </row>
    <row r="613" spans="1:11" ht="42" customHeight="1">
      <c r="A613" s="2" t="s">
        <v>1717</v>
      </c>
      <c r="B613" s="2" t="s">
        <v>1717</v>
      </c>
      <c r="C613" s="2" t="s">
        <v>38</v>
      </c>
      <c r="D613" s="2" t="s">
        <v>39</v>
      </c>
      <c r="E613" s="5">
        <v>-31406</v>
      </c>
      <c r="F613" s="3" t="s">
        <v>1718</v>
      </c>
      <c r="G613" s="3" t="s">
        <v>87</v>
      </c>
      <c r="H613" s="2" t="s">
        <v>62</v>
      </c>
      <c r="I613" s="2" t="s">
        <v>1719</v>
      </c>
      <c r="J613" s="3" t="str">
        <f>HYPERLINK("https://www.boe.es/gazeta/dias/1814/01/04/pdfs/GRE-1814-2.pdf#page=2","Abrir facsímil")</f>
        <v>Abrir facsímil</v>
      </c>
      <c r="K613" s="3" t="s">
        <v>64</v>
      </c>
    </row>
    <row r="614" spans="1:11" ht="42" customHeight="1">
      <c r="A614" s="2" t="s">
        <v>1717</v>
      </c>
      <c r="B614" s="2" t="s">
        <v>1717</v>
      </c>
      <c r="C614" s="2" t="s">
        <v>38</v>
      </c>
      <c r="D614" s="2" t="s">
        <v>39</v>
      </c>
      <c r="E614" s="5">
        <v>-31339</v>
      </c>
      <c r="F614" s="3" t="s">
        <v>641</v>
      </c>
      <c r="G614" s="3" t="s">
        <v>107</v>
      </c>
      <c r="H614" s="2" t="s">
        <v>62</v>
      </c>
      <c r="I614" s="2" t="s">
        <v>1720</v>
      </c>
      <c r="J614" s="3" t="str">
        <f>HYPERLINK("https://www.boe.es/gazeta/dias/1814/03/12/pdfs/GRE-1814-35.pdf#page=1","Abrir facsímil")</f>
        <v>Abrir facsímil</v>
      </c>
      <c r="K614" s="3" t="s">
        <v>64</v>
      </c>
    </row>
    <row r="615" spans="1:11" ht="42" customHeight="1">
      <c r="A615" s="2" t="s">
        <v>1717</v>
      </c>
      <c r="B615" s="2" t="s">
        <v>1717</v>
      </c>
      <c r="C615" s="2" t="s">
        <v>38</v>
      </c>
      <c r="D615" s="2" t="s">
        <v>39</v>
      </c>
      <c r="E615" s="5">
        <v>-31339</v>
      </c>
      <c r="F615" s="3" t="s">
        <v>641</v>
      </c>
      <c r="G615" s="3" t="s">
        <v>82</v>
      </c>
      <c r="H615" s="2" t="s">
        <v>62</v>
      </c>
      <c r="I615" s="2" t="s">
        <v>1721</v>
      </c>
      <c r="J615" s="3" t="str">
        <f>HYPERLINK("https://www.boe.es/gazeta/dias/1814/03/12/pdfs/GRE-1814-35.pdf#page=3","Abrir facsímil")</f>
        <v>Abrir facsímil</v>
      </c>
      <c r="K615" s="3" t="s">
        <v>64</v>
      </c>
    </row>
    <row r="616" spans="1:11" ht="42" customHeight="1">
      <c r="A616" s="2" t="s">
        <v>1717</v>
      </c>
      <c r="B616" s="2" t="s">
        <v>1717</v>
      </c>
      <c r="C616" s="2" t="s">
        <v>38</v>
      </c>
      <c r="D616" s="2" t="s">
        <v>39</v>
      </c>
      <c r="E616" s="5">
        <v>-31292</v>
      </c>
      <c r="F616" s="3" t="s">
        <v>557</v>
      </c>
      <c r="G616" s="3" t="s">
        <v>1678</v>
      </c>
      <c r="H616" s="2" t="s">
        <v>62</v>
      </c>
      <c r="I616" s="2" t="s">
        <v>1722</v>
      </c>
      <c r="J616" s="3" t="str">
        <f>HYPERLINK("https://www.boe.es/gazeta/dias/1814/04/28/pdfs/GRE-1814-63.pdf#page=3","Abrir facsímil")</f>
        <v>Abrir facsímil</v>
      </c>
      <c r="K616" s="3" t="s">
        <v>64</v>
      </c>
    </row>
    <row r="617" spans="1:11" ht="42" customHeight="1">
      <c r="A617" s="2" t="s">
        <v>1717</v>
      </c>
      <c r="B617" s="2" t="s">
        <v>1717</v>
      </c>
      <c r="C617" s="2" t="s">
        <v>38</v>
      </c>
      <c r="D617" s="2" t="s">
        <v>39</v>
      </c>
      <c r="E617" s="5">
        <v>-31262</v>
      </c>
      <c r="F617" s="3" t="s">
        <v>254</v>
      </c>
      <c r="G617" s="3" t="s">
        <v>87</v>
      </c>
      <c r="H617" s="2" t="s">
        <v>62</v>
      </c>
      <c r="I617" s="2" t="s">
        <v>1723</v>
      </c>
      <c r="J617" s="3" t="str">
        <f>HYPERLINK("https://www.boe.es/gazeta/dias/1814/05/28/pdfs/GMD-1814-78.pdf#page=2","Abrir facsímil")</f>
        <v>Abrir facsímil</v>
      </c>
      <c r="K617" s="3" t="s">
        <v>64</v>
      </c>
    </row>
    <row r="618" spans="1:11" ht="42" customHeight="1">
      <c r="A618" s="2" t="s">
        <v>1724</v>
      </c>
      <c r="B618" s="2" t="s">
        <v>1725</v>
      </c>
      <c r="C618" s="2" t="s">
        <v>45</v>
      </c>
      <c r="D618" s="2" t="s">
        <v>18</v>
      </c>
      <c r="E618" s="5">
        <v>-31117</v>
      </c>
      <c r="F618" s="3" t="s">
        <v>172</v>
      </c>
      <c r="G618" s="3" t="s">
        <v>392</v>
      </c>
      <c r="H618" s="2" t="s">
        <v>62</v>
      </c>
      <c r="I618" s="2" t="s">
        <v>1726</v>
      </c>
      <c r="J618" s="3" t="str">
        <f>HYPERLINK("https://www.boe.es/gazeta/dias/1814/10/20/pdfs/GMD-1814-141.pdf#page=8","Abrir facsímil")</f>
        <v>Abrir facsímil</v>
      </c>
      <c r="K618" s="3" t="s">
        <v>64</v>
      </c>
    </row>
    <row r="619" spans="1:11" ht="42" customHeight="1">
      <c r="A619" s="2" t="s">
        <v>1727</v>
      </c>
      <c r="B619" s="2" t="s">
        <v>1728</v>
      </c>
      <c r="C619" s="2" t="s">
        <v>17</v>
      </c>
      <c r="D619" s="2" t="s">
        <v>18</v>
      </c>
      <c r="E619" s="5">
        <v>-31220</v>
      </c>
      <c r="F619" s="3" t="s">
        <v>122</v>
      </c>
      <c r="G619" s="3" t="s">
        <v>87</v>
      </c>
      <c r="H619" s="2" t="s">
        <v>62</v>
      </c>
      <c r="I619" s="2" t="s">
        <v>1729</v>
      </c>
      <c r="J619" s="3" t="str">
        <f>HYPERLINK("https://www.boe.es/gazeta/dias/1814/07/09/pdfs/GMD-1814-96.pdf#page=2","Abrir facsímil")</f>
        <v>Abrir facsímil</v>
      </c>
      <c r="K619" s="3" t="s">
        <v>64</v>
      </c>
    </row>
    <row r="620" spans="1:11" ht="42" customHeight="1">
      <c r="A620" s="2" t="s">
        <v>1730</v>
      </c>
      <c r="B620" s="2" t="s">
        <v>1731</v>
      </c>
      <c r="C620" s="2" t="s">
        <v>26</v>
      </c>
      <c r="D620" s="2" t="s">
        <v>27</v>
      </c>
      <c r="E620" s="5">
        <v>-31259</v>
      </c>
      <c r="F620" s="3" t="s">
        <v>853</v>
      </c>
      <c r="G620" s="3" t="s">
        <v>1732</v>
      </c>
      <c r="H620" s="2" t="s">
        <v>62</v>
      </c>
      <c r="I620" s="2" t="s">
        <v>1733</v>
      </c>
      <c r="J620" s="3" t="str">
        <f>HYPERLINK("https://www.boe.es/gazeta/dias/1814/05/31/pdfs/GMD-1814-79.pdf#page=5","Abrir facsímil")</f>
        <v>Abrir facsímil</v>
      </c>
      <c r="K620" s="3" t="s">
        <v>64</v>
      </c>
    </row>
    <row r="621" spans="1:11" ht="42" customHeight="1">
      <c r="A621" s="2" t="s">
        <v>1734</v>
      </c>
      <c r="B621" s="2" t="s">
        <v>1735</v>
      </c>
      <c r="C621" s="2" t="s">
        <v>38</v>
      </c>
      <c r="D621" s="2" t="s">
        <v>39</v>
      </c>
      <c r="E621" s="5">
        <v>-31210</v>
      </c>
      <c r="F621" s="3" t="s">
        <v>141</v>
      </c>
      <c r="G621" s="3" t="s">
        <v>99</v>
      </c>
      <c r="H621" s="2" t="s">
        <v>62</v>
      </c>
      <c r="I621" s="2" t="s">
        <v>1736</v>
      </c>
      <c r="J621" s="3" t="str">
        <f>HYPERLINK("https://www.boe.es/gazeta/dias/1814/07/19/pdfs/GMD-1814-100.pdf#page=5","Abrir facsímil")</f>
        <v>Abrir facsímil</v>
      </c>
      <c r="K621" s="3" t="s">
        <v>64</v>
      </c>
    </row>
    <row r="622" spans="1:11" ht="42" customHeight="1">
      <c r="A622" s="2" t="s">
        <v>1737</v>
      </c>
      <c r="B622" s="2" t="s">
        <v>1737</v>
      </c>
      <c r="C622" s="2" t="s">
        <v>144</v>
      </c>
      <c r="D622" s="2" t="s">
        <v>18</v>
      </c>
      <c r="E622" s="5">
        <v>-31112</v>
      </c>
      <c r="F622" s="3" t="s">
        <v>707</v>
      </c>
      <c r="G622" s="3" t="s">
        <v>708</v>
      </c>
      <c r="H622" s="2" t="s">
        <v>62</v>
      </c>
      <c r="I622" s="2" t="s">
        <v>1738</v>
      </c>
      <c r="J622" s="3" t="str">
        <f>HYPERLINK("https://www.boe.es/gazeta/dias/1814/10/25/pdfs/GMD-1814-143.pdf#page=8","Abrir facsímil")</f>
        <v>Abrir facsímil</v>
      </c>
      <c r="K622" s="3" t="s">
        <v>64</v>
      </c>
    </row>
    <row r="623" spans="1:11" ht="42" customHeight="1">
      <c r="A623" s="2" t="s">
        <v>1739</v>
      </c>
      <c r="B623" s="2" t="s">
        <v>1740</v>
      </c>
      <c r="C623" s="2" t="s">
        <v>17</v>
      </c>
      <c r="D623" s="2" t="s">
        <v>18</v>
      </c>
      <c r="E623" s="5">
        <v>-31157</v>
      </c>
      <c r="F623" s="3" t="s">
        <v>206</v>
      </c>
      <c r="G623" s="3" t="s">
        <v>52</v>
      </c>
      <c r="H623" s="2" t="s">
        <v>62</v>
      </c>
      <c r="I623" s="2" t="s">
        <v>1741</v>
      </c>
      <c r="J623" s="3" t="str">
        <f>HYPERLINK("https://www.boe.es/gazeta/dias/1814/09/10/pdfs/GMD-1814-124.pdf#page=8","Abrir facsímil")</f>
        <v>Abrir facsímil</v>
      </c>
      <c r="K623" s="3" t="s">
        <v>64</v>
      </c>
    </row>
    <row r="624" spans="1:11" ht="42" customHeight="1">
      <c r="A624" s="2" t="s">
        <v>1742</v>
      </c>
      <c r="B624" s="2" t="s">
        <v>1743</v>
      </c>
      <c r="C624" s="2" t="s">
        <v>45</v>
      </c>
      <c r="D624" s="2" t="s">
        <v>18</v>
      </c>
      <c r="E624" s="5">
        <v>-31131</v>
      </c>
      <c r="F624" s="3" t="s">
        <v>132</v>
      </c>
      <c r="G624" s="3" t="s">
        <v>20</v>
      </c>
      <c r="H624" s="2" t="s">
        <v>62</v>
      </c>
      <c r="I624" s="2" t="s">
        <v>1744</v>
      </c>
      <c r="J624" s="3" t="str">
        <f>HYPERLINK("https://www.boe.es/gazeta/dias/1814/10/06/pdfs/GMD-1814-135.pdf#page=7","Abrir facsímil")</f>
        <v>Abrir facsímil</v>
      </c>
      <c r="K624" s="3" t="s">
        <v>64</v>
      </c>
    </row>
    <row r="625" spans="1:11" ht="42" customHeight="1">
      <c r="A625" s="2" t="s">
        <v>1745</v>
      </c>
      <c r="B625" s="2" t="s">
        <v>1746</v>
      </c>
      <c r="C625" s="2" t="s">
        <v>144</v>
      </c>
      <c r="D625" s="2" t="s">
        <v>18</v>
      </c>
      <c r="E625" s="5">
        <v>-31238</v>
      </c>
      <c r="F625" s="3" t="s">
        <v>127</v>
      </c>
      <c r="G625" s="3" t="s">
        <v>128</v>
      </c>
      <c r="H625" s="2" t="s">
        <v>62</v>
      </c>
      <c r="I625" s="2" t="s">
        <v>1747</v>
      </c>
      <c r="J625" s="3" t="str">
        <f>HYPERLINK("https://www.boe.es/gazeta/dias/1814/06/21/pdfs/GMD-1814-88.pdf#page=8","Abrir facsímil")</f>
        <v>Abrir facsímil</v>
      </c>
      <c r="K625" s="3" t="s">
        <v>64</v>
      </c>
    </row>
    <row r="626" spans="1:11" ht="42" customHeight="1">
      <c r="A626" s="2" t="s">
        <v>1748</v>
      </c>
      <c r="B626" s="2" t="s">
        <v>1749</v>
      </c>
      <c r="C626" s="2" t="s">
        <v>45</v>
      </c>
      <c r="D626" s="2" t="s">
        <v>18</v>
      </c>
      <c r="E626" s="5">
        <v>-31131</v>
      </c>
      <c r="F626" s="3" t="s">
        <v>132</v>
      </c>
      <c r="G626" s="3" t="s">
        <v>20</v>
      </c>
      <c r="H626" s="2" t="s">
        <v>62</v>
      </c>
      <c r="I626" s="2" t="s">
        <v>1750</v>
      </c>
      <c r="J626" s="3" t="str">
        <f>HYPERLINK("https://www.boe.es/gazeta/dias/1814/10/06/pdfs/GMD-1814-135.pdf#page=7","Abrir facsímil")</f>
        <v>Abrir facsímil</v>
      </c>
      <c r="K626" s="3" t="s">
        <v>64</v>
      </c>
    </row>
    <row r="627" spans="1:11" ht="42" customHeight="1">
      <c r="A627" s="2" t="s">
        <v>1751</v>
      </c>
      <c r="B627" s="2" t="s">
        <v>1751</v>
      </c>
      <c r="C627" s="2" t="s">
        <v>38</v>
      </c>
      <c r="D627" s="2" t="s">
        <v>39</v>
      </c>
      <c r="E627" s="5">
        <v>-31052</v>
      </c>
      <c r="F627" s="3" t="s">
        <v>1407</v>
      </c>
      <c r="G627" s="3" t="s">
        <v>87</v>
      </c>
      <c r="H627" s="2" t="s">
        <v>62</v>
      </c>
      <c r="I627" s="2" t="s">
        <v>1752</v>
      </c>
      <c r="J627" s="3" t="str">
        <f>HYPERLINK("https://www.boe.es/gazeta/dias/1814/12/24/pdfs/GMD-1814-170.pdf#page=2","Abrir facsímil")</f>
        <v>Abrir facsímil</v>
      </c>
      <c r="K627" s="3" t="s">
        <v>64</v>
      </c>
    </row>
    <row r="628" spans="1:11" ht="42" customHeight="1">
      <c r="A628" s="2" t="s">
        <v>1753</v>
      </c>
      <c r="B628" s="2" t="s">
        <v>1753</v>
      </c>
      <c r="C628" s="2" t="s">
        <v>38</v>
      </c>
      <c r="D628" s="2" t="s">
        <v>39</v>
      </c>
      <c r="E628" s="5">
        <v>-31405</v>
      </c>
      <c r="F628" s="3" t="s">
        <v>1754</v>
      </c>
      <c r="G628" s="3" t="s">
        <v>82</v>
      </c>
      <c r="H628" s="2" t="s">
        <v>62</v>
      </c>
      <c r="I628" s="2" t="s">
        <v>1755</v>
      </c>
      <c r="J628" s="3" t="str">
        <f>HYPERLINK("https://www.boe.es/gazeta/dias/1814/01/05/pdfs/GRE-1814-5.pdf#page=3","Abrir facsímil")</f>
        <v>Abrir facsímil</v>
      </c>
      <c r="K628" s="3" t="s">
        <v>64</v>
      </c>
    </row>
    <row r="629" spans="1:11" ht="42" customHeight="1">
      <c r="A629" s="2" t="s">
        <v>1753</v>
      </c>
      <c r="B629" s="2" t="s">
        <v>1753</v>
      </c>
      <c r="C629" s="2" t="s">
        <v>38</v>
      </c>
      <c r="D629" s="2" t="s">
        <v>39</v>
      </c>
      <c r="E629" s="5">
        <v>-31402</v>
      </c>
      <c r="F629" s="3" t="s">
        <v>1754</v>
      </c>
      <c r="G629" s="3" t="s">
        <v>82</v>
      </c>
      <c r="H629" s="2" t="s">
        <v>62</v>
      </c>
      <c r="I629" s="2" t="s">
        <v>1755</v>
      </c>
      <c r="J629" s="3" t="str">
        <f>HYPERLINK("https://www.boe.es/gazeta/dias/1814/01/08/pdfs/GRE-1814-5.pdf#page=3","Abrir facsímil")</f>
        <v>Abrir facsímil</v>
      </c>
      <c r="K629" s="3" t="s">
        <v>64</v>
      </c>
    </row>
    <row r="630" spans="1:11" ht="42" customHeight="1">
      <c r="A630" s="2" t="s">
        <v>1756</v>
      </c>
      <c r="B630" s="2" t="s">
        <v>1756</v>
      </c>
      <c r="C630" s="2" t="s">
        <v>38</v>
      </c>
      <c r="D630" s="2" t="s">
        <v>39</v>
      </c>
      <c r="E630" s="5">
        <v>-31248</v>
      </c>
      <c r="F630" s="3" t="s">
        <v>1123</v>
      </c>
      <c r="G630" s="3" t="s">
        <v>82</v>
      </c>
      <c r="H630" s="2" t="s">
        <v>62</v>
      </c>
      <c r="I630" s="2" t="s">
        <v>1757</v>
      </c>
      <c r="J630" s="3" t="str">
        <f>HYPERLINK("https://www.boe.es/gazeta/dias/1814/06/11/pdfs/GMD-1814-84.pdf#page=3","Abrir facsímil")</f>
        <v>Abrir facsímil</v>
      </c>
      <c r="K630" s="3" t="s">
        <v>64</v>
      </c>
    </row>
    <row r="631" spans="1:11" ht="42" customHeight="1">
      <c r="A631" s="2" t="s">
        <v>1758</v>
      </c>
      <c r="B631" s="2" t="s">
        <v>1758</v>
      </c>
      <c r="C631" s="2" t="s">
        <v>38</v>
      </c>
      <c r="D631" s="2" t="s">
        <v>39</v>
      </c>
      <c r="E631" s="5">
        <v>-31229</v>
      </c>
      <c r="F631" s="3" t="s">
        <v>502</v>
      </c>
      <c r="G631" s="3" t="s">
        <v>82</v>
      </c>
      <c r="H631" s="2" t="s">
        <v>62</v>
      </c>
      <c r="I631" s="2" t="s">
        <v>1759</v>
      </c>
      <c r="J631" s="3" t="str">
        <f>HYPERLINK("https://www.boe.es/gazeta/dias/1814/06/30/pdfs/GMD-1814-92.pdf#page=3","Abrir facsímil")</f>
        <v>Abrir facsímil</v>
      </c>
      <c r="K631" s="3" t="s">
        <v>64</v>
      </c>
    </row>
    <row r="632" spans="1:11" ht="42" customHeight="1">
      <c r="A632" s="2" t="s">
        <v>1758</v>
      </c>
      <c r="B632" s="2" t="s">
        <v>1758</v>
      </c>
      <c r="C632" s="2" t="s">
        <v>38</v>
      </c>
      <c r="D632" s="2" t="s">
        <v>39</v>
      </c>
      <c r="E632" s="5">
        <v>-31068</v>
      </c>
      <c r="F632" s="3" t="s">
        <v>548</v>
      </c>
      <c r="G632" s="3" t="s">
        <v>87</v>
      </c>
      <c r="H632" s="2" t="s">
        <v>62</v>
      </c>
      <c r="I632" s="2" t="s">
        <v>1760</v>
      </c>
      <c r="J632" s="3" t="str">
        <f>HYPERLINK("https://www.boe.es/gazeta/dias/1814/12/08/pdfs/GMD-1814-162.pdf#page=2","Abrir facsímil")</f>
        <v>Abrir facsímil</v>
      </c>
      <c r="K632" s="3" t="s">
        <v>64</v>
      </c>
    </row>
    <row r="633" spans="1:11" ht="42" customHeight="1">
      <c r="A633" s="2" t="s">
        <v>1761</v>
      </c>
      <c r="B633" s="2" t="s">
        <v>1762</v>
      </c>
      <c r="C633" s="2" t="s">
        <v>26</v>
      </c>
      <c r="D633" s="2" t="s">
        <v>27</v>
      </c>
      <c r="E633" s="5">
        <v>-31187</v>
      </c>
      <c r="F633" s="3" t="s">
        <v>518</v>
      </c>
      <c r="G633" s="3" t="s">
        <v>52</v>
      </c>
      <c r="H633" s="2" t="s">
        <v>62</v>
      </c>
      <c r="I633" s="2" t="s">
        <v>1763</v>
      </c>
      <c r="J633" s="3" t="str">
        <f>HYPERLINK("https://www.boe.es/gazeta/dias/1814/08/11/pdfs/GMD-1814-110.pdf#page=8","Abrir facsímil")</f>
        <v>Abrir facsímil</v>
      </c>
      <c r="K633" s="3" t="s">
        <v>64</v>
      </c>
    </row>
    <row r="634" spans="1:11" ht="42" customHeight="1">
      <c r="A634" s="2" t="s">
        <v>1764</v>
      </c>
      <c r="B634" s="2" t="s">
        <v>1765</v>
      </c>
      <c r="C634" s="2" t="s">
        <v>38</v>
      </c>
      <c r="D634" s="2" t="s">
        <v>39</v>
      </c>
      <c r="E634" s="5">
        <v>-31133</v>
      </c>
      <c r="F634" s="3" t="s">
        <v>184</v>
      </c>
      <c r="G634" s="3" t="s">
        <v>20</v>
      </c>
      <c r="H634" s="2" t="s">
        <v>62</v>
      </c>
      <c r="I634" s="2" t="s">
        <v>1766</v>
      </c>
      <c r="J634" s="3" t="str">
        <f>HYPERLINK("https://www.boe.es/gazeta/dias/1814/10/04/pdfs/GMD-1814-134.pdf#page=7","Abrir facsímil")</f>
        <v>Abrir facsímil</v>
      </c>
      <c r="K634" s="3" t="s">
        <v>64</v>
      </c>
    </row>
    <row r="635" spans="1:11" ht="42" customHeight="1">
      <c r="A635" s="2" t="s">
        <v>1767</v>
      </c>
      <c r="B635" s="2" t="s">
        <v>1767</v>
      </c>
      <c r="C635" s="2" t="s">
        <v>38</v>
      </c>
      <c r="D635" s="2" t="s">
        <v>39</v>
      </c>
      <c r="E635" s="5">
        <v>-31124</v>
      </c>
      <c r="F635" s="3" t="s">
        <v>383</v>
      </c>
      <c r="G635" s="3" t="s">
        <v>574</v>
      </c>
      <c r="H635" s="2" t="s">
        <v>62</v>
      </c>
      <c r="I635" s="2" t="s">
        <v>1768</v>
      </c>
      <c r="J635" s="3" t="str">
        <f>HYPERLINK("https://www.boe.es/gazeta/dias/1814/10/13/pdfs/GMD-1814-138.pdf#page=10","Abrir facsímil")</f>
        <v>Abrir facsímil</v>
      </c>
      <c r="K635" s="3" t="s">
        <v>64</v>
      </c>
    </row>
    <row r="636" spans="1:11" ht="42" customHeight="1">
      <c r="A636" s="2" t="s">
        <v>1767</v>
      </c>
      <c r="B636" s="2" t="s">
        <v>1767</v>
      </c>
      <c r="C636" s="2" t="s">
        <v>17</v>
      </c>
      <c r="D636" s="2" t="s">
        <v>18</v>
      </c>
      <c r="E636" s="5">
        <v>-31115</v>
      </c>
      <c r="F636" s="3" t="s">
        <v>805</v>
      </c>
      <c r="G636" s="3" t="s">
        <v>20</v>
      </c>
      <c r="H636" s="2" t="s">
        <v>62</v>
      </c>
      <c r="I636" s="2" t="s">
        <v>1769</v>
      </c>
      <c r="J636" s="3" t="str">
        <f>HYPERLINK("https://www.boe.es/gazeta/dias/1814/10/22/pdfs/GMD-1814-142.pdf#page=7","Abrir facsímil")</f>
        <v>Abrir facsímil</v>
      </c>
      <c r="K636" s="3" t="s">
        <v>64</v>
      </c>
    </row>
    <row r="637" spans="1:11" ht="42" customHeight="1">
      <c r="A637" s="2" t="s">
        <v>1767</v>
      </c>
      <c r="B637" s="2" t="s">
        <v>1767</v>
      </c>
      <c r="C637" s="2" t="s">
        <v>17</v>
      </c>
      <c r="D637" s="2" t="s">
        <v>18</v>
      </c>
      <c r="E637" s="5">
        <v>-31110</v>
      </c>
      <c r="F637" s="3" t="s">
        <v>149</v>
      </c>
      <c r="G637" s="3" t="s">
        <v>20</v>
      </c>
      <c r="H637" s="2" t="s">
        <v>62</v>
      </c>
      <c r="I637" s="2" t="s">
        <v>1770</v>
      </c>
      <c r="J637" s="3" t="str">
        <f>HYPERLINK("https://www.boe.es/gazeta/dias/1814/10/27/pdfs/GMD-1814-144.pdf#page=7","Abrir facsímil")</f>
        <v>Abrir facsímil</v>
      </c>
      <c r="K637" s="3" t="s">
        <v>64</v>
      </c>
    </row>
    <row r="638" spans="1:11" ht="42" customHeight="1">
      <c r="A638" s="2" t="s">
        <v>1771</v>
      </c>
      <c r="B638" s="2" t="s">
        <v>1772</v>
      </c>
      <c r="C638" s="2" t="s">
        <v>26</v>
      </c>
      <c r="D638" s="2" t="s">
        <v>27</v>
      </c>
      <c r="E638" s="5">
        <v>-31091</v>
      </c>
      <c r="F638" s="3" t="s">
        <v>1156</v>
      </c>
      <c r="G638" s="3" t="s">
        <v>52</v>
      </c>
      <c r="H638" s="2" t="s">
        <v>62</v>
      </c>
      <c r="I638" s="2" t="s">
        <v>1773</v>
      </c>
      <c r="J638" s="3" t="str">
        <f>HYPERLINK("https://www.boe.es/gazeta/dias/1814/11/15/pdfs/GMD-1814-152.pdf#page=8","Abrir facsímil")</f>
        <v>Abrir facsímil</v>
      </c>
      <c r="K638" s="3" t="s">
        <v>64</v>
      </c>
    </row>
    <row r="639" spans="1:11" ht="42" customHeight="1">
      <c r="A639" s="2" t="s">
        <v>1774</v>
      </c>
      <c r="B639" s="2" t="s">
        <v>1774</v>
      </c>
      <c r="C639" s="2" t="s">
        <v>38</v>
      </c>
      <c r="D639" s="2" t="s">
        <v>39</v>
      </c>
      <c r="E639" s="5">
        <v>-31395</v>
      </c>
      <c r="F639" s="3" t="s">
        <v>662</v>
      </c>
      <c r="G639" s="3" t="s">
        <v>41</v>
      </c>
      <c r="H639" s="2" t="s">
        <v>62</v>
      </c>
      <c r="I639" s="2" t="s">
        <v>1775</v>
      </c>
      <c r="J639" s="3" t="str">
        <f>HYPERLINK("https://www.boe.es/gazeta/dias/1814/01/15/pdfs/GRE-1814-8.pdf#page=4","Abrir facsímil")</f>
        <v>Abrir facsímil</v>
      </c>
      <c r="K639" s="3" t="s">
        <v>64</v>
      </c>
    </row>
    <row r="640" spans="1:11" ht="42" customHeight="1">
      <c r="A640" s="2" t="s">
        <v>1774</v>
      </c>
      <c r="B640" s="2" t="s">
        <v>1774</v>
      </c>
      <c r="C640" s="2" t="s">
        <v>38</v>
      </c>
      <c r="D640" s="2" t="s">
        <v>39</v>
      </c>
      <c r="E640" s="5">
        <v>-31395</v>
      </c>
      <c r="F640" s="3" t="s">
        <v>662</v>
      </c>
      <c r="G640" s="3" t="s">
        <v>57</v>
      </c>
      <c r="H640" s="2" t="s">
        <v>62</v>
      </c>
      <c r="I640" s="2" t="s">
        <v>1776</v>
      </c>
      <c r="J640" s="3" t="str">
        <f>HYPERLINK("https://www.boe.es/gazeta/dias/1814/01/15/pdfs/GRE-1814-8.pdf#page=6","Abrir facsímil")</f>
        <v>Abrir facsímil</v>
      </c>
      <c r="K640" s="3" t="s">
        <v>64</v>
      </c>
    </row>
    <row r="641" spans="1:11" ht="42" customHeight="1">
      <c r="A641" s="2" t="s">
        <v>1774</v>
      </c>
      <c r="B641" s="2" t="s">
        <v>1774</v>
      </c>
      <c r="C641" s="2" t="s">
        <v>38</v>
      </c>
      <c r="D641" s="2" t="s">
        <v>39</v>
      </c>
      <c r="E641" s="5">
        <v>-31385</v>
      </c>
      <c r="F641" s="3" t="s">
        <v>783</v>
      </c>
      <c r="G641" s="3" t="s">
        <v>1777</v>
      </c>
      <c r="H641" s="2" t="s">
        <v>62</v>
      </c>
      <c r="I641" s="2" t="s">
        <v>1778</v>
      </c>
      <c r="J641" s="3" t="str">
        <f>HYPERLINK("https://www.boe.es/gazeta/dias/1814/01/25/pdfs/GRE-1814-12.pdf#page=4","Abrir facsímil")</f>
        <v>Abrir facsímil</v>
      </c>
      <c r="K641" s="3" t="s">
        <v>64</v>
      </c>
    </row>
    <row r="642" spans="1:11" ht="42" customHeight="1">
      <c r="A642" s="2" t="s">
        <v>1774</v>
      </c>
      <c r="B642" s="2" t="s">
        <v>1774</v>
      </c>
      <c r="C642" s="2" t="s">
        <v>38</v>
      </c>
      <c r="D642" s="2" t="s">
        <v>39</v>
      </c>
      <c r="E642" s="5">
        <v>-31362</v>
      </c>
      <c r="F642" s="3" t="s">
        <v>302</v>
      </c>
      <c r="G642" s="3" t="s">
        <v>87</v>
      </c>
      <c r="H642" s="2" t="s">
        <v>62</v>
      </c>
      <c r="I642" s="2" t="s">
        <v>1779</v>
      </c>
      <c r="J642" s="3" t="str">
        <f>HYPERLINK("https://www.boe.es/gazeta/dias/1814/02/17/pdfs/GRE-1814-22.pdf#page=2","Abrir facsímil")</f>
        <v>Abrir facsímil</v>
      </c>
      <c r="K642" s="3" t="s">
        <v>64</v>
      </c>
    </row>
    <row r="643" spans="1:11" ht="42" customHeight="1">
      <c r="A643" s="2" t="s">
        <v>1780</v>
      </c>
      <c r="B643" s="2" t="s">
        <v>1780</v>
      </c>
      <c r="C643" s="2" t="s">
        <v>38</v>
      </c>
      <c r="D643" s="2" t="s">
        <v>39</v>
      </c>
      <c r="E643" s="5">
        <v>-31399</v>
      </c>
      <c r="F643" s="3" t="s">
        <v>218</v>
      </c>
      <c r="G643" s="3" t="s">
        <v>87</v>
      </c>
      <c r="H643" s="2" t="s">
        <v>62</v>
      </c>
      <c r="I643" s="2" t="s">
        <v>1781</v>
      </c>
      <c r="J643" s="3" t="str">
        <f>HYPERLINK("https://www.boe.es/gazeta/dias/1814/01/11/pdfs/GRE-1814-6.pdf#page=2","Abrir facsímil")</f>
        <v>Abrir facsímil</v>
      </c>
      <c r="K643" s="3" t="s">
        <v>64</v>
      </c>
    </row>
    <row r="644" spans="1:11" ht="42" customHeight="1">
      <c r="A644" s="2" t="s">
        <v>1782</v>
      </c>
      <c r="B644" s="2" t="s">
        <v>1782</v>
      </c>
      <c r="C644" s="2" t="s">
        <v>38</v>
      </c>
      <c r="D644" s="2" t="s">
        <v>39</v>
      </c>
      <c r="E644" s="5">
        <v>-31399</v>
      </c>
      <c r="F644" s="3" t="s">
        <v>218</v>
      </c>
      <c r="G644" s="3" t="s">
        <v>87</v>
      </c>
      <c r="H644" s="2" t="s">
        <v>62</v>
      </c>
      <c r="I644" s="2" t="s">
        <v>1783</v>
      </c>
      <c r="J644" s="3" t="str">
        <f>HYPERLINK("https://www.boe.es/gazeta/dias/1814/01/11/pdfs/GRE-1814-6.pdf#page=2","Abrir facsímil")</f>
        <v>Abrir facsímil</v>
      </c>
      <c r="K644" s="3" t="s">
        <v>64</v>
      </c>
    </row>
    <row r="645" spans="1:11" ht="42" customHeight="1">
      <c r="A645" s="2" t="s">
        <v>1784</v>
      </c>
      <c r="B645" s="2" t="s">
        <v>1784</v>
      </c>
      <c r="C645" s="2" t="s">
        <v>38</v>
      </c>
      <c r="D645" s="2" t="s">
        <v>39</v>
      </c>
      <c r="E645" s="5">
        <v>-31409</v>
      </c>
      <c r="F645" s="3" t="s">
        <v>168</v>
      </c>
      <c r="G645" s="3" t="s">
        <v>99</v>
      </c>
      <c r="H645" s="2" t="s">
        <v>62</v>
      </c>
      <c r="I645" s="2" t="s">
        <v>1785</v>
      </c>
      <c r="J645" s="3" t="str">
        <f>HYPERLINK("https://www.boe.es/gazeta/dias/1814/01/01/pdfs/GRE-1814-1.pdf#page=5","Abrir facsímil")</f>
        <v>Abrir facsímil</v>
      </c>
      <c r="K645" s="3" t="s">
        <v>64</v>
      </c>
    </row>
    <row r="646" spans="1:11" ht="42" customHeight="1">
      <c r="A646" s="2" t="s">
        <v>1784</v>
      </c>
      <c r="B646" s="2" t="s">
        <v>1784</v>
      </c>
      <c r="C646" s="2" t="s">
        <v>38</v>
      </c>
      <c r="D646" s="2" t="s">
        <v>39</v>
      </c>
      <c r="E646" s="5">
        <v>-31374</v>
      </c>
      <c r="F646" s="3" t="s">
        <v>474</v>
      </c>
      <c r="G646" s="3" t="s">
        <v>82</v>
      </c>
      <c r="H646" s="2" t="s">
        <v>62</v>
      </c>
      <c r="I646" s="2" t="s">
        <v>1786</v>
      </c>
      <c r="J646" s="3" t="str">
        <f>HYPERLINK("https://www.boe.es/gazeta/dias/1814/02/05/pdfs/GRE-1814-17.pdf#page=3","Abrir facsímil")</f>
        <v>Abrir facsímil</v>
      </c>
      <c r="K646" s="3" t="s">
        <v>64</v>
      </c>
    </row>
    <row r="647" spans="1:11" ht="42" customHeight="1">
      <c r="A647" s="2" t="s">
        <v>1784</v>
      </c>
      <c r="B647" s="2" t="s">
        <v>1784</v>
      </c>
      <c r="C647" s="2" t="s">
        <v>38</v>
      </c>
      <c r="D647" s="2" t="s">
        <v>39</v>
      </c>
      <c r="E647" s="5">
        <v>-31362</v>
      </c>
      <c r="F647" s="3" t="s">
        <v>302</v>
      </c>
      <c r="G647" s="3" t="s">
        <v>87</v>
      </c>
      <c r="H647" s="2" t="s">
        <v>62</v>
      </c>
      <c r="I647" s="2" t="s">
        <v>1787</v>
      </c>
      <c r="J647" s="3" t="str">
        <f>HYPERLINK("https://www.boe.es/gazeta/dias/1814/02/17/pdfs/GRE-1814-22.pdf#page=2","Abrir facsímil")</f>
        <v>Abrir facsímil</v>
      </c>
      <c r="K647" s="3" t="s">
        <v>64</v>
      </c>
    </row>
    <row r="648" spans="1:11" ht="42" customHeight="1">
      <c r="A648" s="2" t="s">
        <v>1784</v>
      </c>
      <c r="B648" s="2" t="s">
        <v>1784</v>
      </c>
      <c r="C648" s="2" t="s">
        <v>38</v>
      </c>
      <c r="D648" s="2" t="s">
        <v>39</v>
      </c>
      <c r="E648" s="5">
        <v>-31355</v>
      </c>
      <c r="F648" s="3" t="s">
        <v>50</v>
      </c>
      <c r="G648" s="3" t="s">
        <v>107</v>
      </c>
      <c r="H648" s="2" t="s">
        <v>62</v>
      </c>
      <c r="I648" s="2" t="s">
        <v>1788</v>
      </c>
      <c r="J648" s="3" t="str">
        <f>HYPERLINK("https://www.boe.es/gazeta/dias/1814/02/24/pdfs/GRE-1814-26.pdf#page=1","Abrir facsímil")</f>
        <v>Abrir facsímil</v>
      </c>
      <c r="K648" s="3" t="s">
        <v>64</v>
      </c>
    </row>
    <row r="649" spans="1:11" ht="42" customHeight="1">
      <c r="A649" s="2" t="s">
        <v>1784</v>
      </c>
      <c r="B649" s="2" t="s">
        <v>1784</v>
      </c>
      <c r="C649" s="2" t="s">
        <v>38</v>
      </c>
      <c r="D649" s="2" t="s">
        <v>39</v>
      </c>
      <c r="E649" s="5">
        <v>-31336</v>
      </c>
      <c r="F649" s="3" t="s">
        <v>1789</v>
      </c>
      <c r="G649" s="3" t="s">
        <v>87</v>
      </c>
      <c r="H649" s="2" t="s">
        <v>62</v>
      </c>
      <c r="I649" s="2" t="s">
        <v>1790</v>
      </c>
      <c r="J649" s="3" t="str">
        <f>HYPERLINK("https://www.boe.es/gazeta/dias/1814/03/15/pdfs/GRE-1814-36.pdf#page=2","Abrir facsímil")</f>
        <v>Abrir facsímil</v>
      </c>
      <c r="K649" s="3" t="s">
        <v>64</v>
      </c>
    </row>
    <row r="650" spans="1:11" ht="42" customHeight="1">
      <c r="A650" s="2" t="s">
        <v>1784</v>
      </c>
      <c r="B650" s="2" t="s">
        <v>1784</v>
      </c>
      <c r="C650" s="2" t="s">
        <v>38</v>
      </c>
      <c r="D650" s="2" t="s">
        <v>39</v>
      </c>
      <c r="E650" s="5">
        <v>-31129</v>
      </c>
      <c r="F650" s="3" t="s">
        <v>418</v>
      </c>
      <c r="G650" s="3" t="s">
        <v>107</v>
      </c>
      <c r="H650" s="2" t="s">
        <v>62</v>
      </c>
      <c r="I650" s="2" t="s">
        <v>1791</v>
      </c>
      <c r="J650" s="3" t="str">
        <f>HYPERLINK("https://www.boe.es/gazeta/dias/1814/10/08/pdfs/GMD-1814-136.pdf#page=1","Abrir facsímil")</f>
        <v>Abrir facsímil</v>
      </c>
      <c r="K650" s="3" t="s">
        <v>64</v>
      </c>
    </row>
    <row r="651" spans="1:11" ht="42" customHeight="1">
      <c r="A651" s="2" t="s">
        <v>1792</v>
      </c>
      <c r="B651" s="2" t="s">
        <v>1792</v>
      </c>
      <c r="C651" s="2" t="s">
        <v>38</v>
      </c>
      <c r="D651" s="2" t="s">
        <v>39</v>
      </c>
      <c r="E651" s="5">
        <v>-31262</v>
      </c>
      <c r="F651" s="3" t="s">
        <v>254</v>
      </c>
      <c r="G651" s="3" t="s">
        <v>87</v>
      </c>
      <c r="H651" s="2" t="s">
        <v>62</v>
      </c>
      <c r="I651" s="2" t="s">
        <v>1793</v>
      </c>
      <c r="J651" s="3" t="str">
        <f>HYPERLINK("https://www.boe.es/gazeta/dias/1814/05/28/pdfs/GMD-1814-78.pdf#page=2","Abrir facsímil")</f>
        <v>Abrir facsímil</v>
      </c>
      <c r="K651" s="3" t="s">
        <v>64</v>
      </c>
    </row>
    <row r="652" spans="1:11" ht="42" customHeight="1">
      <c r="A652" s="2" t="s">
        <v>1792</v>
      </c>
      <c r="B652" s="2" t="s">
        <v>1792</v>
      </c>
      <c r="C652" s="2" t="s">
        <v>38</v>
      </c>
      <c r="D652" s="2" t="s">
        <v>39</v>
      </c>
      <c r="E652" s="5">
        <v>-31189</v>
      </c>
      <c r="F652" s="3" t="s">
        <v>379</v>
      </c>
      <c r="G652" s="3" t="s">
        <v>107</v>
      </c>
      <c r="H652" s="2" t="s">
        <v>62</v>
      </c>
      <c r="I652" s="2" t="s">
        <v>1794</v>
      </c>
      <c r="J652" s="3" t="str">
        <f>HYPERLINK("https://www.boe.es/gazeta/dias/1814/08/09/pdfs/GMD-1814-109.pdf#page=1","Abrir facsímil")</f>
        <v>Abrir facsímil</v>
      </c>
      <c r="K652" s="3" t="s">
        <v>64</v>
      </c>
    </row>
    <row r="653" spans="1:11" ht="42" customHeight="1">
      <c r="A653" s="2" t="s">
        <v>1792</v>
      </c>
      <c r="B653" s="2" t="s">
        <v>1792</v>
      </c>
      <c r="C653" s="2" t="s">
        <v>38</v>
      </c>
      <c r="D653" s="2" t="s">
        <v>39</v>
      </c>
      <c r="E653" s="5">
        <v>-31178</v>
      </c>
      <c r="F653" s="3" t="s">
        <v>1390</v>
      </c>
      <c r="G653" s="3" t="s">
        <v>87</v>
      </c>
      <c r="H653" s="2" t="s">
        <v>62</v>
      </c>
      <c r="I653" s="2" t="s">
        <v>1795</v>
      </c>
      <c r="J653" s="3" t="str">
        <f>HYPERLINK("https://www.boe.es/gazeta/dias/1814/08/20/pdfs/GMD-1814-114.pdf#page=2","Abrir facsímil")</f>
        <v>Abrir facsímil</v>
      </c>
      <c r="K653" s="3" t="s">
        <v>64</v>
      </c>
    </row>
    <row r="654" spans="1:11" ht="42" customHeight="1">
      <c r="A654" s="2" t="s">
        <v>1792</v>
      </c>
      <c r="B654" s="2" t="s">
        <v>1792</v>
      </c>
      <c r="C654" s="2" t="s">
        <v>38</v>
      </c>
      <c r="D654" s="2" t="s">
        <v>39</v>
      </c>
      <c r="E654" s="5">
        <v>-31157</v>
      </c>
      <c r="F654" s="3" t="s">
        <v>206</v>
      </c>
      <c r="G654" s="3" t="s">
        <v>87</v>
      </c>
      <c r="H654" s="2" t="s">
        <v>62</v>
      </c>
      <c r="I654" s="2" t="s">
        <v>1796</v>
      </c>
      <c r="J654" s="3" t="str">
        <f>HYPERLINK("https://www.boe.es/gazeta/dias/1814/09/10/pdfs/GMD-1814-124.pdf#page=2","Abrir facsímil")</f>
        <v>Abrir facsímil</v>
      </c>
      <c r="K654" s="3" t="s">
        <v>64</v>
      </c>
    </row>
    <row r="655" spans="1:11" ht="42" customHeight="1">
      <c r="A655" s="2" t="s">
        <v>1797</v>
      </c>
      <c r="B655" s="2" t="s">
        <v>1798</v>
      </c>
      <c r="C655" s="2" t="s">
        <v>38</v>
      </c>
      <c r="D655" s="2" t="s">
        <v>39</v>
      </c>
      <c r="E655" s="5">
        <v>-31080</v>
      </c>
      <c r="F655" s="3" t="s">
        <v>286</v>
      </c>
      <c r="G655" s="3" t="s">
        <v>677</v>
      </c>
      <c r="H655" s="2" t="s">
        <v>21</v>
      </c>
      <c r="I655" s="2" t="s">
        <v>1799</v>
      </c>
      <c r="J655" s="3" t="str">
        <f>HYPERLINK("https://www.boe.es/gazeta/dias/1814/11/26/pdfs/GMD-1814-157.pdf#page=7","Abrir facsímil")</f>
        <v>Abrir facsímil</v>
      </c>
      <c r="K655" s="3" t="s">
        <v>23</v>
      </c>
    </row>
    <row r="656" spans="1:11" ht="42" customHeight="1">
      <c r="A656" s="2" t="s">
        <v>1800</v>
      </c>
      <c r="B656" s="2" t="s">
        <v>1800</v>
      </c>
      <c r="C656" s="2" t="s">
        <v>17</v>
      </c>
      <c r="D656" s="2" t="s">
        <v>18</v>
      </c>
      <c r="E656" s="5">
        <v>-31406</v>
      </c>
      <c r="F656" s="3" t="s">
        <v>1718</v>
      </c>
      <c r="G656" s="3" t="s">
        <v>1801</v>
      </c>
      <c r="H656" s="2" t="s">
        <v>62</v>
      </c>
      <c r="I656" s="2" t="s">
        <v>1802</v>
      </c>
      <c r="J656" s="3" t="str">
        <f>HYPERLINK("https://www.boe.es/gazeta/dias/1814/01/04/pdfs/GRE-1814-2.pdf#page=4","Abrir facsímil")</f>
        <v>Abrir facsímil</v>
      </c>
      <c r="K656" s="3" t="s">
        <v>64</v>
      </c>
    </row>
    <row r="657" spans="1:11" ht="42" customHeight="1">
      <c r="A657" s="2" t="s">
        <v>1803</v>
      </c>
      <c r="B657" s="2" t="s">
        <v>1804</v>
      </c>
      <c r="C657" s="2" t="s">
        <v>38</v>
      </c>
      <c r="D657" s="2" t="s">
        <v>39</v>
      </c>
      <c r="E657" s="5">
        <v>-31292</v>
      </c>
      <c r="F657" s="3" t="s">
        <v>557</v>
      </c>
      <c r="G657" s="3" t="s">
        <v>87</v>
      </c>
      <c r="H657" s="2" t="s">
        <v>21</v>
      </c>
      <c r="I657" s="2" t="s">
        <v>1805</v>
      </c>
      <c r="J657" s="3" t="str">
        <f>HYPERLINK("https://www.boe.es/gazeta/dias/1814/04/28/pdfs/GRE-1814-63.pdf#page=2","Abrir facsímil")</f>
        <v>Abrir facsímil</v>
      </c>
      <c r="K657" s="3" t="s">
        <v>23</v>
      </c>
    </row>
    <row r="658" spans="1:11" ht="42" customHeight="1">
      <c r="A658" s="2" t="s">
        <v>1806</v>
      </c>
      <c r="B658" s="2" t="s">
        <v>1806</v>
      </c>
      <c r="C658" s="2" t="s">
        <v>38</v>
      </c>
      <c r="D658" s="2" t="s">
        <v>39</v>
      </c>
      <c r="E658" s="5">
        <v>-31339</v>
      </c>
      <c r="F658" s="3" t="s">
        <v>641</v>
      </c>
      <c r="G658" s="3" t="s">
        <v>82</v>
      </c>
      <c r="H658" s="2" t="s">
        <v>62</v>
      </c>
      <c r="I658" s="2" t="s">
        <v>1807</v>
      </c>
      <c r="J658" s="3" t="str">
        <f>HYPERLINK("https://www.boe.es/gazeta/dias/1814/03/12/pdfs/GRE-1814-35.pdf#page=3","Abrir facsímil")</f>
        <v>Abrir facsímil</v>
      </c>
      <c r="K658" s="3" t="s">
        <v>64</v>
      </c>
    </row>
    <row r="659" spans="1:11" ht="42" customHeight="1">
      <c r="A659" s="2" t="s">
        <v>1806</v>
      </c>
      <c r="B659" s="2" t="s">
        <v>1806</v>
      </c>
      <c r="C659" s="2" t="s">
        <v>38</v>
      </c>
      <c r="D659" s="2" t="s">
        <v>39</v>
      </c>
      <c r="E659" s="5">
        <v>-31259</v>
      </c>
      <c r="F659" s="3" t="s">
        <v>853</v>
      </c>
      <c r="G659" s="3" t="s">
        <v>107</v>
      </c>
      <c r="H659" s="2" t="s">
        <v>62</v>
      </c>
      <c r="I659" s="2" t="s">
        <v>1808</v>
      </c>
      <c r="J659" s="3" t="str">
        <f>HYPERLINK("https://www.boe.es/gazeta/dias/1814/05/31/pdfs/GMD-1814-79.pdf#page=1","Abrir facsímil")</f>
        <v>Abrir facsímil</v>
      </c>
      <c r="K659" s="3" t="s">
        <v>64</v>
      </c>
    </row>
    <row r="660" spans="1:11" ht="42" customHeight="1">
      <c r="A660" s="2" t="s">
        <v>1806</v>
      </c>
      <c r="B660" s="2" t="s">
        <v>1806</v>
      </c>
      <c r="C660" s="2" t="s">
        <v>38</v>
      </c>
      <c r="D660" s="2" t="s">
        <v>39</v>
      </c>
      <c r="E660" s="5">
        <v>-31257</v>
      </c>
      <c r="F660" s="3" t="s">
        <v>437</v>
      </c>
      <c r="G660" s="3" t="s">
        <v>107</v>
      </c>
      <c r="H660" s="2" t="s">
        <v>62</v>
      </c>
      <c r="I660" s="2" t="s">
        <v>1809</v>
      </c>
      <c r="J660" s="3" t="str">
        <f>HYPERLINK("https://www.boe.es/gazeta/dias/1814/06/02/pdfs/GMD-1814-80.pdf#page=1","Abrir facsímil")</f>
        <v>Abrir facsímil</v>
      </c>
      <c r="K660" s="3" t="s">
        <v>64</v>
      </c>
    </row>
    <row r="661" spans="1:11" ht="42" customHeight="1">
      <c r="A661" s="2" t="s">
        <v>1806</v>
      </c>
      <c r="B661" s="2" t="s">
        <v>1806</v>
      </c>
      <c r="C661" s="2" t="s">
        <v>38</v>
      </c>
      <c r="D661" s="2" t="s">
        <v>39</v>
      </c>
      <c r="E661" s="5">
        <v>-31255</v>
      </c>
      <c r="F661" s="3" t="s">
        <v>983</v>
      </c>
      <c r="G661" s="3" t="s">
        <v>107</v>
      </c>
      <c r="H661" s="2" t="s">
        <v>62</v>
      </c>
      <c r="I661" s="2" t="s">
        <v>1810</v>
      </c>
      <c r="J661" s="3" t="str">
        <f>HYPERLINK("https://www.boe.es/gazeta/dias/1814/06/04/pdfs/GMD-1814-81.pdf#page=1","Abrir facsímil")</f>
        <v>Abrir facsímil</v>
      </c>
      <c r="K661" s="3" t="s">
        <v>64</v>
      </c>
    </row>
    <row r="662" spans="1:11" ht="42" customHeight="1">
      <c r="A662" s="2" t="s">
        <v>1806</v>
      </c>
      <c r="B662" s="2" t="s">
        <v>1806</v>
      </c>
      <c r="C662" s="2" t="s">
        <v>38</v>
      </c>
      <c r="D662" s="2" t="s">
        <v>39</v>
      </c>
      <c r="E662" s="5">
        <v>-31164</v>
      </c>
      <c r="F662" s="3" t="s">
        <v>1423</v>
      </c>
      <c r="G662" s="3" t="s">
        <v>107</v>
      </c>
      <c r="H662" s="2" t="s">
        <v>62</v>
      </c>
      <c r="I662" s="2" t="s">
        <v>1811</v>
      </c>
      <c r="J662" s="3" t="str">
        <f>HYPERLINK("https://www.boe.es/gazeta/dias/1814/09/03/pdfs/GMD-1814-121.pdf#page=1","Abrir facsímil")</f>
        <v>Abrir facsímil</v>
      </c>
      <c r="K662" s="3" t="s">
        <v>64</v>
      </c>
    </row>
    <row r="663" spans="1:11" ht="42" customHeight="1">
      <c r="A663" s="2" t="s">
        <v>1812</v>
      </c>
      <c r="B663" s="2" t="s">
        <v>1813</v>
      </c>
      <c r="C663" s="2" t="s">
        <v>38</v>
      </c>
      <c r="D663" s="2" t="s">
        <v>39</v>
      </c>
      <c r="E663" s="5">
        <v>-31241</v>
      </c>
      <c r="F663" s="3" t="s">
        <v>703</v>
      </c>
      <c r="G663" s="3" t="s">
        <v>107</v>
      </c>
      <c r="H663" s="2" t="s">
        <v>62</v>
      </c>
      <c r="I663" s="2" t="s">
        <v>1814</v>
      </c>
      <c r="J663" s="3" t="str">
        <f>HYPERLINK("https://www.boe.es/gazeta/dias/1814/06/18/pdfs/GMD-1814-87.pdf#page=1","Abrir facsímil")</f>
        <v>Abrir facsímil</v>
      </c>
      <c r="K663" s="3" t="s">
        <v>64</v>
      </c>
    </row>
    <row r="664" spans="1:11" ht="42" customHeight="1">
      <c r="A664" s="2" t="s">
        <v>1815</v>
      </c>
      <c r="B664" s="2" t="s">
        <v>1816</v>
      </c>
      <c r="C664" s="2" t="s">
        <v>38</v>
      </c>
      <c r="D664" s="2" t="s">
        <v>39</v>
      </c>
      <c r="E664" s="5">
        <v>-31227</v>
      </c>
      <c r="F664" s="3" t="s">
        <v>102</v>
      </c>
      <c r="G664" s="3" t="s">
        <v>107</v>
      </c>
      <c r="H664" s="2" t="s">
        <v>21</v>
      </c>
      <c r="I664" s="2" t="s">
        <v>1817</v>
      </c>
      <c r="J664" s="3" t="str">
        <f>HYPERLINK("https://www.boe.es/gazeta/dias/1814/07/02/pdfs/GMD-1814-93.pdf#page=1","Abrir facsímil")</f>
        <v>Abrir facsímil</v>
      </c>
      <c r="K664" s="3" t="s">
        <v>23</v>
      </c>
    </row>
    <row r="665" spans="1:11" ht="42" customHeight="1">
      <c r="A665" s="2" t="s">
        <v>1815</v>
      </c>
      <c r="B665" s="2" t="s">
        <v>1816</v>
      </c>
      <c r="C665" s="2" t="s">
        <v>17</v>
      </c>
      <c r="D665" s="2" t="s">
        <v>18</v>
      </c>
      <c r="E665" s="5">
        <v>-31227</v>
      </c>
      <c r="F665" s="3" t="s">
        <v>102</v>
      </c>
      <c r="G665" s="3" t="s">
        <v>82</v>
      </c>
      <c r="H665" s="2" t="s">
        <v>21</v>
      </c>
      <c r="I665" s="2" t="s">
        <v>1818</v>
      </c>
      <c r="J665" s="3" t="str">
        <f>HYPERLINK("https://www.boe.es/gazeta/dias/1814/07/02/pdfs/GMD-1814-93.pdf#page=3","Abrir facsímil")</f>
        <v>Abrir facsímil</v>
      </c>
      <c r="K665" s="3" t="s">
        <v>23</v>
      </c>
    </row>
    <row r="666" spans="1:11" ht="42" customHeight="1">
      <c r="A666" s="2" t="s">
        <v>1819</v>
      </c>
      <c r="B666" s="2" t="s">
        <v>1819</v>
      </c>
      <c r="C666" s="2" t="s">
        <v>26</v>
      </c>
      <c r="D666" s="2" t="s">
        <v>27</v>
      </c>
      <c r="E666" s="5">
        <v>-31217</v>
      </c>
      <c r="F666" s="3" t="s">
        <v>506</v>
      </c>
      <c r="G666" s="3" t="s">
        <v>704</v>
      </c>
      <c r="H666" s="2" t="s">
        <v>62</v>
      </c>
      <c r="I666" s="2" t="s">
        <v>1820</v>
      </c>
      <c r="J666" s="3" t="str">
        <f>HYPERLINK("https://www.boe.es/gazeta/dias/1814/07/12/pdfs/GMD-1814-97.pdf#page=10","Abrir facsímil")</f>
        <v>Abrir facsímil</v>
      </c>
      <c r="K666" s="3" t="s">
        <v>64</v>
      </c>
    </row>
    <row r="667" spans="1:11" ht="42" customHeight="1">
      <c r="A667" s="2" t="s">
        <v>1821</v>
      </c>
      <c r="B667" s="2" t="s">
        <v>1822</v>
      </c>
      <c r="C667" s="2" t="s">
        <v>105</v>
      </c>
      <c r="D667" s="2" t="s">
        <v>18</v>
      </c>
      <c r="E667" s="5">
        <v>-31322</v>
      </c>
      <c r="F667" s="3" t="s">
        <v>114</v>
      </c>
      <c r="G667" s="3" t="s">
        <v>52</v>
      </c>
      <c r="H667" s="2" t="s">
        <v>62</v>
      </c>
      <c r="I667" s="2" t="s">
        <v>1823</v>
      </c>
      <c r="J667" s="3" t="str">
        <f>HYPERLINK("https://www.boe.es/gazeta/dias/1814/03/29/pdfs/GRE-1814-44.pdf#page=8","Abrir facsímil")</f>
        <v>Abrir facsímil</v>
      </c>
      <c r="K667" s="3" t="s">
        <v>64</v>
      </c>
    </row>
    <row r="668" spans="1:11" ht="42" customHeight="1">
      <c r="A668" s="2" t="s">
        <v>1824</v>
      </c>
      <c r="B668" s="2" t="s">
        <v>1825</v>
      </c>
      <c r="C668" s="2" t="s">
        <v>38</v>
      </c>
      <c r="D668" s="2" t="s">
        <v>39</v>
      </c>
      <c r="E668" s="5">
        <v>-31182</v>
      </c>
      <c r="F668" s="3" t="s">
        <v>19</v>
      </c>
      <c r="G668" s="3" t="s">
        <v>57</v>
      </c>
      <c r="H668" s="2" t="s">
        <v>62</v>
      </c>
      <c r="I668" s="2" t="s">
        <v>1826</v>
      </c>
      <c r="J668" s="3" t="str">
        <f>HYPERLINK("https://www.boe.es/gazeta/dias/1814/08/16/pdfs/GMD-1814-112.pdf#page=6","Abrir facsímil")</f>
        <v>Abrir facsímil</v>
      </c>
      <c r="K668" s="3" t="s">
        <v>64</v>
      </c>
    </row>
    <row r="669" spans="1:11" ht="42" customHeight="1">
      <c r="A669" s="2" t="s">
        <v>1827</v>
      </c>
      <c r="B669" s="2" t="s">
        <v>1828</v>
      </c>
      <c r="C669" s="2" t="s">
        <v>309</v>
      </c>
      <c r="D669" s="2" t="s">
        <v>18</v>
      </c>
      <c r="E669" s="5">
        <v>-31255</v>
      </c>
      <c r="F669" s="3" t="s">
        <v>983</v>
      </c>
      <c r="G669" s="3" t="s">
        <v>20</v>
      </c>
      <c r="H669" s="2" t="s">
        <v>62</v>
      </c>
      <c r="I669" s="2" t="s">
        <v>1829</v>
      </c>
      <c r="J669" s="3" t="str">
        <f>HYPERLINK("https://www.boe.es/gazeta/dias/1814/06/04/pdfs/GMD-1814-81.pdf#page=7","Abrir facsímil")</f>
        <v>Abrir facsímil</v>
      </c>
      <c r="K669" s="3" t="s">
        <v>64</v>
      </c>
    </row>
    <row r="670" spans="1:11" ht="42" customHeight="1">
      <c r="A670" s="2" t="s">
        <v>1830</v>
      </c>
      <c r="B670" s="2" t="s">
        <v>1831</v>
      </c>
      <c r="C670" s="2" t="s">
        <v>38</v>
      </c>
      <c r="D670" s="2" t="s">
        <v>39</v>
      </c>
      <c r="E670" s="5">
        <v>-31194</v>
      </c>
      <c r="F670" s="3" t="s">
        <v>333</v>
      </c>
      <c r="G670" s="3" t="s">
        <v>57</v>
      </c>
      <c r="H670" s="2" t="s">
        <v>62</v>
      </c>
      <c r="I670" s="2" t="s">
        <v>1832</v>
      </c>
      <c r="J670" s="3" t="str">
        <f>HYPERLINK("https://www.boe.es/gazeta/dias/1814/08/04/pdfs/GMD-1814-107.pdf#page=6","Abrir facsímil")</f>
        <v>Abrir facsímil</v>
      </c>
      <c r="K670" s="3" t="s">
        <v>64</v>
      </c>
    </row>
    <row r="671" spans="1:11" ht="42" customHeight="1">
      <c r="A671" s="2" t="s">
        <v>1833</v>
      </c>
      <c r="B671" s="2" t="s">
        <v>1834</v>
      </c>
      <c r="C671" s="2" t="s">
        <v>26</v>
      </c>
      <c r="D671" s="2" t="s">
        <v>27</v>
      </c>
      <c r="E671" s="5">
        <v>-31129</v>
      </c>
      <c r="F671" s="3" t="s">
        <v>418</v>
      </c>
      <c r="G671" s="3" t="s">
        <v>1366</v>
      </c>
      <c r="H671" s="2" t="s">
        <v>62</v>
      </c>
      <c r="I671" s="2" t="s">
        <v>1835</v>
      </c>
      <c r="J671" s="3" t="str">
        <f>HYPERLINK("https://www.boe.es/gazeta/dias/1814/10/08/pdfs/GMD-1814-136.pdf#page=6","Abrir facsímil")</f>
        <v>Abrir facsímil</v>
      </c>
      <c r="K671" s="3" t="s">
        <v>64</v>
      </c>
    </row>
    <row r="672" spans="1:11" ht="42" customHeight="1">
      <c r="A672" s="2" t="s">
        <v>1836</v>
      </c>
      <c r="B672" s="2" t="s">
        <v>1836</v>
      </c>
      <c r="C672" s="2" t="s">
        <v>38</v>
      </c>
      <c r="D672" s="2" t="s">
        <v>314</v>
      </c>
      <c r="E672" s="5">
        <v>-31341</v>
      </c>
      <c r="F672" s="3" t="s">
        <v>354</v>
      </c>
      <c r="G672" s="3" t="s">
        <v>87</v>
      </c>
      <c r="H672" s="2" t="s">
        <v>62</v>
      </c>
      <c r="I672" s="2" t="s">
        <v>1837</v>
      </c>
      <c r="J672" s="3" t="str">
        <f>HYPERLINK("https://www.boe.es/gazeta/dias/1814/03/10/pdfs/GRE-1814-34E.pdf#page=2","Abrir facsímil")</f>
        <v>Abrir facsímil</v>
      </c>
      <c r="K672" s="3" t="s">
        <v>64</v>
      </c>
    </row>
    <row r="673" spans="1:11" ht="42" customHeight="1">
      <c r="A673" s="2" t="s">
        <v>1838</v>
      </c>
      <c r="B673" s="2" t="s">
        <v>1838</v>
      </c>
      <c r="C673" s="2" t="s">
        <v>38</v>
      </c>
      <c r="D673" s="2" t="s">
        <v>39</v>
      </c>
      <c r="E673" s="5">
        <v>-31404</v>
      </c>
      <c r="F673" s="3" t="s">
        <v>630</v>
      </c>
      <c r="G673" s="3" t="s">
        <v>631</v>
      </c>
      <c r="H673" s="2" t="s">
        <v>62</v>
      </c>
      <c r="I673" s="2" t="s">
        <v>1839</v>
      </c>
      <c r="J673" s="3" t="str">
        <f>HYPERLINK("https://www.boe.es/gazeta/dias/1814/01/06/pdfs/GRE-1814-3.pdf#page=4","Abrir facsímil")</f>
        <v>Abrir facsímil</v>
      </c>
      <c r="K673" s="3" t="s">
        <v>64</v>
      </c>
    </row>
    <row r="674" spans="1:11" ht="42" customHeight="1">
      <c r="A674" s="2" t="s">
        <v>1838</v>
      </c>
      <c r="B674" s="2" t="s">
        <v>1838</v>
      </c>
      <c r="C674" s="2" t="s">
        <v>38</v>
      </c>
      <c r="D674" s="2" t="s">
        <v>39</v>
      </c>
      <c r="E674" s="5">
        <v>-31404</v>
      </c>
      <c r="F674" s="3" t="s">
        <v>630</v>
      </c>
      <c r="G674" s="3" t="s">
        <v>57</v>
      </c>
      <c r="H674" s="2" t="s">
        <v>62</v>
      </c>
      <c r="I674" s="2" t="s">
        <v>1840</v>
      </c>
      <c r="J674" s="3" t="str">
        <f>HYPERLINK("https://www.boe.es/gazeta/dias/1814/01/06/pdfs/GRE-1814-3.pdf#page=6","Abrir facsímil")</f>
        <v>Abrir facsímil</v>
      </c>
      <c r="K674" s="3" t="s">
        <v>64</v>
      </c>
    </row>
    <row r="675" spans="1:11" ht="42" customHeight="1">
      <c r="A675" s="2" t="s">
        <v>1838</v>
      </c>
      <c r="B675" s="2" t="s">
        <v>1838</v>
      </c>
      <c r="C675" s="2" t="s">
        <v>38</v>
      </c>
      <c r="D675" s="2" t="s">
        <v>314</v>
      </c>
      <c r="E675" s="5">
        <v>-31341</v>
      </c>
      <c r="F675" s="3" t="s">
        <v>354</v>
      </c>
      <c r="G675" s="3" t="s">
        <v>1841</v>
      </c>
      <c r="H675" s="2" t="s">
        <v>62</v>
      </c>
      <c r="I675" s="2" t="s">
        <v>1842</v>
      </c>
      <c r="J675" s="3" t="str">
        <f>HYPERLINK("https://www.boe.es/gazeta/dias/1814/03/10/pdfs/GRE-1814-34E.pdf#page=4","Abrir facsímil")</f>
        <v>Abrir facsímil</v>
      </c>
      <c r="K675" s="3" t="s">
        <v>64</v>
      </c>
    </row>
    <row r="676" spans="1:11" ht="42" customHeight="1">
      <c r="A676" s="2" t="s">
        <v>1838</v>
      </c>
      <c r="B676" s="2" t="s">
        <v>1838</v>
      </c>
      <c r="C676" s="2" t="s">
        <v>38</v>
      </c>
      <c r="D676" s="2" t="s">
        <v>314</v>
      </c>
      <c r="E676" s="5">
        <v>-31341</v>
      </c>
      <c r="F676" s="3" t="s">
        <v>354</v>
      </c>
      <c r="G676" s="3" t="s">
        <v>107</v>
      </c>
      <c r="H676" s="2" t="s">
        <v>62</v>
      </c>
      <c r="I676" s="2" t="s">
        <v>1843</v>
      </c>
      <c r="J676" s="3" t="str">
        <f>HYPERLINK("https://www.boe.es/gazeta/dias/1814/03/10/pdfs/GRE-1814-34E.pdf#page=1","Abrir facsímil")</f>
        <v>Abrir facsímil</v>
      </c>
      <c r="K676" s="3" t="s">
        <v>64</v>
      </c>
    </row>
    <row r="677" spans="1:11" ht="42" customHeight="1">
      <c r="A677" s="2" t="s">
        <v>1838</v>
      </c>
      <c r="B677" s="2" t="s">
        <v>1838</v>
      </c>
      <c r="C677" s="2" t="s">
        <v>38</v>
      </c>
      <c r="D677" s="2" t="s">
        <v>314</v>
      </c>
      <c r="E677" s="5">
        <v>-31341</v>
      </c>
      <c r="F677" s="3" t="s">
        <v>354</v>
      </c>
      <c r="G677" s="3" t="s">
        <v>87</v>
      </c>
      <c r="H677" s="2" t="s">
        <v>62</v>
      </c>
      <c r="I677" s="2" t="s">
        <v>1844</v>
      </c>
      <c r="J677" s="3" t="str">
        <f>HYPERLINK("https://www.boe.es/gazeta/dias/1814/03/10/pdfs/GRE-1814-34E.pdf#page=2","Abrir facsímil")</f>
        <v>Abrir facsímil</v>
      </c>
      <c r="K677" s="3" t="s">
        <v>64</v>
      </c>
    </row>
    <row r="678" spans="1:11" ht="42" customHeight="1">
      <c r="A678" s="2" t="s">
        <v>1838</v>
      </c>
      <c r="B678" s="2" t="s">
        <v>1838</v>
      </c>
      <c r="C678" s="2" t="s">
        <v>38</v>
      </c>
      <c r="D678" s="2" t="s">
        <v>39</v>
      </c>
      <c r="E678" s="5">
        <v>-31332</v>
      </c>
      <c r="F678" s="3" t="s">
        <v>343</v>
      </c>
      <c r="G678" s="3" t="s">
        <v>41</v>
      </c>
      <c r="H678" s="2" t="s">
        <v>62</v>
      </c>
      <c r="I678" s="2" t="s">
        <v>1845</v>
      </c>
      <c r="J678" s="3" t="str">
        <f>HYPERLINK("https://www.boe.es/gazeta/dias/1814/03/19/pdfs/GRE-1814-38.pdf#page=4","Abrir facsímil")</f>
        <v>Abrir facsímil</v>
      </c>
      <c r="K678" s="3" t="s">
        <v>64</v>
      </c>
    </row>
    <row r="679" spans="1:11" ht="42" customHeight="1">
      <c r="A679" s="2" t="s">
        <v>1838</v>
      </c>
      <c r="B679" s="2" t="s">
        <v>1838</v>
      </c>
      <c r="C679" s="2" t="s">
        <v>38</v>
      </c>
      <c r="D679" s="2" t="s">
        <v>314</v>
      </c>
      <c r="E679" s="5">
        <v>-31328</v>
      </c>
      <c r="F679" s="3" t="s">
        <v>442</v>
      </c>
      <c r="G679" s="3" t="s">
        <v>52</v>
      </c>
      <c r="H679" s="2" t="s">
        <v>62</v>
      </c>
      <c r="I679" s="2" t="s">
        <v>1846</v>
      </c>
      <c r="J679" s="3" t="str">
        <f>HYPERLINK("https://www.boe.es/gazeta/dias/1814/03/23/pdfs/GRE-1814-40E.pdf#page=8","Abrir facsímil")</f>
        <v>Abrir facsímil</v>
      </c>
      <c r="K679" s="3" t="s">
        <v>64</v>
      </c>
    </row>
    <row r="680" spans="1:11" ht="42" customHeight="1">
      <c r="A680" s="2" t="s">
        <v>1838</v>
      </c>
      <c r="B680" s="2" t="s">
        <v>1838</v>
      </c>
      <c r="C680" s="2" t="s">
        <v>38</v>
      </c>
      <c r="D680" s="2" t="s">
        <v>314</v>
      </c>
      <c r="E680" s="5">
        <v>-31296</v>
      </c>
      <c r="F680" s="3" t="s">
        <v>315</v>
      </c>
      <c r="G680" s="3" t="s">
        <v>82</v>
      </c>
      <c r="H680" s="2" t="s">
        <v>62</v>
      </c>
      <c r="I680" s="2" t="s">
        <v>1847</v>
      </c>
      <c r="J680" s="3" t="str">
        <f>HYPERLINK("https://www.boe.es/gazeta/dias/1814/04/24/pdfs/GRE-1814-60E.pdf#page=3","Abrir facsímil")</f>
        <v>Abrir facsímil</v>
      </c>
      <c r="K680" s="3" t="s">
        <v>64</v>
      </c>
    </row>
    <row r="681" spans="1:11" ht="42" customHeight="1">
      <c r="A681" s="2" t="s">
        <v>1838</v>
      </c>
      <c r="B681" s="2" t="s">
        <v>1838</v>
      </c>
      <c r="C681" s="2" t="s">
        <v>38</v>
      </c>
      <c r="D681" s="2" t="s">
        <v>39</v>
      </c>
      <c r="E681" s="5">
        <v>-31248</v>
      </c>
      <c r="F681" s="3" t="s">
        <v>1123</v>
      </c>
      <c r="G681" s="3" t="s">
        <v>82</v>
      </c>
      <c r="H681" s="2" t="s">
        <v>62</v>
      </c>
      <c r="I681" s="2" t="s">
        <v>1848</v>
      </c>
      <c r="J681" s="3" t="str">
        <f>HYPERLINK("https://www.boe.es/gazeta/dias/1814/06/11/pdfs/GMD-1814-84.pdf#page=3","Abrir facsímil")</f>
        <v>Abrir facsímil</v>
      </c>
      <c r="K681" s="3" t="s">
        <v>64</v>
      </c>
    </row>
    <row r="682" spans="1:11" ht="42" customHeight="1">
      <c r="A682" s="2" t="s">
        <v>1838</v>
      </c>
      <c r="B682" s="2" t="s">
        <v>1838</v>
      </c>
      <c r="C682" s="2" t="s">
        <v>17</v>
      </c>
      <c r="D682" s="2" t="s">
        <v>18</v>
      </c>
      <c r="E682" s="5">
        <v>-31236</v>
      </c>
      <c r="F682" s="3" t="s">
        <v>33</v>
      </c>
      <c r="G682" s="3" t="s">
        <v>41</v>
      </c>
      <c r="H682" s="2" t="s">
        <v>62</v>
      </c>
      <c r="I682" s="2" t="s">
        <v>1849</v>
      </c>
      <c r="J682" s="3" t="str">
        <f>HYPERLINK("https://www.boe.es/gazeta/dias/1814/06/23/pdfs/GMD-1814-89.pdf#page=4","Abrir facsímil")</f>
        <v>Abrir facsímil</v>
      </c>
      <c r="K682" s="3" t="s">
        <v>64</v>
      </c>
    </row>
    <row r="683" spans="1:11" ht="42" customHeight="1">
      <c r="A683" s="2" t="s">
        <v>1850</v>
      </c>
      <c r="B683" s="2" t="s">
        <v>1850</v>
      </c>
      <c r="C683" s="2" t="s">
        <v>38</v>
      </c>
      <c r="D683" s="2" t="s">
        <v>314</v>
      </c>
      <c r="E683" s="5">
        <v>-31296</v>
      </c>
      <c r="F683" s="3" t="s">
        <v>315</v>
      </c>
      <c r="G683" s="3" t="s">
        <v>82</v>
      </c>
      <c r="H683" s="2" t="s">
        <v>62</v>
      </c>
      <c r="I683" s="2" t="s">
        <v>1851</v>
      </c>
      <c r="J683" s="3" t="str">
        <f>HYPERLINK("https://www.boe.es/gazeta/dias/1814/04/24/pdfs/GRE-1814-60E.pdf#page=3","Abrir facsímil")</f>
        <v>Abrir facsímil</v>
      </c>
      <c r="K683" s="3" t="s">
        <v>64</v>
      </c>
    </row>
    <row r="684" spans="1:11" ht="42" customHeight="1">
      <c r="A684" s="2" t="s">
        <v>1852</v>
      </c>
      <c r="B684" s="2" t="s">
        <v>1853</v>
      </c>
      <c r="C684" s="2" t="s">
        <v>38</v>
      </c>
      <c r="D684" s="2" t="s">
        <v>314</v>
      </c>
      <c r="E684" s="5">
        <v>-31328</v>
      </c>
      <c r="F684" s="3" t="s">
        <v>442</v>
      </c>
      <c r="G684" s="3" t="s">
        <v>20</v>
      </c>
      <c r="H684" s="2" t="s">
        <v>62</v>
      </c>
      <c r="I684" s="2" t="s">
        <v>1854</v>
      </c>
      <c r="J684" s="3" t="str">
        <f>HYPERLINK("https://www.boe.es/gazeta/dias/1814/03/23/pdfs/GRE-1814-40E.pdf#page=7","Abrir facsímil")</f>
        <v>Abrir facsímil</v>
      </c>
      <c r="K684" s="3" t="s">
        <v>64</v>
      </c>
    </row>
    <row r="685" spans="1:11" ht="42" customHeight="1">
      <c r="A685" s="2" t="s">
        <v>1855</v>
      </c>
      <c r="B685" s="2" t="s">
        <v>1855</v>
      </c>
      <c r="C685" s="2" t="s">
        <v>32</v>
      </c>
      <c r="D685" s="2" t="s">
        <v>18</v>
      </c>
      <c r="E685" s="5">
        <v>-31161</v>
      </c>
      <c r="F685" s="3" t="s">
        <v>407</v>
      </c>
      <c r="G685" s="3" t="s">
        <v>52</v>
      </c>
      <c r="H685" s="2" t="s">
        <v>62</v>
      </c>
      <c r="I685" s="2" t="s">
        <v>1856</v>
      </c>
      <c r="J685" s="3" t="str">
        <f>HYPERLINK("https://www.boe.es/gazeta/dias/1814/09/06/pdfs/GMD-1814-122.pdf#page=8","Abrir facsímil")</f>
        <v>Abrir facsímil</v>
      </c>
      <c r="K685" s="3" t="s">
        <v>64</v>
      </c>
    </row>
    <row r="686" spans="1:11" ht="42" customHeight="1">
      <c r="A686" s="2" t="s">
        <v>1857</v>
      </c>
      <c r="B686" s="2" t="s">
        <v>1858</v>
      </c>
      <c r="C686" s="2" t="s">
        <v>38</v>
      </c>
      <c r="D686" s="2" t="s">
        <v>39</v>
      </c>
      <c r="E686" s="5">
        <v>-31182</v>
      </c>
      <c r="F686" s="3" t="s">
        <v>19</v>
      </c>
      <c r="G686" s="3" t="s">
        <v>20</v>
      </c>
      <c r="H686" s="2" t="s">
        <v>62</v>
      </c>
      <c r="I686" s="2" t="s">
        <v>1859</v>
      </c>
      <c r="J686" s="3" t="str">
        <f>HYPERLINK("https://www.boe.es/gazeta/dias/1814/08/16/pdfs/GMD-1814-112.pdf#page=7","Abrir facsímil")</f>
        <v>Abrir facsímil</v>
      </c>
      <c r="K686" s="3" t="s">
        <v>64</v>
      </c>
    </row>
    <row r="687" spans="1:11" ht="42" customHeight="1">
      <c r="A687" s="2" t="s">
        <v>1860</v>
      </c>
      <c r="B687" s="2" t="s">
        <v>1861</v>
      </c>
      <c r="C687" s="2" t="s">
        <v>26</v>
      </c>
      <c r="D687" s="2" t="s">
        <v>27</v>
      </c>
      <c r="E687" s="5">
        <v>-31173</v>
      </c>
      <c r="F687" s="3" t="s">
        <v>46</v>
      </c>
      <c r="G687" s="3" t="s">
        <v>1862</v>
      </c>
      <c r="H687" s="2" t="s">
        <v>62</v>
      </c>
      <c r="I687" s="2" t="s">
        <v>1863</v>
      </c>
      <c r="J687" s="3" t="str">
        <f>HYPERLINK("https://www.boe.es/gazeta/dias/1814/08/25/pdfs/GMD-1814-116.pdf#page=4","Abrir facsímil")</f>
        <v>Abrir facsímil</v>
      </c>
      <c r="K687" s="3" t="s">
        <v>64</v>
      </c>
    </row>
    <row r="688" spans="1:11" ht="42" customHeight="1">
      <c r="A688" s="2" t="s">
        <v>1864</v>
      </c>
      <c r="B688" s="2" t="s">
        <v>1865</v>
      </c>
      <c r="C688" s="2" t="s">
        <v>38</v>
      </c>
      <c r="D688" s="2" t="s">
        <v>39</v>
      </c>
      <c r="E688" s="5">
        <v>-31390</v>
      </c>
      <c r="F688" s="3" t="s">
        <v>349</v>
      </c>
      <c r="G688" s="3" t="s">
        <v>52</v>
      </c>
      <c r="H688" s="2" t="s">
        <v>62</v>
      </c>
      <c r="I688" s="2" t="s">
        <v>1866</v>
      </c>
      <c r="J688" s="3" t="str">
        <f>HYPERLINK("https://www.boe.es/gazeta/dias/1814/01/20/pdfs/GRE-1814-10.pdf#page=8","Abrir facsímil")</f>
        <v>Abrir facsímil</v>
      </c>
      <c r="K688" s="3" t="s">
        <v>64</v>
      </c>
    </row>
    <row r="689" spans="1:11" ht="42" customHeight="1">
      <c r="A689" s="2" t="s">
        <v>1867</v>
      </c>
      <c r="B689" s="2" t="s">
        <v>1868</v>
      </c>
      <c r="C689" s="2" t="s">
        <v>38</v>
      </c>
      <c r="D689" s="2" t="s">
        <v>314</v>
      </c>
      <c r="E689" s="5">
        <v>-31328</v>
      </c>
      <c r="F689" s="3" t="s">
        <v>442</v>
      </c>
      <c r="G689" s="3" t="s">
        <v>57</v>
      </c>
      <c r="H689" s="2" t="s">
        <v>62</v>
      </c>
      <c r="I689" s="2" t="s">
        <v>1869</v>
      </c>
      <c r="J689" s="3" t="str">
        <f>HYPERLINK("https://www.boe.es/gazeta/dias/1814/03/23/pdfs/GRE-1814-40E.pdf#page=6","Abrir facsímil")</f>
        <v>Abrir facsímil</v>
      </c>
      <c r="K689" s="3" t="s">
        <v>64</v>
      </c>
    </row>
    <row r="690" spans="1:11" ht="42" customHeight="1">
      <c r="A690" s="2" t="s">
        <v>1870</v>
      </c>
      <c r="B690" s="2" t="s">
        <v>1871</v>
      </c>
      <c r="C690" s="2" t="s">
        <v>45</v>
      </c>
      <c r="D690" s="2" t="s">
        <v>18</v>
      </c>
      <c r="E690" s="5">
        <v>-31369</v>
      </c>
      <c r="F690" s="3" t="s">
        <v>695</v>
      </c>
      <c r="G690" s="3" t="s">
        <v>1872</v>
      </c>
      <c r="H690" s="2" t="s">
        <v>62</v>
      </c>
      <c r="I690" s="2" t="s">
        <v>1873</v>
      </c>
      <c r="J690" s="3" t="str">
        <f>HYPERLINK("https://www.boe.es/gazeta/dias/1814/02/10/pdfs/GRE-1814-19.pdf#page=8","Abrir facsímil")</f>
        <v>Abrir facsímil</v>
      </c>
      <c r="K690" s="3" t="s">
        <v>64</v>
      </c>
    </row>
    <row r="691" spans="1:11" ht="42" customHeight="1">
      <c r="A691" s="2" t="s">
        <v>1870</v>
      </c>
      <c r="B691" s="2" t="s">
        <v>1871</v>
      </c>
      <c r="C691" s="2" t="s">
        <v>32</v>
      </c>
      <c r="D691" s="2" t="s">
        <v>18</v>
      </c>
      <c r="E691" s="5">
        <v>-31222</v>
      </c>
      <c r="F691" s="3" t="s">
        <v>153</v>
      </c>
      <c r="G691" s="3" t="s">
        <v>322</v>
      </c>
      <c r="H691" s="2" t="s">
        <v>62</v>
      </c>
      <c r="I691" s="2" t="s">
        <v>1874</v>
      </c>
      <c r="J691" s="3" t="str">
        <f>HYPERLINK("https://www.boe.es/gazeta/dias/1814/07/07/pdfs/GMD-1814-95.pdf#page=12","Abrir facsímil")</f>
        <v>Abrir facsímil</v>
      </c>
      <c r="K691" s="3" t="s">
        <v>64</v>
      </c>
    </row>
    <row r="692" spans="1:11" ht="42" customHeight="1">
      <c r="A692" s="2" t="s">
        <v>1875</v>
      </c>
      <c r="B692" s="2" t="s">
        <v>1876</v>
      </c>
      <c r="C692" s="2" t="s">
        <v>32</v>
      </c>
      <c r="D692" s="2" t="s">
        <v>18</v>
      </c>
      <c r="E692" s="5">
        <v>-31399</v>
      </c>
      <c r="F692" s="3" t="s">
        <v>218</v>
      </c>
      <c r="G692" s="3" t="s">
        <v>219</v>
      </c>
      <c r="H692" s="2" t="s">
        <v>62</v>
      </c>
      <c r="I692" s="2" t="s">
        <v>1877</v>
      </c>
      <c r="J692" s="3" t="str">
        <f>HYPERLINK("https://www.boe.es/gazeta/dias/1814/01/11/pdfs/GRE-1814-6.pdf#page=8","Abrir facsímil")</f>
        <v>Abrir facsímil</v>
      </c>
      <c r="K692" s="3" t="s">
        <v>64</v>
      </c>
    </row>
    <row r="693" spans="1:11" ht="42" customHeight="1">
      <c r="A693" s="2" t="s">
        <v>1878</v>
      </c>
      <c r="B693" s="2" t="s">
        <v>1879</v>
      </c>
      <c r="C693" s="2" t="s">
        <v>38</v>
      </c>
      <c r="D693" s="2" t="s">
        <v>39</v>
      </c>
      <c r="E693" s="5">
        <v>-31390</v>
      </c>
      <c r="F693" s="3" t="s">
        <v>349</v>
      </c>
      <c r="G693" s="3" t="s">
        <v>52</v>
      </c>
      <c r="H693" s="2" t="s">
        <v>62</v>
      </c>
      <c r="I693" s="2" t="s">
        <v>1880</v>
      </c>
      <c r="J693" s="3" t="str">
        <f>HYPERLINK("https://www.boe.es/gazeta/dias/1814/01/20/pdfs/GRE-1814-10.pdf#page=8","Abrir facsímil")</f>
        <v>Abrir facsímil</v>
      </c>
      <c r="K693" s="3" t="s">
        <v>64</v>
      </c>
    </row>
    <row r="694" spans="1:11" ht="42" customHeight="1">
      <c r="A694" s="2" t="s">
        <v>1881</v>
      </c>
      <c r="B694" s="2" t="s">
        <v>1882</v>
      </c>
      <c r="C694" s="2" t="s">
        <v>38</v>
      </c>
      <c r="D694" s="2" t="s">
        <v>39</v>
      </c>
      <c r="E694" s="5">
        <v>-31140</v>
      </c>
      <c r="F694" s="3" t="s">
        <v>525</v>
      </c>
      <c r="G694" s="3" t="s">
        <v>57</v>
      </c>
      <c r="H694" s="2" t="s">
        <v>62</v>
      </c>
      <c r="I694" s="2" t="s">
        <v>1883</v>
      </c>
      <c r="J694" s="3" t="str">
        <f>HYPERLINK("https://www.boe.es/gazeta/dias/1814/09/27/pdfs/GMD-1814-131.pdf#page=6","Abrir facsímil")</f>
        <v>Abrir facsímil</v>
      </c>
      <c r="K694" s="3" t="s">
        <v>64</v>
      </c>
    </row>
    <row r="695" spans="1:11" ht="42" customHeight="1">
      <c r="A695" s="2" t="s">
        <v>1884</v>
      </c>
      <c r="B695" s="2" t="s">
        <v>1885</v>
      </c>
      <c r="C695" s="2" t="s">
        <v>17</v>
      </c>
      <c r="D695" s="2" t="s">
        <v>18</v>
      </c>
      <c r="E695" s="5">
        <v>-31231</v>
      </c>
      <c r="F695" s="3" t="s">
        <v>861</v>
      </c>
      <c r="G695" s="3" t="s">
        <v>1886</v>
      </c>
      <c r="H695" s="2" t="s">
        <v>62</v>
      </c>
      <c r="I695" s="2" t="s">
        <v>1887</v>
      </c>
      <c r="J695" s="3" t="str">
        <f>HYPERLINK("https://www.boe.es/gazeta/dias/1814/06/28/pdfs/GMD-1814-91.pdf#page=4","Abrir facsímil")</f>
        <v>Abrir facsímil</v>
      </c>
      <c r="K695" s="3" t="s">
        <v>64</v>
      </c>
    </row>
    <row r="696" spans="1:11" ht="42" customHeight="1">
      <c r="A696" s="2" t="s">
        <v>1888</v>
      </c>
      <c r="B696" s="2" t="s">
        <v>1889</v>
      </c>
      <c r="C696" s="2" t="s">
        <v>38</v>
      </c>
      <c r="D696" s="2" t="s">
        <v>39</v>
      </c>
      <c r="E696" s="5">
        <v>-31080</v>
      </c>
      <c r="F696" s="3" t="s">
        <v>286</v>
      </c>
      <c r="G696" s="3" t="s">
        <v>677</v>
      </c>
      <c r="H696" s="2" t="s">
        <v>62</v>
      </c>
      <c r="I696" s="2" t="s">
        <v>1890</v>
      </c>
      <c r="J696" s="3" t="str">
        <f>HYPERLINK("https://www.boe.es/gazeta/dias/1814/11/26/pdfs/GMD-1814-157.pdf#page=7","Abrir facsímil")</f>
        <v>Abrir facsímil</v>
      </c>
      <c r="K696" s="3" t="s">
        <v>64</v>
      </c>
    </row>
    <row r="697" spans="1:11" ht="42" customHeight="1">
      <c r="A697" s="2" t="s">
        <v>1891</v>
      </c>
      <c r="B697" s="2" t="s">
        <v>1891</v>
      </c>
      <c r="C697" s="2" t="s">
        <v>38</v>
      </c>
      <c r="D697" s="2" t="s">
        <v>314</v>
      </c>
      <c r="E697" s="5">
        <v>-31296</v>
      </c>
      <c r="F697" s="3" t="s">
        <v>315</v>
      </c>
      <c r="G697" s="3" t="s">
        <v>52</v>
      </c>
      <c r="H697" s="2" t="s">
        <v>62</v>
      </c>
      <c r="I697" s="2" t="s">
        <v>1892</v>
      </c>
      <c r="J697" s="3" t="str">
        <f>HYPERLINK("https://www.boe.es/gazeta/dias/1814/04/24/pdfs/GRE-1814-60E.pdf#page=8","Abrir facsímil")</f>
        <v>Abrir facsímil</v>
      </c>
      <c r="K697" s="3" t="s">
        <v>64</v>
      </c>
    </row>
    <row r="698" spans="1:11" ht="42" customHeight="1">
      <c r="A698" s="2" t="s">
        <v>1893</v>
      </c>
      <c r="B698" s="2" t="s">
        <v>1894</v>
      </c>
      <c r="C698" s="2" t="s">
        <v>17</v>
      </c>
      <c r="D698" s="2" t="s">
        <v>18</v>
      </c>
      <c r="E698" s="5">
        <v>-31096</v>
      </c>
      <c r="F698" s="3" t="s">
        <v>223</v>
      </c>
      <c r="G698" s="3" t="s">
        <v>82</v>
      </c>
      <c r="H698" s="2" t="s">
        <v>62</v>
      </c>
      <c r="I698" s="2" t="s">
        <v>1895</v>
      </c>
      <c r="J698" s="3" t="str">
        <f>HYPERLINK("https://www.boe.es/gazeta/dias/1814/11/10/pdfs/GMD-1814-150.pdf#page=3","Abrir facsímil")</f>
        <v>Abrir facsímil</v>
      </c>
      <c r="K698" s="3" t="s">
        <v>64</v>
      </c>
    </row>
    <row r="699" spans="1:11" ht="42" customHeight="1">
      <c r="A699" s="2" t="s">
        <v>1896</v>
      </c>
      <c r="B699" s="2" t="s">
        <v>1897</v>
      </c>
      <c r="C699" s="2" t="s">
        <v>26</v>
      </c>
      <c r="D699" s="2" t="s">
        <v>27</v>
      </c>
      <c r="E699" s="5">
        <v>-31108</v>
      </c>
      <c r="F699" s="3" t="s">
        <v>528</v>
      </c>
      <c r="G699" s="3" t="s">
        <v>99</v>
      </c>
      <c r="H699" s="2" t="s">
        <v>21</v>
      </c>
      <c r="I699" s="2" t="s">
        <v>1898</v>
      </c>
      <c r="J699" s="3" t="str">
        <f>HYPERLINK("https://www.boe.es/gazeta/dias/1814/10/29/pdfs/GMD-1814-145.pdf#page=5","Abrir facsímil")</f>
        <v>Abrir facsímil</v>
      </c>
      <c r="K699" s="3" t="s">
        <v>23</v>
      </c>
    </row>
    <row r="700" spans="1:11" ht="42" customHeight="1">
      <c r="A700" s="2" t="s">
        <v>1899</v>
      </c>
      <c r="B700" s="2" t="s">
        <v>1899</v>
      </c>
      <c r="C700" s="2" t="s">
        <v>38</v>
      </c>
      <c r="D700" s="2" t="s">
        <v>39</v>
      </c>
      <c r="E700" s="5">
        <v>-31392</v>
      </c>
      <c r="F700" s="3" t="s">
        <v>195</v>
      </c>
      <c r="G700" s="3" t="s">
        <v>41</v>
      </c>
      <c r="H700" s="2" t="s">
        <v>62</v>
      </c>
      <c r="I700" s="2" t="s">
        <v>1900</v>
      </c>
      <c r="J700" s="3" t="str">
        <f>HYPERLINK("https://www.boe.es/gazeta/dias/1814/01/18/pdfs/GRE-1814-9.pdf#page=4","Abrir facsímil")</f>
        <v>Abrir facsímil</v>
      </c>
      <c r="K700" s="3" t="s">
        <v>64</v>
      </c>
    </row>
    <row r="701" spans="1:11" ht="42" customHeight="1">
      <c r="A701" s="2" t="s">
        <v>1901</v>
      </c>
      <c r="B701" s="2" t="s">
        <v>1902</v>
      </c>
      <c r="C701" s="2" t="s">
        <v>45</v>
      </c>
      <c r="D701" s="2" t="s">
        <v>18</v>
      </c>
      <c r="E701" s="5">
        <v>-31138</v>
      </c>
      <c r="F701" s="3" t="s">
        <v>1363</v>
      </c>
      <c r="G701" s="3" t="s">
        <v>1364</v>
      </c>
      <c r="H701" s="2" t="s">
        <v>62</v>
      </c>
      <c r="I701" s="2" t="s">
        <v>1903</v>
      </c>
      <c r="J701" s="3" t="str">
        <f>HYPERLINK("https://www.boe.es/gazeta/dias/1814/09/29/pdfs/GMD-1814-132.pdf#page=7","Abrir facsímil")</f>
        <v>Abrir facsímil</v>
      </c>
      <c r="K701" s="3" t="s">
        <v>64</v>
      </c>
    </row>
    <row r="702" spans="1:11" ht="42" customHeight="1">
      <c r="A702" s="2" t="s">
        <v>1904</v>
      </c>
      <c r="B702" s="2" t="s">
        <v>1904</v>
      </c>
      <c r="C702" s="2" t="s">
        <v>38</v>
      </c>
      <c r="D702" s="2" t="s">
        <v>39</v>
      </c>
      <c r="E702" s="5">
        <v>-31264</v>
      </c>
      <c r="F702" s="3" t="s">
        <v>396</v>
      </c>
      <c r="G702" s="3" t="s">
        <v>87</v>
      </c>
      <c r="H702" s="2" t="s">
        <v>62</v>
      </c>
      <c r="I702" s="2" t="s">
        <v>1905</v>
      </c>
      <c r="J702" s="3" t="str">
        <f>HYPERLINK("https://www.boe.es/gazeta/dias/1814/05/26/pdfs/GMD-1814-77.pdf#page=2","Abrir facsímil")</f>
        <v>Abrir facsímil</v>
      </c>
      <c r="K702" s="3" t="s">
        <v>64</v>
      </c>
    </row>
    <row r="703" spans="1:11" ht="42" customHeight="1">
      <c r="A703" s="2" t="s">
        <v>1906</v>
      </c>
      <c r="B703" s="2" t="s">
        <v>1907</v>
      </c>
      <c r="C703" s="2" t="s">
        <v>26</v>
      </c>
      <c r="D703" s="2" t="s">
        <v>27</v>
      </c>
      <c r="E703" s="5">
        <v>-31096</v>
      </c>
      <c r="F703" s="3" t="s">
        <v>223</v>
      </c>
      <c r="G703" s="3" t="s">
        <v>41</v>
      </c>
      <c r="H703" s="2" t="s">
        <v>62</v>
      </c>
      <c r="I703" s="2" t="s">
        <v>1908</v>
      </c>
      <c r="J703" s="3" t="str">
        <f>HYPERLINK("https://www.boe.es/gazeta/dias/1814/11/10/pdfs/GMD-1814-150.pdf#page=4","Abrir facsímil")</f>
        <v>Abrir facsímil</v>
      </c>
      <c r="K703" s="3" t="s">
        <v>64</v>
      </c>
    </row>
    <row r="704" spans="1:11" ht="42" customHeight="1">
      <c r="A704" s="2" t="s">
        <v>1909</v>
      </c>
      <c r="B704" s="2" t="s">
        <v>1909</v>
      </c>
      <c r="C704" s="2" t="s">
        <v>38</v>
      </c>
      <c r="D704" s="2" t="s">
        <v>39</v>
      </c>
      <c r="E704" s="5">
        <v>-31287</v>
      </c>
      <c r="F704" s="3" t="s">
        <v>491</v>
      </c>
      <c r="G704" s="3" t="s">
        <v>87</v>
      </c>
      <c r="H704" s="2" t="s">
        <v>62</v>
      </c>
      <c r="I704" s="2" t="s">
        <v>1910</v>
      </c>
      <c r="J704" s="3" t="str">
        <f>HYPERLINK("https://www.boe.es/gazeta/dias/1814/05/03/pdfs/GRE-1814-65.pdf#page=2","Abrir facsímil")</f>
        <v>Abrir facsímil</v>
      </c>
      <c r="K704" s="3" t="s">
        <v>64</v>
      </c>
    </row>
    <row r="705" spans="1:11" ht="42" customHeight="1">
      <c r="A705" s="2" t="s">
        <v>1911</v>
      </c>
      <c r="B705" s="2" t="s">
        <v>1911</v>
      </c>
      <c r="C705" s="2" t="s">
        <v>309</v>
      </c>
      <c r="D705" s="2" t="s">
        <v>18</v>
      </c>
      <c r="E705" s="5">
        <v>-31278</v>
      </c>
      <c r="F705" s="3" t="s">
        <v>773</v>
      </c>
      <c r="G705" s="3" t="s">
        <v>87</v>
      </c>
      <c r="H705" s="2" t="s">
        <v>62</v>
      </c>
      <c r="I705" s="2" t="s">
        <v>1912</v>
      </c>
      <c r="J705" s="3" t="str">
        <f>HYPERLINK("https://www.boe.es/gazeta/dias/1814/05/12/pdfs/GMD-1814-69.pdf#page=2","Abrir facsímil")</f>
        <v>Abrir facsímil</v>
      </c>
      <c r="K705" s="3" t="s">
        <v>64</v>
      </c>
    </row>
    <row r="706" spans="1:11" ht="42" customHeight="1">
      <c r="A706" s="2" t="s">
        <v>1913</v>
      </c>
      <c r="B706" s="2" t="s">
        <v>1914</v>
      </c>
      <c r="C706" s="2" t="s">
        <v>26</v>
      </c>
      <c r="D706" s="2" t="s">
        <v>27</v>
      </c>
      <c r="E706" s="5">
        <v>-31056</v>
      </c>
      <c r="F706" s="3" t="s">
        <v>540</v>
      </c>
      <c r="G706" s="3" t="s">
        <v>41</v>
      </c>
      <c r="H706" s="2" t="s">
        <v>62</v>
      </c>
      <c r="I706" s="2" t="s">
        <v>1915</v>
      </c>
      <c r="J706" s="3" t="str">
        <f>HYPERLINK("https://www.boe.es/gazeta/dias/1814/12/20/pdfs/GMD-1814-168.pdf#page=4","Abrir facsímil")</f>
        <v>Abrir facsímil</v>
      </c>
      <c r="K706" s="3" t="s">
        <v>64</v>
      </c>
    </row>
    <row r="707" spans="1:11" ht="42" customHeight="1">
      <c r="A707" s="2" t="s">
        <v>1916</v>
      </c>
      <c r="B707" s="2" t="s">
        <v>1917</v>
      </c>
      <c r="C707" s="2" t="s">
        <v>105</v>
      </c>
      <c r="D707" s="2" t="s">
        <v>18</v>
      </c>
      <c r="E707" s="5">
        <v>-31175</v>
      </c>
      <c r="F707" s="3" t="s">
        <v>145</v>
      </c>
      <c r="G707" s="3" t="s">
        <v>1918</v>
      </c>
      <c r="H707" s="2" t="s">
        <v>62</v>
      </c>
      <c r="I707" s="2" t="s">
        <v>1919</v>
      </c>
      <c r="J707" s="3" t="str">
        <f>HYPERLINK("https://www.boe.es/gazeta/dias/1814/08/23/pdfs/GMD-1814-115.pdf#page=8","Abrir facsímil")</f>
        <v>Abrir facsímil</v>
      </c>
      <c r="K707" s="3" t="s">
        <v>64</v>
      </c>
    </row>
    <row r="708" spans="1:11" ht="42" customHeight="1">
      <c r="A708" s="2" t="s">
        <v>1920</v>
      </c>
      <c r="B708" s="2" t="s">
        <v>1921</v>
      </c>
      <c r="C708" s="2" t="s">
        <v>38</v>
      </c>
      <c r="D708" s="2" t="s">
        <v>39</v>
      </c>
      <c r="E708" s="5">
        <v>-31171</v>
      </c>
      <c r="F708" s="3" t="s">
        <v>157</v>
      </c>
      <c r="G708" s="3" t="s">
        <v>57</v>
      </c>
      <c r="H708" s="2" t="s">
        <v>62</v>
      </c>
      <c r="I708" s="2" t="s">
        <v>1922</v>
      </c>
      <c r="J708" s="3" t="str">
        <f>HYPERLINK("https://www.boe.es/gazeta/dias/1814/08/27/pdfs/GMD-1814-117.pdf#page=6","Abrir facsímil")</f>
        <v>Abrir facsímil</v>
      </c>
      <c r="K708" s="3" t="s">
        <v>64</v>
      </c>
    </row>
    <row r="709" spans="1:11" ht="42" customHeight="1">
      <c r="A709" s="2" t="s">
        <v>1923</v>
      </c>
      <c r="B709" s="2" t="s">
        <v>1924</v>
      </c>
      <c r="C709" s="2" t="s">
        <v>38</v>
      </c>
      <c r="D709" s="2" t="s">
        <v>39</v>
      </c>
      <c r="E709" s="5">
        <v>-31369</v>
      </c>
      <c r="F709" s="3" t="s">
        <v>695</v>
      </c>
      <c r="G709" s="3" t="s">
        <v>99</v>
      </c>
      <c r="H709" s="2" t="s">
        <v>62</v>
      </c>
      <c r="I709" s="2" t="s">
        <v>1925</v>
      </c>
      <c r="J709" s="3" t="str">
        <f>HYPERLINK("https://www.boe.es/gazeta/dias/1814/02/10/pdfs/GRE-1814-19.pdf#page=5","Abrir facsímil")</f>
        <v>Abrir facsímil</v>
      </c>
      <c r="K709" s="3" t="s">
        <v>64</v>
      </c>
    </row>
    <row r="710" spans="1:11" ht="42" customHeight="1">
      <c r="A710" s="2" t="s">
        <v>1926</v>
      </c>
      <c r="B710" s="2" t="s">
        <v>1927</v>
      </c>
      <c r="C710" s="2" t="s">
        <v>38</v>
      </c>
      <c r="D710" s="2" t="s">
        <v>39</v>
      </c>
      <c r="E710" s="5">
        <v>-31049</v>
      </c>
      <c r="F710" s="3" t="s">
        <v>542</v>
      </c>
      <c r="G710" s="3" t="s">
        <v>1035</v>
      </c>
      <c r="H710" s="2" t="s">
        <v>62</v>
      </c>
      <c r="I710" s="2" t="s">
        <v>1928</v>
      </c>
      <c r="J710" s="3" t="str">
        <f>HYPERLINK("https://www.boe.es/gazeta/dias/1814/12/27/pdfs/GMD-1814-171.pdf#page=6","Abrir facsímil")</f>
        <v>Abrir facsímil</v>
      </c>
      <c r="K710" s="3" t="s">
        <v>64</v>
      </c>
    </row>
    <row r="711" spans="1:11" ht="42" customHeight="1">
      <c r="A711" s="2" t="s">
        <v>1929</v>
      </c>
      <c r="B711" s="2" t="s">
        <v>1929</v>
      </c>
      <c r="C711" s="2" t="s">
        <v>38</v>
      </c>
      <c r="D711" s="2" t="s">
        <v>39</v>
      </c>
      <c r="E711" s="5">
        <v>-31297</v>
      </c>
      <c r="F711" s="3" t="s">
        <v>737</v>
      </c>
      <c r="G711" s="3" t="s">
        <v>99</v>
      </c>
      <c r="H711" s="2" t="s">
        <v>62</v>
      </c>
      <c r="I711" s="2" t="s">
        <v>1930</v>
      </c>
      <c r="J711" s="3" t="str">
        <f>HYPERLINK("https://www.boe.es/gazeta/dias/1814/04/23/pdfs/GRE-1814-59.pdf#page=5","Abrir facsímil")</f>
        <v>Abrir facsímil</v>
      </c>
      <c r="K711" s="3" t="s">
        <v>64</v>
      </c>
    </row>
    <row r="712" spans="1:11" ht="42" customHeight="1">
      <c r="A712" s="2" t="s">
        <v>1929</v>
      </c>
      <c r="B712" s="2" t="s">
        <v>1929</v>
      </c>
      <c r="C712" s="2" t="s">
        <v>38</v>
      </c>
      <c r="D712" s="2" t="s">
        <v>39</v>
      </c>
      <c r="E712" s="5">
        <v>-31285</v>
      </c>
      <c r="F712" s="3" t="s">
        <v>1141</v>
      </c>
      <c r="G712" s="3" t="s">
        <v>82</v>
      </c>
      <c r="H712" s="2" t="s">
        <v>62</v>
      </c>
      <c r="I712" s="2" t="s">
        <v>1931</v>
      </c>
      <c r="J712" s="3" t="str">
        <f>HYPERLINK("https://www.boe.es/gazeta/dias/1814/05/05/pdfs/GRE-1814-66.pdf#page=3","Abrir facsímil")</f>
        <v>Abrir facsímil</v>
      </c>
      <c r="K712" s="3" t="s">
        <v>64</v>
      </c>
    </row>
    <row r="713" spans="1:11" ht="42" customHeight="1">
      <c r="A713" s="2" t="s">
        <v>1932</v>
      </c>
      <c r="B713" s="2" t="s">
        <v>1932</v>
      </c>
      <c r="C713" s="2" t="s">
        <v>38</v>
      </c>
      <c r="D713" s="2" t="s">
        <v>39</v>
      </c>
      <c r="E713" s="5">
        <v>-31327</v>
      </c>
      <c r="F713" s="3" t="s">
        <v>180</v>
      </c>
      <c r="G713" s="3" t="s">
        <v>99</v>
      </c>
      <c r="H713" s="2" t="s">
        <v>62</v>
      </c>
      <c r="I713" s="2" t="s">
        <v>1933</v>
      </c>
      <c r="J713" s="3" t="str">
        <f>HYPERLINK("https://www.boe.es/gazeta/dias/1814/03/24/pdfs/GRE-1814-41.pdf#page=5","Abrir facsímil")</f>
        <v>Abrir facsímil</v>
      </c>
      <c r="K713" s="3" t="s">
        <v>64</v>
      </c>
    </row>
    <row r="714" spans="1:11" ht="42" customHeight="1">
      <c r="A714" s="2" t="s">
        <v>1934</v>
      </c>
      <c r="B714" s="2" t="s">
        <v>1934</v>
      </c>
      <c r="C714" s="2" t="s">
        <v>38</v>
      </c>
      <c r="D714" s="2" t="s">
        <v>39</v>
      </c>
      <c r="E714" s="5">
        <v>-31362</v>
      </c>
      <c r="F714" s="3" t="s">
        <v>302</v>
      </c>
      <c r="G714" s="3" t="s">
        <v>41</v>
      </c>
      <c r="H714" s="2" t="s">
        <v>62</v>
      </c>
      <c r="I714" s="2" t="s">
        <v>1935</v>
      </c>
      <c r="J714" s="3" t="str">
        <f>HYPERLINK("https://www.boe.es/gazeta/dias/1814/02/17/pdfs/GRE-1814-22.pdf#page=4","Abrir facsímil")</f>
        <v>Abrir facsímil</v>
      </c>
      <c r="K714" s="3" t="s">
        <v>64</v>
      </c>
    </row>
    <row r="715" spans="1:11" ht="42" customHeight="1">
      <c r="A715" s="2" t="s">
        <v>1934</v>
      </c>
      <c r="B715" s="2" t="s">
        <v>1934</v>
      </c>
      <c r="C715" s="2" t="s">
        <v>38</v>
      </c>
      <c r="D715" s="2" t="s">
        <v>39</v>
      </c>
      <c r="E715" s="5">
        <v>-31360</v>
      </c>
      <c r="F715" s="3" t="s">
        <v>480</v>
      </c>
      <c r="G715" s="3" t="s">
        <v>82</v>
      </c>
      <c r="H715" s="2" t="s">
        <v>62</v>
      </c>
      <c r="I715" s="2" t="s">
        <v>1936</v>
      </c>
      <c r="J715" s="3" t="str">
        <f>HYPERLINK("https://www.boe.es/gazeta/dias/1814/02/19/pdfs/GRE-1814-23.pdf#page=3","Abrir facsímil")</f>
        <v>Abrir facsímil</v>
      </c>
      <c r="K715" s="3" t="s">
        <v>64</v>
      </c>
    </row>
    <row r="716" spans="1:11" ht="42" customHeight="1">
      <c r="A716" s="2" t="s">
        <v>1937</v>
      </c>
      <c r="B716" s="2" t="s">
        <v>1937</v>
      </c>
      <c r="C716" s="2" t="s">
        <v>38</v>
      </c>
      <c r="D716" s="2" t="s">
        <v>39</v>
      </c>
      <c r="E716" s="5">
        <v>-31327</v>
      </c>
      <c r="F716" s="3" t="s">
        <v>180</v>
      </c>
      <c r="G716" s="3" t="s">
        <v>99</v>
      </c>
      <c r="H716" s="2" t="s">
        <v>62</v>
      </c>
      <c r="I716" s="2" t="s">
        <v>1938</v>
      </c>
      <c r="J716" s="3" t="str">
        <f>HYPERLINK("https://www.boe.es/gazeta/dias/1814/03/24/pdfs/GRE-1814-41.pdf#page=5","Abrir facsímil")</f>
        <v>Abrir facsímil</v>
      </c>
      <c r="K716" s="3" t="s">
        <v>64</v>
      </c>
    </row>
    <row r="717" spans="1:11" ht="42" customHeight="1">
      <c r="A717" s="2" t="s">
        <v>1934</v>
      </c>
      <c r="B717" s="2" t="s">
        <v>1934</v>
      </c>
      <c r="C717" s="2" t="s">
        <v>38</v>
      </c>
      <c r="D717" s="2" t="s">
        <v>39</v>
      </c>
      <c r="E717" s="5">
        <v>-31320</v>
      </c>
      <c r="F717" s="3" t="s">
        <v>40</v>
      </c>
      <c r="G717" s="3" t="s">
        <v>87</v>
      </c>
      <c r="H717" s="2" t="s">
        <v>62</v>
      </c>
      <c r="I717" s="2" t="s">
        <v>1939</v>
      </c>
      <c r="J717" s="3" t="str">
        <f>HYPERLINK("https://www.boe.es/gazeta/dias/1814/03/31/pdfs/GRE-1814-46.pdf#page=2","Abrir facsímil")</f>
        <v>Abrir facsímil</v>
      </c>
      <c r="K717" s="3" t="s">
        <v>64</v>
      </c>
    </row>
    <row r="718" spans="1:11" ht="42" customHeight="1">
      <c r="A718" s="2" t="s">
        <v>1940</v>
      </c>
      <c r="B718" s="2" t="s">
        <v>1940</v>
      </c>
      <c r="C718" s="2" t="s">
        <v>38</v>
      </c>
      <c r="D718" s="2" t="s">
        <v>39</v>
      </c>
      <c r="E718" s="5">
        <v>-31360</v>
      </c>
      <c r="F718" s="3" t="s">
        <v>480</v>
      </c>
      <c r="G718" s="3" t="s">
        <v>82</v>
      </c>
      <c r="H718" s="2" t="s">
        <v>62</v>
      </c>
      <c r="I718" s="2" t="s">
        <v>1941</v>
      </c>
      <c r="J718" s="3" t="str">
        <f>HYPERLINK("https://www.boe.es/gazeta/dias/1814/02/19/pdfs/GRE-1814-23.pdf#page=3","Abrir facsímil")</f>
        <v>Abrir facsímil</v>
      </c>
      <c r="K718" s="3" t="s">
        <v>64</v>
      </c>
    </row>
    <row r="719" spans="1:11" ht="42" customHeight="1">
      <c r="A719" s="2" t="s">
        <v>1942</v>
      </c>
      <c r="B719" s="2" t="s">
        <v>1943</v>
      </c>
      <c r="C719" s="2" t="s">
        <v>26</v>
      </c>
      <c r="D719" s="2" t="s">
        <v>27</v>
      </c>
      <c r="E719" s="5">
        <v>-31105</v>
      </c>
      <c r="F719" s="3" t="s">
        <v>61</v>
      </c>
      <c r="G719" s="3" t="s">
        <v>99</v>
      </c>
      <c r="H719" s="2" t="s">
        <v>62</v>
      </c>
      <c r="I719" s="2" t="s">
        <v>1944</v>
      </c>
      <c r="J719" s="3" t="str">
        <f>HYPERLINK("https://www.boe.es/gazeta/dias/1814/11/01/pdfs/GMD-1814-146.pdf#page=5","Abrir facsímil")</f>
        <v>Abrir facsímil</v>
      </c>
      <c r="K719" s="3" t="s">
        <v>64</v>
      </c>
    </row>
    <row r="720" spans="1:11" ht="42" customHeight="1">
      <c r="A720" s="2" t="s">
        <v>1945</v>
      </c>
      <c r="B720" s="2" t="s">
        <v>1945</v>
      </c>
      <c r="C720" s="2" t="s">
        <v>38</v>
      </c>
      <c r="D720" s="2" t="s">
        <v>39</v>
      </c>
      <c r="E720" s="5">
        <v>-31395</v>
      </c>
      <c r="F720" s="3" t="s">
        <v>662</v>
      </c>
      <c r="G720" s="3" t="s">
        <v>20</v>
      </c>
      <c r="H720" s="2" t="s">
        <v>62</v>
      </c>
      <c r="I720" s="2" t="s">
        <v>1946</v>
      </c>
      <c r="J720" s="3" t="str">
        <f>HYPERLINK("https://www.boe.es/gazeta/dias/1814/01/15/pdfs/GRE-1814-8.pdf#page=7","Abrir facsímil")</f>
        <v>Abrir facsímil</v>
      </c>
      <c r="K720" s="3" t="s">
        <v>64</v>
      </c>
    </row>
    <row r="721" spans="1:11" ht="42" customHeight="1">
      <c r="A721" s="2" t="s">
        <v>1947</v>
      </c>
      <c r="B721" s="2" t="s">
        <v>1947</v>
      </c>
      <c r="C721" s="2" t="s">
        <v>38</v>
      </c>
      <c r="D721" s="2" t="s">
        <v>314</v>
      </c>
      <c r="E721" s="5">
        <v>-31341</v>
      </c>
      <c r="F721" s="3" t="s">
        <v>354</v>
      </c>
      <c r="G721" s="3" t="s">
        <v>82</v>
      </c>
      <c r="H721" s="2" t="s">
        <v>62</v>
      </c>
      <c r="I721" s="2" t="s">
        <v>1948</v>
      </c>
      <c r="J721" s="3" t="str">
        <f>HYPERLINK("https://www.boe.es/gazeta/dias/1814/03/10/pdfs/GRE-1814-34E.pdf#page=3","Abrir facsímil")</f>
        <v>Abrir facsímil</v>
      </c>
      <c r="K721" s="3" t="s">
        <v>64</v>
      </c>
    </row>
    <row r="722" spans="1:11" ht="42" customHeight="1">
      <c r="A722" s="2" t="s">
        <v>1949</v>
      </c>
      <c r="B722" s="2" t="s">
        <v>1949</v>
      </c>
      <c r="C722" s="2" t="s">
        <v>38</v>
      </c>
      <c r="D722" s="2" t="s">
        <v>39</v>
      </c>
      <c r="E722" s="5">
        <v>-31059</v>
      </c>
      <c r="F722" s="3" t="s">
        <v>263</v>
      </c>
      <c r="G722" s="3" t="s">
        <v>711</v>
      </c>
      <c r="H722" s="2" t="s">
        <v>62</v>
      </c>
      <c r="I722" s="2" t="s">
        <v>1950</v>
      </c>
      <c r="J722" s="3" t="str">
        <f>HYPERLINK("https://www.boe.es/gazeta/dias/1814/12/17/pdfs/GMD-1814-167.pdf#page=4","Abrir facsímil")</f>
        <v>Abrir facsímil</v>
      </c>
      <c r="K722" s="3" t="s">
        <v>64</v>
      </c>
    </row>
    <row r="723" spans="1:11" ht="42" customHeight="1">
      <c r="A723" s="2" t="s">
        <v>1951</v>
      </c>
      <c r="B723" s="2" t="s">
        <v>1951</v>
      </c>
      <c r="C723" s="2" t="s">
        <v>38</v>
      </c>
      <c r="D723" s="2" t="s">
        <v>39</v>
      </c>
      <c r="E723" s="5">
        <v>-31224</v>
      </c>
      <c r="F723" s="3" t="s">
        <v>609</v>
      </c>
      <c r="G723" s="3" t="s">
        <v>82</v>
      </c>
      <c r="H723" s="2" t="s">
        <v>62</v>
      </c>
      <c r="I723" s="2" t="s">
        <v>1952</v>
      </c>
      <c r="J723" s="3" t="str">
        <f>HYPERLINK("https://www.boe.es/gazeta/dias/1814/07/05/pdfs/GMD-1814-94.pdf#page=3","Abrir facsímil")</f>
        <v>Abrir facsímil</v>
      </c>
      <c r="K723" s="3" t="s">
        <v>64</v>
      </c>
    </row>
    <row r="724" spans="1:11" ht="42" customHeight="1">
      <c r="A724" s="2" t="s">
        <v>1953</v>
      </c>
      <c r="B724" s="2" t="s">
        <v>1953</v>
      </c>
      <c r="C724" s="2" t="s">
        <v>38</v>
      </c>
      <c r="D724" s="2" t="s">
        <v>39</v>
      </c>
      <c r="E724" s="5">
        <v>-31376</v>
      </c>
      <c r="F724" s="3" t="s">
        <v>1954</v>
      </c>
      <c r="G724" s="3" t="s">
        <v>1955</v>
      </c>
      <c r="H724" s="2" t="s">
        <v>62</v>
      </c>
      <c r="I724" s="2" t="s">
        <v>1956</v>
      </c>
      <c r="J724" s="3" t="str">
        <f>HYPERLINK("https://www.boe.es/gazeta/dias/1814/02/03/pdfs/GRE-1814-16.pdf#page=8","Abrir facsímil")</f>
        <v>Abrir facsímil</v>
      </c>
      <c r="K724" s="3" t="s">
        <v>64</v>
      </c>
    </row>
    <row r="725" spans="1:11" ht="42" customHeight="1">
      <c r="A725" s="2" t="s">
        <v>1953</v>
      </c>
      <c r="B725" s="2" t="s">
        <v>1953</v>
      </c>
      <c r="C725" s="2" t="s">
        <v>38</v>
      </c>
      <c r="D725" s="2" t="s">
        <v>39</v>
      </c>
      <c r="E725" s="5">
        <v>-31336</v>
      </c>
      <c r="F725" s="3" t="s">
        <v>1789</v>
      </c>
      <c r="G725" s="3" t="s">
        <v>1957</v>
      </c>
      <c r="H725" s="2" t="s">
        <v>62</v>
      </c>
      <c r="I725" s="2" t="s">
        <v>1958</v>
      </c>
      <c r="J725" s="3" t="str">
        <f>HYPERLINK("https://www.boe.es/gazeta/dias/1814/03/15/pdfs/GRE-1814-36.pdf#page=5","Abrir facsímil")</f>
        <v>Abrir facsímil</v>
      </c>
      <c r="K725" s="3" t="s">
        <v>64</v>
      </c>
    </row>
    <row r="726" spans="1:11" ht="42" customHeight="1">
      <c r="A726" s="2" t="s">
        <v>1959</v>
      </c>
      <c r="B726" s="2" t="s">
        <v>1959</v>
      </c>
      <c r="C726" s="2" t="s">
        <v>38</v>
      </c>
      <c r="D726" s="2" t="s">
        <v>39</v>
      </c>
      <c r="E726" s="5">
        <v>-31334</v>
      </c>
      <c r="F726" s="3" t="s">
        <v>482</v>
      </c>
      <c r="G726" s="3" t="s">
        <v>82</v>
      </c>
      <c r="H726" s="2" t="s">
        <v>62</v>
      </c>
      <c r="I726" s="2" t="s">
        <v>1960</v>
      </c>
      <c r="J726" s="3" t="str">
        <f>HYPERLINK("https://www.boe.es/gazeta/dias/1814/03/17/pdfs/GRE-1814-37.pdf#page=3","Abrir facsímil")</f>
        <v>Abrir facsímil</v>
      </c>
      <c r="K726" s="3" t="s">
        <v>64</v>
      </c>
    </row>
    <row r="727" spans="1:11" ht="42" customHeight="1">
      <c r="A727" s="2" t="s">
        <v>1953</v>
      </c>
      <c r="B727" s="2" t="s">
        <v>1953</v>
      </c>
      <c r="C727" s="2" t="s">
        <v>38</v>
      </c>
      <c r="D727" s="2" t="s">
        <v>39</v>
      </c>
      <c r="E727" s="5">
        <v>-31327</v>
      </c>
      <c r="F727" s="3" t="s">
        <v>180</v>
      </c>
      <c r="G727" s="3" t="s">
        <v>41</v>
      </c>
      <c r="H727" s="2" t="s">
        <v>62</v>
      </c>
      <c r="I727" s="2" t="s">
        <v>1961</v>
      </c>
      <c r="J727" s="3" t="str">
        <f>HYPERLINK("https://www.boe.es/gazeta/dias/1814/03/24/pdfs/GRE-1814-41.pdf#page=4","Abrir facsímil")</f>
        <v>Abrir facsímil</v>
      </c>
      <c r="K727" s="3" t="s">
        <v>64</v>
      </c>
    </row>
    <row r="728" spans="1:11" ht="42" customHeight="1">
      <c r="A728" s="2" t="s">
        <v>1953</v>
      </c>
      <c r="B728" s="2" t="s">
        <v>1953</v>
      </c>
      <c r="C728" s="2" t="s">
        <v>38</v>
      </c>
      <c r="D728" s="2" t="s">
        <v>39</v>
      </c>
      <c r="E728" s="5">
        <v>-31322</v>
      </c>
      <c r="F728" s="3" t="s">
        <v>114</v>
      </c>
      <c r="G728" s="3" t="s">
        <v>99</v>
      </c>
      <c r="H728" s="2" t="s">
        <v>62</v>
      </c>
      <c r="I728" s="2" t="s">
        <v>1962</v>
      </c>
      <c r="J728" s="3" t="str">
        <f>HYPERLINK("https://www.boe.es/gazeta/dias/1814/03/29/pdfs/GRE-1814-44.pdf#page=5","Abrir facsímil")</f>
        <v>Abrir facsímil</v>
      </c>
      <c r="K728" s="3" t="s">
        <v>64</v>
      </c>
    </row>
    <row r="729" spans="1:11" ht="42" customHeight="1">
      <c r="A729" s="2" t="s">
        <v>1953</v>
      </c>
      <c r="B729" s="2" t="s">
        <v>1953</v>
      </c>
      <c r="C729" s="2" t="s">
        <v>38</v>
      </c>
      <c r="D729" s="2" t="s">
        <v>39</v>
      </c>
      <c r="E729" s="5">
        <v>-31315</v>
      </c>
      <c r="F729" s="3" t="s">
        <v>645</v>
      </c>
      <c r="G729" s="3" t="s">
        <v>87</v>
      </c>
      <c r="H729" s="2" t="s">
        <v>62</v>
      </c>
      <c r="I729" s="2" t="s">
        <v>1963</v>
      </c>
      <c r="J729" s="3" t="str">
        <f>HYPERLINK("https://www.boe.es/gazeta/dias/1814/04/05/pdfs/GRE-1814-49.pdf#page=2","Abrir facsímil")</f>
        <v>Abrir facsímil</v>
      </c>
      <c r="K729" s="3" t="s">
        <v>64</v>
      </c>
    </row>
    <row r="730" spans="1:11" ht="42" customHeight="1">
      <c r="A730" s="2" t="s">
        <v>1953</v>
      </c>
      <c r="B730" s="2" t="s">
        <v>1953</v>
      </c>
      <c r="C730" s="2" t="s">
        <v>38</v>
      </c>
      <c r="D730" s="2" t="s">
        <v>39</v>
      </c>
      <c r="E730" s="5">
        <v>-31304</v>
      </c>
      <c r="F730" s="3" t="s">
        <v>1964</v>
      </c>
      <c r="G730" s="3" t="s">
        <v>87</v>
      </c>
      <c r="H730" s="2" t="s">
        <v>62</v>
      </c>
      <c r="I730" s="2" t="s">
        <v>1965</v>
      </c>
      <c r="J730" s="3" t="str">
        <f>HYPERLINK("https://www.boe.es/gazeta/dias/1814/04/16/pdfs/GRE-1814-55.pdf#page=2","Abrir facsímil")</f>
        <v>Abrir facsímil</v>
      </c>
      <c r="K730" s="3" t="s">
        <v>64</v>
      </c>
    </row>
    <row r="731" spans="1:11" ht="42" customHeight="1">
      <c r="A731" s="2" t="s">
        <v>1953</v>
      </c>
      <c r="B731" s="2" t="s">
        <v>1953</v>
      </c>
      <c r="C731" s="2" t="s">
        <v>38</v>
      </c>
      <c r="D731" s="2" t="s">
        <v>39</v>
      </c>
      <c r="E731" s="5">
        <v>-31236</v>
      </c>
      <c r="F731" s="3" t="s">
        <v>33</v>
      </c>
      <c r="G731" s="3" t="s">
        <v>82</v>
      </c>
      <c r="H731" s="2" t="s">
        <v>62</v>
      </c>
      <c r="I731" s="2" t="s">
        <v>1966</v>
      </c>
      <c r="J731" s="3" t="str">
        <f>HYPERLINK("https://www.boe.es/gazeta/dias/1814/06/23/pdfs/GMD-1814-89.pdf#page=3","Abrir facsímil")</f>
        <v>Abrir facsímil</v>
      </c>
      <c r="K731" s="3" t="s">
        <v>64</v>
      </c>
    </row>
    <row r="732" spans="1:11" ht="42" customHeight="1">
      <c r="A732" s="2" t="s">
        <v>1967</v>
      </c>
      <c r="B732" s="2" t="s">
        <v>1967</v>
      </c>
      <c r="C732" s="2" t="s">
        <v>17</v>
      </c>
      <c r="D732" s="2" t="s">
        <v>18</v>
      </c>
      <c r="E732" s="5">
        <v>-31234</v>
      </c>
      <c r="F732" s="3" t="s">
        <v>462</v>
      </c>
      <c r="G732" s="3" t="s">
        <v>87</v>
      </c>
      <c r="H732" s="2" t="s">
        <v>62</v>
      </c>
      <c r="I732" s="2" t="s">
        <v>1968</v>
      </c>
      <c r="J732" s="3" t="str">
        <f>HYPERLINK("https://www.boe.es/gazeta/dias/1814/06/25/pdfs/GMD-1814-90.pdf#page=2","Abrir facsímil")</f>
        <v>Abrir facsímil</v>
      </c>
      <c r="K732" s="3" t="s">
        <v>64</v>
      </c>
    </row>
    <row r="733" spans="1:11" ht="42" customHeight="1">
      <c r="A733" s="2" t="s">
        <v>1969</v>
      </c>
      <c r="B733" s="2" t="s">
        <v>1969</v>
      </c>
      <c r="C733" s="2" t="s">
        <v>38</v>
      </c>
      <c r="D733" s="2" t="s">
        <v>39</v>
      </c>
      <c r="E733" s="5">
        <v>-31301</v>
      </c>
      <c r="F733" s="3" t="s">
        <v>81</v>
      </c>
      <c r="G733" s="3" t="s">
        <v>41</v>
      </c>
      <c r="H733" s="2" t="s">
        <v>62</v>
      </c>
      <c r="I733" s="2" t="s">
        <v>1970</v>
      </c>
      <c r="J733" s="3" t="str">
        <f>HYPERLINK("https://www.boe.es/gazeta/dias/1814/04/19/pdfs/GRE-1814-56.pdf#page=4","Abrir facsímil")</f>
        <v>Abrir facsímil</v>
      </c>
      <c r="K733" s="3" t="s">
        <v>64</v>
      </c>
    </row>
    <row r="734" spans="1:11" ht="42" customHeight="1">
      <c r="A734" s="2" t="s">
        <v>1969</v>
      </c>
      <c r="B734" s="2" t="s">
        <v>1969</v>
      </c>
      <c r="C734" s="2" t="s">
        <v>38</v>
      </c>
      <c r="D734" s="2" t="s">
        <v>39</v>
      </c>
      <c r="E734" s="5">
        <v>-31301</v>
      </c>
      <c r="F734" s="3" t="s">
        <v>81</v>
      </c>
      <c r="G734" s="3" t="s">
        <v>99</v>
      </c>
      <c r="H734" s="2" t="s">
        <v>62</v>
      </c>
      <c r="I734" s="2" t="s">
        <v>1971</v>
      </c>
      <c r="J734" s="3" t="str">
        <f>HYPERLINK("https://www.boe.es/gazeta/dias/1814/04/19/pdfs/GRE-1814-56.pdf#page=5","Abrir facsímil")</f>
        <v>Abrir facsímil</v>
      </c>
      <c r="K734" s="3" t="s">
        <v>64</v>
      </c>
    </row>
    <row r="735" spans="1:11" ht="42" customHeight="1">
      <c r="A735" s="2" t="s">
        <v>1972</v>
      </c>
      <c r="B735" s="2" t="s">
        <v>1972</v>
      </c>
      <c r="C735" s="2" t="s">
        <v>38</v>
      </c>
      <c r="D735" s="2" t="s">
        <v>39</v>
      </c>
      <c r="E735" s="5">
        <v>-31327</v>
      </c>
      <c r="F735" s="3" t="s">
        <v>180</v>
      </c>
      <c r="G735" s="3" t="s">
        <v>87</v>
      </c>
      <c r="H735" s="2" t="s">
        <v>62</v>
      </c>
      <c r="I735" s="2" t="s">
        <v>1973</v>
      </c>
      <c r="J735" s="3" t="str">
        <f>HYPERLINK("https://www.boe.es/gazeta/dias/1814/03/24/pdfs/GRE-1814-41.pdf#page=2","Abrir facsímil")</f>
        <v>Abrir facsímil</v>
      </c>
      <c r="K735" s="3" t="s">
        <v>64</v>
      </c>
    </row>
    <row r="736" spans="1:11" ht="42" customHeight="1">
      <c r="A736" s="2" t="s">
        <v>1974</v>
      </c>
      <c r="B736" s="2" t="s">
        <v>1974</v>
      </c>
      <c r="C736" s="2" t="s">
        <v>38</v>
      </c>
      <c r="D736" s="2" t="s">
        <v>39</v>
      </c>
      <c r="E736" s="5">
        <v>-31322</v>
      </c>
      <c r="F736" s="3" t="s">
        <v>114</v>
      </c>
      <c r="G736" s="3" t="s">
        <v>99</v>
      </c>
      <c r="H736" s="2" t="s">
        <v>62</v>
      </c>
      <c r="I736" s="2" t="s">
        <v>1975</v>
      </c>
      <c r="J736" s="3" t="str">
        <f>HYPERLINK("https://www.boe.es/gazeta/dias/1814/03/29/pdfs/GRE-1814-44.pdf#page=5","Abrir facsímil")</f>
        <v>Abrir facsímil</v>
      </c>
      <c r="K736" s="3" t="s">
        <v>64</v>
      </c>
    </row>
    <row r="737" spans="1:11" ht="42" customHeight="1">
      <c r="A737" s="2" t="s">
        <v>1976</v>
      </c>
      <c r="B737" s="2" t="s">
        <v>1977</v>
      </c>
      <c r="C737" s="2" t="s">
        <v>38</v>
      </c>
      <c r="D737" s="2" t="s">
        <v>39</v>
      </c>
      <c r="E737" s="5">
        <v>-31196</v>
      </c>
      <c r="F737" s="3" t="s">
        <v>828</v>
      </c>
      <c r="G737" s="3" t="s">
        <v>52</v>
      </c>
      <c r="H737" s="2" t="s">
        <v>62</v>
      </c>
      <c r="I737" s="2" t="s">
        <v>1978</v>
      </c>
      <c r="J737" s="3" t="str">
        <f>HYPERLINK("https://www.boe.es/gazeta/dias/1814/08/02/pdfs/GMD-1814-106.pdf#page=8","Abrir facsímil")</f>
        <v>Abrir facsímil</v>
      </c>
      <c r="K737" s="3" t="s">
        <v>64</v>
      </c>
    </row>
    <row r="738" spans="1:11" ht="42" customHeight="1">
      <c r="A738" s="2" t="s">
        <v>1979</v>
      </c>
      <c r="B738" s="2" t="s">
        <v>1980</v>
      </c>
      <c r="C738" s="2" t="s">
        <v>38</v>
      </c>
      <c r="D738" s="2" t="s">
        <v>39</v>
      </c>
      <c r="E738" s="5">
        <v>-31168</v>
      </c>
      <c r="F738" s="3" t="s">
        <v>893</v>
      </c>
      <c r="G738" s="3" t="s">
        <v>1981</v>
      </c>
      <c r="H738" s="2" t="s">
        <v>62</v>
      </c>
      <c r="I738" s="2" t="s">
        <v>1982</v>
      </c>
      <c r="J738" s="3" t="str">
        <f>HYPERLINK("https://www.boe.es/gazeta/dias/1814/08/30/pdfs/GMD-1814-118.pdf#page=8","Abrir facsímil")</f>
        <v>Abrir facsímil</v>
      </c>
      <c r="K738" s="3" t="s">
        <v>64</v>
      </c>
    </row>
    <row r="739" spans="1:11" ht="42" customHeight="1">
      <c r="A739" s="2" t="s">
        <v>1983</v>
      </c>
      <c r="B739" s="2" t="s">
        <v>1984</v>
      </c>
      <c r="C739" s="2" t="s">
        <v>17</v>
      </c>
      <c r="D739" s="2" t="s">
        <v>18</v>
      </c>
      <c r="E739" s="5">
        <v>-31255</v>
      </c>
      <c r="F739" s="3" t="s">
        <v>983</v>
      </c>
      <c r="G739" s="3" t="s">
        <v>99</v>
      </c>
      <c r="H739" s="2" t="s">
        <v>62</v>
      </c>
      <c r="I739" s="2" t="s">
        <v>1985</v>
      </c>
      <c r="J739" s="3" t="str">
        <f>HYPERLINK("https://www.boe.es/gazeta/dias/1814/06/04/pdfs/GMD-1814-81.pdf#page=5","Abrir facsímil")</f>
        <v>Abrir facsímil</v>
      </c>
      <c r="K739" s="3" t="s">
        <v>64</v>
      </c>
    </row>
    <row r="740" spans="1:11" ht="42" customHeight="1">
      <c r="A740" s="2" t="s">
        <v>1986</v>
      </c>
      <c r="B740" s="2" t="s">
        <v>1987</v>
      </c>
      <c r="C740" s="2" t="s">
        <v>26</v>
      </c>
      <c r="D740" s="2" t="s">
        <v>27</v>
      </c>
      <c r="E740" s="5">
        <v>-31257</v>
      </c>
      <c r="F740" s="3" t="s">
        <v>437</v>
      </c>
      <c r="G740" s="3" t="s">
        <v>57</v>
      </c>
      <c r="H740" s="2" t="s">
        <v>62</v>
      </c>
      <c r="I740" s="2" t="s">
        <v>1988</v>
      </c>
      <c r="J740" s="3" t="str">
        <f>HYPERLINK("https://www.boe.es/gazeta/dias/1814/06/02/pdfs/GMD-1814-80.pdf#page=6","Abrir facsímil")</f>
        <v>Abrir facsímil</v>
      </c>
      <c r="K740" s="3" t="s">
        <v>64</v>
      </c>
    </row>
    <row r="741" spans="1:11" ht="42" customHeight="1">
      <c r="A741" s="2" t="s">
        <v>1989</v>
      </c>
      <c r="B741" s="2" t="s">
        <v>1990</v>
      </c>
      <c r="C741" s="2" t="s">
        <v>38</v>
      </c>
      <c r="D741" s="2" t="s">
        <v>39</v>
      </c>
      <c r="E741" s="5">
        <v>-31241</v>
      </c>
      <c r="F741" s="3" t="s">
        <v>703</v>
      </c>
      <c r="G741" s="3" t="s">
        <v>322</v>
      </c>
      <c r="H741" s="2" t="s">
        <v>62</v>
      </c>
      <c r="I741" s="2" t="s">
        <v>1991</v>
      </c>
      <c r="J741" s="3" t="str">
        <f>HYPERLINK("https://www.boe.es/gazeta/dias/1814/06/18/pdfs/GMD-1814-87.pdf#page=12","Abrir facsímil")</f>
        <v>Abrir facsímil</v>
      </c>
      <c r="K741" s="3" t="s">
        <v>64</v>
      </c>
    </row>
    <row r="742" spans="1:11" ht="42" customHeight="1">
      <c r="A742" s="2" t="s">
        <v>1992</v>
      </c>
      <c r="B742" s="2" t="s">
        <v>1993</v>
      </c>
      <c r="C742" s="2" t="s">
        <v>38</v>
      </c>
      <c r="D742" s="2" t="s">
        <v>39</v>
      </c>
      <c r="E742" s="5">
        <v>-31346</v>
      </c>
      <c r="F742" s="3" t="s">
        <v>78</v>
      </c>
      <c r="G742" s="3" t="s">
        <v>52</v>
      </c>
      <c r="H742" s="2" t="s">
        <v>62</v>
      </c>
      <c r="I742" s="2" t="s">
        <v>1994</v>
      </c>
      <c r="J742" s="3" t="str">
        <f>HYPERLINK("https://www.boe.es/gazeta/dias/1814/03/05/pdfs/GRE-1814-30.pdf#page=8","Abrir facsímil")</f>
        <v>Abrir facsímil</v>
      </c>
      <c r="K742" s="3" t="s">
        <v>64</v>
      </c>
    </row>
    <row r="743" spans="1:11" ht="42" customHeight="1">
      <c r="A743" s="2" t="s">
        <v>1995</v>
      </c>
      <c r="B743" s="2" t="s">
        <v>1996</v>
      </c>
      <c r="C743" s="2" t="s">
        <v>144</v>
      </c>
      <c r="D743" s="2" t="s">
        <v>18</v>
      </c>
      <c r="E743" s="5">
        <v>-31327</v>
      </c>
      <c r="F743" s="3" t="s">
        <v>180</v>
      </c>
      <c r="G743" s="3" t="s">
        <v>233</v>
      </c>
      <c r="H743" s="2" t="s">
        <v>62</v>
      </c>
      <c r="I743" s="2" t="s">
        <v>1997</v>
      </c>
      <c r="J743" s="3" t="str">
        <f>HYPERLINK("https://www.boe.es/gazeta/dias/1814/03/24/pdfs/GRE-1814-41.pdf#page=8","Abrir facsímil")</f>
        <v>Abrir facsímil</v>
      </c>
      <c r="K743" s="3" t="s">
        <v>64</v>
      </c>
    </row>
    <row r="744" spans="1:11" ht="42" customHeight="1">
      <c r="A744" s="2" t="s">
        <v>1998</v>
      </c>
      <c r="B744" s="2" t="s">
        <v>1999</v>
      </c>
      <c r="C744" s="2" t="s">
        <v>144</v>
      </c>
      <c r="D744" s="2" t="s">
        <v>18</v>
      </c>
      <c r="E744" s="5">
        <v>-31194</v>
      </c>
      <c r="F744" s="3" t="s">
        <v>333</v>
      </c>
      <c r="G744" s="3" t="s">
        <v>99</v>
      </c>
      <c r="H744" s="2" t="s">
        <v>21</v>
      </c>
      <c r="I744" s="2" t="s">
        <v>2000</v>
      </c>
      <c r="J744" s="3" t="str">
        <f>HYPERLINK("https://www.boe.es/gazeta/dias/1814/08/04/pdfs/GMD-1814-107.pdf#page=5","Abrir facsímil")</f>
        <v>Abrir facsímil</v>
      </c>
      <c r="K744" s="3" t="s">
        <v>23</v>
      </c>
    </row>
    <row r="745" spans="1:11" ht="42" customHeight="1">
      <c r="A745" s="2" t="s">
        <v>2001</v>
      </c>
      <c r="B745" s="2" t="s">
        <v>2002</v>
      </c>
      <c r="C745" s="2" t="s">
        <v>45</v>
      </c>
      <c r="D745" s="2" t="s">
        <v>18</v>
      </c>
      <c r="E745" s="5">
        <v>-31173</v>
      </c>
      <c r="F745" s="3" t="s">
        <v>46</v>
      </c>
      <c r="G745" s="3" t="s">
        <v>20</v>
      </c>
      <c r="H745" s="2" t="s">
        <v>62</v>
      </c>
      <c r="I745" s="2" t="s">
        <v>2003</v>
      </c>
      <c r="J745" s="3" t="str">
        <f>HYPERLINK("https://www.boe.es/gazeta/dias/1814/08/25/pdfs/GMD-1814-116.pdf#page=7","Abrir facsímil")</f>
        <v>Abrir facsímil</v>
      </c>
      <c r="K745" s="3" t="s">
        <v>64</v>
      </c>
    </row>
    <row r="746" spans="1:11" ht="42" customHeight="1">
      <c r="A746" s="2" t="s">
        <v>2004</v>
      </c>
      <c r="B746" s="2" t="s">
        <v>2005</v>
      </c>
      <c r="C746" s="2" t="s">
        <v>38</v>
      </c>
      <c r="D746" s="2" t="s">
        <v>39</v>
      </c>
      <c r="E746" s="5">
        <v>-31364</v>
      </c>
      <c r="F746" s="3" t="s">
        <v>594</v>
      </c>
      <c r="G746" s="3" t="s">
        <v>57</v>
      </c>
      <c r="H746" s="2" t="s">
        <v>62</v>
      </c>
      <c r="I746" s="2" t="s">
        <v>2006</v>
      </c>
      <c r="J746" s="3" t="str">
        <f>HYPERLINK("https://www.boe.es/gazeta/dias/1814/02/15/pdfs/GRE-1814-21.pdf#page=6","Abrir facsímil")</f>
        <v>Abrir facsímil</v>
      </c>
      <c r="K746" s="3" t="s">
        <v>64</v>
      </c>
    </row>
    <row r="747" spans="1:11" ht="42" customHeight="1">
      <c r="A747" s="2" t="s">
        <v>2004</v>
      </c>
      <c r="B747" s="2" t="s">
        <v>2005</v>
      </c>
      <c r="C747" s="2" t="s">
        <v>26</v>
      </c>
      <c r="D747" s="2" t="s">
        <v>27</v>
      </c>
      <c r="E747" s="5">
        <v>-31112</v>
      </c>
      <c r="F747" s="3" t="s">
        <v>707</v>
      </c>
      <c r="G747" s="3" t="s">
        <v>99</v>
      </c>
      <c r="H747" s="2" t="s">
        <v>62</v>
      </c>
      <c r="I747" s="2" t="s">
        <v>2007</v>
      </c>
      <c r="J747" s="3" t="str">
        <f>HYPERLINK("https://www.boe.es/gazeta/dias/1814/10/25/pdfs/GMD-1814-143.pdf#page=5","Abrir facsímil")</f>
        <v>Abrir facsímil</v>
      </c>
      <c r="K747" s="3" t="s">
        <v>64</v>
      </c>
    </row>
    <row r="748" spans="1:11" ht="42" customHeight="1">
      <c r="A748" s="2" t="s">
        <v>2008</v>
      </c>
      <c r="B748" s="2" t="s">
        <v>2009</v>
      </c>
      <c r="C748" s="2" t="s">
        <v>26</v>
      </c>
      <c r="D748" s="2" t="s">
        <v>27</v>
      </c>
      <c r="E748" s="5">
        <v>-31145</v>
      </c>
      <c r="F748" s="3" t="s">
        <v>523</v>
      </c>
      <c r="G748" s="3" t="s">
        <v>20</v>
      </c>
      <c r="H748" s="2" t="s">
        <v>62</v>
      </c>
      <c r="I748" s="2" t="s">
        <v>2010</v>
      </c>
      <c r="J748" s="3" t="str">
        <f>HYPERLINK("https://www.boe.es/gazeta/dias/1814/09/22/pdfs/GMD-1814-129.pdf#page=7","Abrir facsímil")</f>
        <v>Abrir facsímil</v>
      </c>
      <c r="K748" s="3" t="s">
        <v>64</v>
      </c>
    </row>
    <row r="749" spans="1:11" ht="42" customHeight="1">
      <c r="A749" s="2" t="s">
        <v>2011</v>
      </c>
      <c r="B749" s="2" t="s">
        <v>2011</v>
      </c>
      <c r="C749" s="2" t="s">
        <v>38</v>
      </c>
      <c r="D749" s="2" t="s">
        <v>39</v>
      </c>
      <c r="E749" s="5">
        <v>-31409</v>
      </c>
      <c r="F749" s="3" t="s">
        <v>168</v>
      </c>
      <c r="G749" s="3" t="s">
        <v>82</v>
      </c>
      <c r="H749" s="2" t="s">
        <v>62</v>
      </c>
      <c r="I749" s="2" t="s">
        <v>2012</v>
      </c>
      <c r="J749" s="3" t="str">
        <f>HYPERLINK("https://www.boe.es/gazeta/dias/1814/01/01/pdfs/GRE-1814-1.pdf#page=3","Abrir facsímil")</f>
        <v>Abrir facsímil</v>
      </c>
      <c r="K749" s="3" t="s">
        <v>64</v>
      </c>
    </row>
    <row r="750" spans="1:11" ht="42" customHeight="1">
      <c r="A750" s="2" t="s">
        <v>2013</v>
      </c>
      <c r="B750" s="2" t="s">
        <v>2014</v>
      </c>
      <c r="C750" s="2" t="s">
        <v>38</v>
      </c>
      <c r="D750" s="2" t="s">
        <v>39</v>
      </c>
      <c r="E750" s="5">
        <v>-31315</v>
      </c>
      <c r="F750" s="3" t="s">
        <v>645</v>
      </c>
      <c r="G750" s="3" t="s">
        <v>57</v>
      </c>
      <c r="H750" s="2" t="s">
        <v>62</v>
      </c>
      <c r="I750" s="2" t="s">
        <v>2015</v>
      </c>
      <c r="J750" s="3" t="str">
        <f>HYPERLINK("https://www.boe.es/gazeta/dias/1814/04/05/pdfs/GRE-1814-49.pdf#page=6","Abrir facsímil")</f>
        <v>Abrir facsímil</v>
      </c>
      <c r="K750" s="3" t="s">
        <v>64</v>
      </c>
    </row>
    <row r="751" spans="1:11" ht="42" customHeight="1">
      <c r="A751" s="2" t="s">
        <v>2016</v>
      </c>
      <c r="B751" s="2" t="s">
        <v>2016</v>
      </c>
      <c r="C751" s="2" t="s">
        <v>38</v>
      </c>
      <c r="D751" s="2" t="s">
        <v>39</v>
      </c>
      <c r="E751" s="5">
        <v>-31350</v>
      </c>
      <c r="F751" s="3" t="s">
        <v>377</v>
      </c>
      <c r="G751" s="3" t="s">
        <v>2017</v>
      </c>
      <c r="H751" s="2" t="s">
        <v>62</v>
      </c>
      <c r="I751" s="2" t="s">
        <v>2018</v>
      </c>
      <c r="J751" s="3" t="str">
        <f>HYPERLINK("https://www.boe.es/gazeta/dias/1814/03/01/pdfs/GRE-1814-28.pdf#page=6","Abrir facsímil")</f>
        <v>Abrir facsímil</v>
      </c>
      <c r="K751" s="3" t="s">
        <v>64</v>
      </c>
    </row>
    <row r="752" spans="1:11" ht="42" customHeight="1">
      <c r="A752" s="2" t="s">
        <v>2019</v>
      </c>
      <c r="B752" s="2" t="s">
        <v>2019</v>
      </c>
      <c r="C752" s="2" t="s">
        <v>38</v>
      </c>
      <c r="D752" s="2" t="s">
        <v>39</v>
      </c>
      <c r="E752" s="5">
        <v>-31334</v>
      </c>
      <c r="F752" s="3" t="s">
        <v>482</v>
      </c>
      <c r="G752" s="3" t="s">
        <v>2020</v>
      </c>
      <c r="H752" s="2" t="s">
        <v>62</v>
      </c>
      <c r="I752" s="2" t="s">
        <v>2021</v>
      </c>
      <c r="J752" s="3" t="str">
        <f>HYPERLINK("https://www.boe.es/gazeta/dias/1814/03/17/pdfs/GRE-1814-37.pdf#page=4","Abrir facsímil")</f>
        <v>Abrir facsímil</v>
      </c>
      <c r="K752" s="3" t="s">
        <v>64</v>
      </c>
    </row>
    <row r="753" spans="1:11" ht="42" customHeight="1">
      <c r="A753" s="2" t="s">
        <v>2019</v>
      </c>
      <c r="B753" s="2" t="s">
        <v>2019</v>
      </c>
      <c r="C753" s="2" t="s">
        <v>38</v>
      </c>
      <c r="D753" s="2" t="s">
        <v>39</v>
      </c>
      <c r="E753" s="5">
        <v>-31334</v>
      </c>
      <c r="F753" s="3" t="s">
        <v>482</v>
      </c>
      <c r="G753" s="3" t="s">
        <v>82</v>
      </c>
      <c r="H753" s="2" t="s">
        <v>62</v>
      </c>
      <c r="I753" s="2" t="s">
        <v>2022</v>
      </c>
      <c r="J753" s="3" t="str">
        <f>HYPERLINK("https://www.boe.es/gazeta/dias/1814/03/17/pdfs/GRE-1814-37.pdf#page=3","Abrir facsímil")</f>
        <v>Abrir facsímil</v>
      </c>
      <c r="K753" s="3" t="s">
        <v>64</v>
      </c>
    </row>
    <row r="754" spans="1:11" ht="42" customHeight="1">
      <c r="A754" s="2" t="s">
        <v>2019</v>
      </c>
      <c r="B754" s="2" t="s">
        <v>2019</v>
      </c>
      <c r="C754" s="2" t="s">
        <v>17</v>
      </c>
      <c r="D754" s="2" t="s">
        <v>18</v>
      </c>
      <c r="E754" s="5">
        <v>-31257</v>
      </c>
      <c r="F754" s="3" t="s">
        <v>437</v>
      </c>
      <c r="G754" s="3" t="s">
        <v>107</v>
      </c>
      <c r="H754" s="2" t="s">
        <v>62</v>
      </c>
      <c r="I754" s="2" t="s">
        <v>2023</v>
      </c>
      <c r="J754" s="3" t="str">
        <f>HYPERLINK("https://www.boe.es/gazeta/dias/1814/06/02/pdfs/GMD-1814-80.pdf#page=1","Abrir facsímil")</f>
        <v>Abrir facsímil</v>
      </c>
      <c r="K754" s="3" t="s">
        <v>64</v>
      </c>
    </row>
    <row r="755" spans="1:11" ht="42" customHeight="1">
      <c r="A755" s="2" t="s">
        <v>2024</v>
      </c>
      <c r="B755" s="2" t="s">
        <v>2024</v>
      </c>
      <c r="C755" s="2" t="s">
        <v>38</v>
      </c>
      <c r="D755" s="2" t="s">
        <v>39</v>
      </c>
      <c r="E755" s="5">
        <v>-31269</v>
      </c>
      <c r="F755" s="3" t="s">
        <v>496</v>
      </c>
      <c r="G755" s="3" t="s">
        <v>41</v>
      </c>
      <c r="H755" s="2" t="s">
        <v>62</v>
      </c>
      <c r="I755" s="2" t="s">
        <v>2025</v>
      </c>
      <c r="J755" s="3" t="str">
        <f>HYPERLINK("https://www.boe.es/gazeta/dias/1814/05/21/pdfs/GMD-1814-75.pdf#page=4","Abrir facsímil")</f>
        <v>Abrir facsímil</v>
      </c>
      <c r="K755" s="3" t="s">
        <v>64</v>
      </c>
    </row>
    <row r="756" spans="1:11" ht="42" customHeight="1">
      <c r="A756" s="2" t="s">
        <v>2026</v>
      </c>
      <c r="B756" s="2" t="s">
        <v>2026</v>
      </c>
      <c r="C756" s="2" t="s">
        <v>38</v>
      </c>
      <c r="D756" s="2" t="s">
        <v>39</v>
      </c>
      <c r="E756" s="5">
        <v>-31371</v>
      </c>
      <c r="F756" s="3" t="s">
        <v>476</v>
      </c>
      <c r="G756" s="3" t="s">
        <v>477</v>
      </c>
      <c r="H756" s="2" t="s">
        <v>62</v>
      </c>
      <c r="I756" s="2" t="s">
        <v>2027</v>
      </c>
      <c r="J756" s="3" t="str">
        <f>HYPERLINK("https://www.boe.es/gazeta/dias/1814/02/08/pdfs/GRE-1814-31.pdf#page=6","Abrir facsímil")</f>
        <v>Abrir facsímil</v>
      </c>
      <c r="K756" s="3" t="s">
        <v>64</v>
      </c>
    </row>
    <row r="757" spans="1:11" ht="42" customHeight="1">
      <c r="A757" s="2" t="s">
        <v>2026</v>
      </c>
      <c r="B757" s="2" t="s">
        <v>2026</v>
      </c>
      <c r="C757" s="2" t="s">
        <v>38</v>
      </c>
      <c r="D757" s="2" t="s">
        <v>39</v>
      </c>
      <c r="E757" s="5">
        <v>-31371</v>
      </c>
      <c r="F757" s="3" t="s">
        <v>476</v>
      </c>
      <c r="G757" s="3" t="s">
        <v>99</v>
      </c>
      <c r="H757" s="2" t="s">
        <v>62</v>
      </c>
      <c r="I757" s="2" t="s">
        <v>2028</v>
      </c>
      <c r="J757" s="3" t="str">
        <f>HYPERLINK("https://www.boe.es/gazeta/dias/1814/02/08/pdfs/GRE-1814-31.pdf#page=5","Abrir facsímil")</f>
        <v>Abrir facsímil</v>
      </c>
      <c r="K757" s="3" t="s">
        <v>64</v>
      </c>
    </row>
    <row r="758" spans="1:11" ht="42" customHeight="1">
      <c r="A758" s="2" t="s">
        <v>2026</v>
      </c>
      <c r="B758" s="2" t="s">
        <v>2026</v>
      </c>
      <c r="C758" s="2" t="s">
        <v>38</v>
      </c>
      <c r="D758" s="2" t="s">
        <v>39</v>
      </c>
      <c r="E758" s="5">
        <v>-31369</v>
      </c>
      <c r="F758" s="3" t="s">
        <v>695</v>
      </c>
      <c r="G758" s="3" t="s">
        <v>107</v>
      </c>
      <c r="H758" s="2" t="s">
        <v>62</v>
      </c>
      <c r="I758" s="2" t="s">
        <v>2029</v>
      </c>
      <c r="J758" s="3" t="str">
        <f>HYPERLINK("https://www.boe.es/gazeta/dias/1814/02/10/pdfs/GRE-1814-19.pdf#page=1","Abrir facsímil")</f>
        <v>Abrir facsímil</v>
      </c>
      <c r="K758" s="3" t="s">
        <v>64</v>
      </c>
    </row>
    <row r="759" spans="1:11" ht="42" customHeight="1">
      <c r="A759" s="2" t="s">
        <v>2026</v>
      </c>
      <c r="B759" s="2" t="s">
        <v>2026</v>
      </c>
      <c r="C759" s="2" t="s">
        <v>38</v>
      </c>
      <c r="D759" s="2" t="s">
        <v>39</v>
      </c>
      <c r="E759" s="5">
        <v>-31367</v>
      </c>
      <c r="F759" s="3" t="s">
        <v>857</v>
      </c>
      <c r="G759" s="3" t="s">
        <v>87</v>
      </c>
      <c r="H759" s="2" t="s">
        <v>62</v>
      </c>
      <c r="I759" s="2" t="s">
        <v>2030</v>
      </c>
      <c r="J759" s="3" t="str">
        <f>HYPERLINK("https://www.boe.es/gazeta/dias/1814/02/12/pdfs/GRE-1814-20.pdf#page=2","Abrir facsímil")</f>
        <v>Abrir facsímil</v>
      </c>
      <c r="K759" s="3" t="s">
        <v>64</v>
      </c>
    </row>
    <row r="760" spans="1:11" ht="42" customHeight="1">
      <c r="A760" s="2" t="s">
        <v>2026</v>
      </c>
      <c r="B760" s="2" t="s">
        <v>2026</v>
      </c>
      <c r="C760" s="2" t="s">
        <v>38</v>
      </c>
      <c r="D760" s="2" t="s">
        <v>39</v>
      </c>
      <c r="E760" s="5">
        <v>-31367</v>
      </c>
      <c r="F760" s="3" t="s">
        <v>857</v>
      </c>
      <c r="G760" s="3" t="s">
        <v>82</v>
      </c>
      <c r="H760" s="2" t="s">
        <v>62</v>
      </c>
      <c r="I760" s="2" t="s">
        <v>2031</v>
      </c>
      <c r="J760" s="3" t="str">
        <f>HYPERLINK("https://www.boe.es/gazeta/dias/1814/02/12/pdfs/GRE-1814-20.pdf#page=3","Abrir facsímil")</f>
        <v>Abrir facsímil</v>
      </c>
      <c r="K760" s="3" t="s">
        <v>64</v>
      </c>
    </row>
    <row r="761" spans="1:11" ht="42" customHeight="1">
      <c r="A761" s="2" t="s">
        <v>2026</v>
      </c>
      <c r="B761" s="2" t="s">
        <v>2026</v>
      </c>
      <c r="C761" s="2" t="s">
        <v>38</v>
      </c>
      <c r="D761" s="2" t="s">
        <v>39</v>
      </c>
      <c r="E761" s="5">
        <v>-31362</v>
      </c>
      <c r="F761" s="3" t="s">
        <v>302</v>
      </c>
      <c r="G761" s="3" t="s">
        <v>2032</v>
      </c>
      <c r="H761" s="2" t="s">
        <v>62</v>
      </c>
      <c r="I761" s="2" t="s">
        <v>2033</v>
      </c>
      <c r="J761" s="3" t="str">
        <f>HYPERLINK("https://www.boe.es/gazeta/dias/1814/02/17/pdfs/GRE-1814-22.pdf#page=5","Abrir facsímil")</f>
        <v>Abrir facsímil</v>
      </c>
      <c r="K761" s="3" t="s">
        <v>64</v>
      </c>
    </row>
    <row r="762" spans="1:11" ht="42" customHeight="1">
      <c r="A762" s="2" t="s">
        <v>2026</v>
      </c>
      <c r="B762" s="2" t="s">
        <v>2026</v>
      </c>
      <c r="C762" s="2" t="s">
        <v>38</v>
      </c>
      <c r="D762" s="2" t="s">
        <v>39</v>
      </c>
      <c r="E762" s="5">
        <v>-31362</v>
      </c>
      <c r="F762" s="3" t="s">
        <v>302</v>
      </c>
      <c r="G762" s="3" t="s">
        <v>41</v>
      </c>
      <c r="H762" s="2" t="s">
        <v>62</v>
      </c>
      <c r="I762" s="2" t="s">
        <v>2034</v>
      </c>
      <c r="J762" s="3" t="str">
        <f>HYPERLINK("https://www.boe.es/gazeta/dias/1814/02/17/pdfs/GRE-1814-22.pdf#page=4","Abrir facsímil")</f>
        <v>Abrir facsímil</v>
      </c>
      <c r="K762" s="3" t="s">
        <v>64</v>
      </c>
    </row>
    <row r="763" spans="1:11" ht="42" customHeight="1">
      <c r="A763" s="2" t="s">
        <v>2026</v>
      </c>
      <c r="B763" s="2" t="s">
        <v>2026</v>
      </c>
      <c r="C763" s="2" t="s">
        <v>38</v>
      </c>
      <c r="D763" s="2" t="s">
        <v>39</v>
      </c>
      <c r="E763" s="5">
        <v>-31360</v>
      </c>
      <c r="F763" s="3" t="s">
        <v>480</v>
      </c>
      <c r="G763" s="3" t="s">
        <v>2035</v>
      </c>
      <c r="H763" s="2" t="s">
        <v>62</v>
      </c>
      <c r="I763" s="2" t="s">
        <v>2036</v>
      </c>
      <c r="J763" s="3" t="str">
        <f>HYPERLINK("https://www.boe.es/gazeta/dias/1814/02/19/pdfs/GRE-1814-23.pdf#page=4","Abrir facsímil")</f>
        <v>Abrir facsímil</v>
      </c>
      <c r="K763" s="3" t="s">
        <v>64</v>
      </c>
    </row>
    <row r="764" spans="1:11" ht="42" customHeight="1">
      <c r="A764" s="2" t="s">
        <v>2026</v>
      </c>
      <c r="B764" s="2" t="s">
        <v>2026</v>
      </c>
      <c r="C764" s="2" t="s">
        <v>38</v>
      </c>
      <c r="D764" s="2" t="s">
        <v>39</v>
      </c>
      <c r="E764" s="5">
        <v>-31360</v>
      </c>
      <c r="F764" s="3" t="s">
        <v>480</v>
      </c>
      <c r="G764" s="3" t="s">
        <v>82</v>
      </c>
      <c r="H764" s="2" t="s">
        <v>62</v>
      </c>
      <c r="I764" s="2" t="s">
        <v>2037</v>
      </c>
      <c r="J764" s="3" t="str">
        <f>HYPERLINK("https://www.boe.es/gazeta/dias/1814/02/19/pdfs/GRE-1814-23.pdf#page=3","Abrir facsímil")</f>
        <v>Abrir facsímil</v>
      </c>
      <c r="K764" s="3" t="s">
        <v>64</v>
      </c>
    </row>
    <row r="765" spans="1:11" ht="42" customHeight="1">
      <c r="A765" s="2" t="s">
        <v>2026</v>
      </c>
      <c r="B765" s="2" t="s">
        <v>2026</v>
      </c>
      <c r="C765" s="2" t="s">
        <v>38</v>
      </c>
      <c r="D765" s="2" t="s">
        <v>39</v>
      </c>
      <c r="E765" s="5">
        <v>-31360</v>
      </c>
      <c r="F765" s="3" t="s">
        <v>480</v>
      </c>
      <c r="G765" s="3" t="s">
        <v>99</v>
      </c>
      <c r="H765" s="2" t="s">
        <v>62</v>
      </c>
      <c r="I765" s="2" t="s">
        <v>2038</v>
      </c>
      <c r="J765" s="3" t="str">
        <f>HYPERLINK("https://www.boe.es/gazeta/dias/1814/02/19/pdfs/GRE-1814-23.pdf#page=5","Abrir facsímil")</f>
        <v>Abrir facsímil</v>
      </c>
      <c r="K765" s="3" t="s">
        <v>64</v>
      </c>
    </row>
    <row r="766" spans="1:11" ht="42" customHeight="1">
      <c r="A766" s="2" t="s">
        <v>2026</v>
      </c>
      <c r="B766" s="2" t="s">
        <v>2026</v>
      </c>
      <c r="C766" s="2" t="s">
        <v>38</v>
      </c>
      <c r="D766" s="2" t="s">
        <v>39</v>
      </c>
      <c r="E766" s="5">
        <v>-31355</v>
      </c>
      <c r="F766" s="3" t="s">
        <v>50</v>
      </c>
      <c r="G766" s="3" t="s">
        <v>99</v>
      </c>
      <c r="H766" s="2" t="s">
        <v>62</v>
      </c>
      <c r="I766" s="2" t="s">
        <v>2039</v>
      </c>
      <c r="J766" s="3" t="str">
        <f>HYPERLINK("https://www.boe.es/gazeta/dias/1814/02/24/pdfs/GRE-1814-26.pdf#page=5","Abrir facsímil")</f>
        <v>Abrir facsímil</v>
      </c>
      <c r="K766" s="3" t="s">
        <v>64</v>
      </c>
    </row>
    <row r="767" spans="1:11" ht="42" customHeight="1">
      <c r="A767" s="2" t="s">
        <v>2026</v>
      </c>
      <c r="B767" s="2" t="s">
        <v>2026</v>
      </c>
      <c r="C767" s="2" t="s">
        <v>38</v>
      </c>
      <c r="D767" s="2" t="s">
        <v>39</v>
      </c>
      <c r="E767" s="5">
        <v>-31353</v>
      </c>
      <c r="F767" s="3" t="s">
        <v>247</v>
      </c>
      <c r="G767" s="3" t="s">
        <v>2040</v>
      </c>
      <c r="H767" s="2" t="s">
        <v>62</v>
      </c>
      <c r="I767" s="2" t="s">
        <v>2041</v>
      </c>
      <c r="J767" s="3" t="str">
        <f>HYPERLINK("https://www.boe.es/gazeta/dias/1814/02/26/pdfs/GRE-1814-27.pdf#page=2","Abrir facsímil")</f>
        <v>Abrir facsímil</v>
      </c>
      <c r="K767" s="3" t="s">
        <v>64</v>
      </c>
    </row>
    <row r="768" spans="1:11" ht="42" customHeight="1">
      <c r="A768" s="2" t="s">
        <v>2026</v>
      </c>
      <c r="B768" s="2" t="s">
        <v>2026</v>
      </c>
      <c r="C768" s="2" t="s">
        <v>38</v>
      </c>
      <c r="D768" s="2" t="s">
        <v>39</v>
      </c>
      <c r="E768" s="5">
        <v>-31353</v>
      </c>
      <c r="F768" s="3" t="s">
        <v>247</v>
      </c>
      <c r="G768" s="3" t="s">
        <v>107</v>
      </c>
      <c r="H768" s="2" t="s">
        <v>62</v>
      </c>
      <c r="I768" s="2" t="s">
        <v>2042</v>
      </c>
      <c r="J768" s="3" t="str">
        <f>HYPERLINK("https://www.boe.es/gazeta/dias/1814/02/26/pdfs/GRE-1814-27.pdf#page=1","Abrir facsímil")</f>
        <v>Abrir facsímil</v>
      </c>
      <c r="K768" s="3" t="s">
        <v>64</v>
      </c>
    </row>
    <row r="769" spans="1:11" ht="42" customHeight="1">
      <c r="A769" s="2" t="s">
        <v>2026</v>
      </c>
      <c r="B769" s="2" t="s">
        <v>2026</v>
      </c>
      <c r="C769" s="2" t="s">
        <v>38</v>
      </c>
      <c r="D769" s="2" t="s">
        <v>39</v>
      </c>
      <c r="E769" s="5">
        <v>-31353</v>
      </c>
      <c r="F769" s="3" t="s">
        <v>247</v>
      </c>
      <c r="G769" s="3" t="s">
        <v>20</v>
      </c>
      <c r="H769" s="2" t="s">
        <v>62</v>
      </c>
      <c r="I769" s="2" t="s">
        <v>2043</v>
      </c>
      <c r="J769" s="3" t="str">
        <f>HYPERLINK("https://www.boe.es/gazeta/dias/1814/02/26/pdfs/GRE-1814-27.pdf#page=7","Abrir facsímil")</f>
        <v>Abrir facsímil</v>
      </c>
      <c r="K769" s="3" t="s">
        <v>64</v>
      </c>
    </row>
    <row r="770" spans="1:11" ht="42" customHeight="1">
      <c r="A770" s="2" t="s">
        <v>2026</v>
      </c>
      <c r="B770" s="2" t="s">
        <v>2026</v>
      </c>
      <c r="C770" s="2" t="s">
        <v>38</v>
      </c>
      <c r="D770" s="2" t="s">
        <v>39</v>
      </c>
      <c r="E770" s="5">
        <v>-31346</v>
      </c>
      <c r="F770" s="3" t="s">
        <v>78</v>
      </c>
      <c r="G770" s="3" t="s">
        <v>521</v>
      </c>
      <c r="H770" s="2" t="s">
        <v>62</v>
      </c>
      <c r="I770" s="2" t="s">
        <v>2044</v>
      </c>
      <c r="J770" s="3" t="str">
        <f>HYPERLINK("https://www.boe.es/gazeta/dias/1814/03/05/pdfs/GRE-1814-30.pdf#page=3","Abrir facsímil")</f>
        <v>Abrir facsímil</v>
      </c>
      <c r="K770" s="3" t="s">
        <v>64</v>
      </c>
    </row>
    <row r="771" spans="1:11" ht="42" customHeight="1">
      <c r="A771" s="2" t="s">
        <v>2026</v>
      </c>
      <c r="B771" s="2" t="s">
        <v>2026</v>
      </c>
      <c r="C771" s="2" t="s">
        <v>38</v>
      </c>
      <c r="D771" s="2" t="s">
        <v>39</v>
      </c>
      <c r="E771" s="5">
        <v>-31346</v>
      </c>
      <c r="F771" s="3" t="s">
        <v>78</v>
      </c>
      <c r="G771" s="3" t="s">
        <v>107</v>
      </c>
      <c r="H771" s="2" t="s">
        <v>62</v>
      </c>
      <c r="I771" s="2" t="s">
        <v>2045</v>
      </c>
      <c r="J771" s="3" t="str">
        <f>HYPERLINK("https://www.boe.es/gazeta/dias/1814/03/05/pdfs/GRE-1814-30.pdf#page=1","Abrir facsímil")</f>
        <v>Abrir facsímil</v>
      </c>
      <c r="K771" s="3" t="s">
        <v>64</v>
      </c>
    </row>
    <row r="772" spans="1:11" ht="42" customHeight="1">
      <c r="A772" s="2" t="s">
        <v>2026</v>
      </c>
      <c r="B772" s="2" t="s">
        <v>2026</v>
      </c>
      <c r="C772" s="2" t="s">
        <v>38</v>
      </c>
      <c r="D772" s="2" t="s">
        <v>39</v>
      </c>
      <c r="E772" s="5">
        <v>-31346</v>
      </c>
      <c r="F772" s="3" t="s">
        <v>78</v>
      </c>
      <c r="G772" s="3" t="s">
        <v>87</v>
      </c>
      <c r="H772" s="2" t="s">
        <v>62</v>
      </c>
      <c r="I772" s="2" t="s">
        <v>2046</v>
      </c>
      <c r="J772" s="3" t="str">
        <f>HYPERLINK("https://www.boe.es/gazeta/dias/1814/03/05/pdfs/GRE-1814-30.pdf#page=2","Abrir facsímil")</f>
        <v>Abrir facsímil</v>
      </c>
      <c r="K772" s="3" t="s">
        <v>64</v>
      </c>
    </row>
    <row r="773" spans="1:11" ht="42" customHeight="1">
      <c r="A773" s="2" t="s">
        <v>2026</v>
      </c>
      <c r="B773" s="2" t="s">
        <v>2026</v>
      </c>
      <c r="C773" s="2" t="s">
        <v>38</v>
      </c>
      <c r="D773" s="2" t="s">
        <v>39</v>
      </c>
      <c r="E773" s="5">
        <v>-31343</v>
      </c>
      <c r="F773" s="3" t="s">
        <v>476</v>
      </c>
      <c r="G773" s="3" t="s">
        <v>477</v>
      </c>
      <c r="H773" s="2" t="s">
        <v>62</v>
      </c>
      <c r="I773" s="2" t="s">
        <v>2027</v>
      </c>
      <c r="J773" s="3" t="str">
        <f>HYPERLINK("https://www.boe.es/gazeta/dias/1814/03/08/pdfs/GRE-1814-31.pdf#page=6","Abrir facsímil")</f>
        <v>Abrir facsímil</v>
      </c>
      <c r="K773" s="3" t="s">
        <v>64</v>
      </c>
    </row>
    <row r="774" spans="1:11" ht="42" customHeight="1">
      <c r="A774" s="2" t="s">
        <v>2026</v>
      </c>
      <c r="B774" s="2" t="s">
        <v>2026</v>
      </c>
      <c r="C774" s="2" t="s">
        <v>38</v>
      </c>
      <c r="D774" s="2" t="s">
        <v>39</v>
      </c>
      <c r="E774" s="5">
        <v>-31343</v>
      </c>
      <c r="F774" s="3" t="s">
        <v>476</v>
      </c>
      <c r="G774" s="3" t="s">
        <v>99</v>
      </c>
      <c r="H774" s="2" t="s">
        <v>62</v>
      </c>
      <c r="I774" s="2" t="s">
        <v>2028</v>
      </c>
      <c r="J774" s="3" t="str">
        <f>HYPERLINK("https://www.boe.es/gazeta/dias/1814/03/08/pdfs/GRE-1814-31.pdf#page=5","Abrir facsímil")</f>
        <v>Abrir facsímil</v>
      </c>
      <c r="K774" s="3" t="s">
        <v>64</v>
      </c>
    </row>
    <row r="775" spans="1:11" ht="42" customHeight="1">
      <c r="A775" s="2" t="s">
        <v>2026</v>
      </c>
      <c r="B775" s="2" t="s">
        <v>2026</v>
      </c>
      <c r="C775" s="2" t="s">
        <v>38</v>
      </c>
      <c r="D775" s="2" t="s">
        <v>39</v>
      </c>
      <c r="E775" s="5">
        <v>-31336</v>
      </c>
      <c r="F775" s="3" t="s">
        <v>1789</v>
      </c>
      <c r="G775" s="3" t="s">
        <v>1957</v>
      </c>
      <c r="H775" s="2" t="s">
        <v>62</v>
      </c>
      <c r="I775" s="2" t="s">
        <v>2047</v>
      </c>
      <c r="J775" s="3" t="str">
        <f>HYPERLINK("https://www.boe.es/gazeta/dias/1814/03/15/pdfs/GRE-1814-36.pdf#page=5","Abrir facsímil")</f>
        <v>Abrir facsímil</v>
      </c>
      <c r="K775" s="3" t="s">
        <v>64</v>
      </c>
    </row>
    <row r="776" spans="1:11" ht="42" customHeight="1">
      <c r="A776" s="2" t="s">
        <v>2026</v>
      </c>
      <c r="B776" s="2" t="s">
        <v>2026</v>
      </c>
      <c r="C776" s="2" t="s">
        <v>38</v>
      </c>
      <c r="D776" s="2" t="s">
        <v>39</v>
      </c>
      <c r="E776" s="5">
        <v>-31336</v>
      </c>
      <c r="F776" s="3" t="s">
        <v>1789</v>
      </c>
      <c r="G776" s="3" t="s">
        <v>57</v>
      </c>
      <c r="H776" s="2" t="s">
        <v>62</v>
      </c>
      <c r="I776" s="2" t="s">
        <v>2048</v>
      </c>
      <c r="J776" s="3" t="str">
        <f>HYPERLINK("https://www.boe.es/gazeta/dias/1814/03/15/pdfs/GRE-1814-36.pdf#page=6","Abrir facsímil")</f>
        <v>Abrir facsímil</v>
      </c>
      <c r="K776" s="3" t="s">
        <v>64</v>
      </c>
    </row>
    <row r="777" spans="1:11" ht="42" customHeight="1">
      <c r="A777" s="2" t="s">
        <v>2026</v>
      </c>
      <c r="B777" s="2" t="s">
        <v>2026</v>
      </c>
      <c r="C777" s="2" t="s">
        <v>38</v>
      </c>
      <c r="D777" s="2" t="s">
        <v>39</v>
      </c>
      <c r="E777" s="5">
        <v>-31334</v>
      </c>
      <c r="F777" s="3" t="s">
        <v>482</v>
      </c>
      <c r="G777" s="3" t="s">
        <v>2020</v>
      </c>
      <c r="H777" s="2" t="s">
        <v>62</v>
      </c>
      <c r="I777" s="2" t="s">
        <v>2049</v>
      </c>
      <c r="J777" s="3" t="str">
        <f>HYPERLINK("https://www.boe.es/gazeta/dias/1814/03/17/pdfs/GRE-1814-37.pdf#page=4","Abrir facsímil")</f>
        <v>Abrir facsímil</v>
      </c>
      <c r="K777" s="3" t="s">
        <v>64</v>
      </c>
    </row>
    <row r="778" spans="1:11" ht="42" customHeight="1">
      <c r="A778" s="2" t="s">
        <v>2026</v>
      </c>
      <c r="B778" s="2" t="s">
        <v>2026</v>
      </c>
      <c r="C778" s="2" t="s">
        <v>38</v>
      </c>
      <c r="D778" s="2" t="s">
        <v>39</v>
      </c>
      <c r="E778" s="5">
        <v>-31334</v>
      </c>
      <c r="F778" s="3" t="s">
        <v>482</v>
      </c>
      <c r="G778" s="3" t="s">
        <v>82</v>
      </c>
      <c r="H778" s="2" t="s">
        <v>62</v>
      </c>
      <c r="I778" s="2" t="s">
        <v>2050</v>
      </c>
      <c r="J778" s="3" t="str">
        <f>HYPERLINK("https://www.boe.es/gazeta/dias/1814/03/17/pdfs/GRE-1814-37.pdf#page=3","Abrir facsímil")</f>
        <v>Abrir facsímil</v>
      </c>
      <c r="K778" s="3" t="s">
        <v>64</v>
      </c>
    </row>
    <row r="779" spans="1:11" ht="42" customHeight="1">
      <c r="A779" s="2" t="s">
        <v>2026</v>
      </c>
      <c r="B779" s="2" t="s">
        <v>2026</v>
      </c>
      <c r="C779" s="2" t="s">
        <v>38</v>
      </c>
      <c r="D779" s="2" t="s">
        <v>39</v>
      </c>
      <c r="E779" s="5">
        <v>-31334</v>
      </c>
      <c r="F779" s="3" t="s">
        <v>482</v>
      </c>
      <c r="G779" s="3" t="s">
        <v>99</v>
      </c>
      <c r="H779" s="2" t="s">
        <v>62</v>
      </c>
      <c r="I779" s="2" t="s">
        <v>2051</v>
      </c>
      <c r="J779" s="3" t="str">
        <f>HYPERLINK("https://www.boe.es/gazeta/dias/1814/03/17/pdfs/GRE-1814-37.pdf#page=5","Abrir facsímil")</f>
        <v>Abrir facsímil</v>
      </c>
      <c r="K779" s="3" t="s">
        <v>64</v>
      </c>
    </row>
    <row r="780" spans="1:11" ht="42" customHeight="1">
      <c r="A780" s="2" t="s">
        <v>2026</v>
      </c>
      <c r="B780" s="2" t="s">
        <v>2026</v>
      </c>
      <c r="C780" s="2" t="s">
        <v>38</v>
      </c>
      <c r="D780" s="2" t="s">
        <v>39</v>
      </c>
      <c r="E780" s="5">
        <v>-31329</v>
      </c>
      <c r="F780" s="3" t="s">
        <v>621</v>
      </c>
      <c r="G780" s="3" t="s">
        <v>622</v>
      </c>
      <c r="H780" s="2" t="s">
        <v>62</v>
      </c>
      <c r="I780" s="2" t="s">
        <v>2052</v>
      </c>
      <c r="J780" s="3" t="str">
        <f>HYPERLINK("https://www.boe.es/gazeta/dias/1814/03/22/pdfs/GRE-1814-39.pdf#page=2","Abrir facsímil")</f>
        <v>Abrir facsímil</v>
      </c>
      <c r="K780" s="3" t="s">
        <v>64</v>
      </c>
    </row>
    <row r="781" spans="1:11" ht="42" customHeight="1">
      <c r="A781" s="2" t="s">
        <v>2026</v>
      </c>
      <c r="B781" s="2" t="s">
        <v>2026</v>
      </c>
      <c r="C781" s="2" t="s">
        <v>38</v>
      </c>
      <c r="D781" s="2" t="s">
        <v>39</v>
      </c>
      <c r="E781" s="5">
        <v>-31329</v>
      </c>
      <c r="F781" s="3" t="s">
        <v>621</v>
      </c>
      <c r="G781" s="3" t="s">
        <v>107</v>
      </c>
      <c r="H781" s="2" t="s">
        <v>62</v>
      </c>
      <c r="I781" s="2" t="s">
        <v>2053</v>
      </c>
      <c r="J781" s="3" t="str">
        <f>HYPERLINK("https://www.boe.es/gazeta/dias/1814/03/22/pdfs/GRE-1814-39.pdf#page=1","Abrir facsímil")</f>
        <v>Abrir facsímil</v>
      </c>
      <c r="K781" s="3" t="s">
        <v>64</v>
      </c>
    </row>
    <row r="782" spans="1:11" ht="42" customHeight="1">
      <c r="A782" s="2" t="s">
        <v>2026</v>
      </c>
      <c r="B782" s="2" t="s">
        <v>2026</v>
      </c>
      <c r="C782" s="2" t="s">
        <v>38</v>
      </c>
      <c r="D782" s="2" t="s">
        <v>39</v>
      </c>
      <c r="E782" s="5">
        <v>-31329</v>
      </c>
      <c r="F782" s="3" t="s">
        <v>621</v>
      </c>
      <c r="G782" s="3" t="s">
        <v>82</v>
      </c>
      <c r="H782" s="2" t="s">
        <v>62</v>
      </c>
      <c r="I782" s="2" t="s">
        <v>2054</v>
      </c>
      <c r="J782" s="3" t="str">
        <f>HYPERLINK("https://www.boe.es/gazeta/dias/1814/03/22/pdfs/GRE-1814-39.pdf#page=3","Abrir facsímil")</f>
        <v>Abrir facsímil</v>
      </c>
      <c r="K782" s="3" t="s">
        <v>64</v>
      </c>
    </row>
    <row r="783" spans="1:11" ht="42" customHeight="1">
      <c r="A783" s="2" t="s">
        <v>2026</v>
      </c>
      <c r="B783" s="2" t="s">
        <v>2026</v>
      </c>
      <c r="C783" s="2" t="s">
        <v>38</v>
      </c>
      <c r="D783" s="2" t="s">
        <v>39</v>
      </c>
      <c r="E783" s="5">
        <v>-31327</v>
      </c>
      <c r="F783" s="3" t="s">
        <v>180</v>
      </c>
      <c r="G783" s="3" t="s">
        <v>2055</v>
      </c>
      <c r="H783" s="2" t="s">
        <v>62</v>
      </c>
      <c r="I783" s="2" t="s">
        <v>2056</v>
      </c>
      <c r="J783" s="3" t="str">
        <f>HYPERLINK("https://www.boe.es/gazeta/dias/1814/03/24/pdfs/GRE-1814-41.pdf#page=3","Abrir facsímil")</f>
        <v>Abrir facsímil</v>
      </c>
      <c r="K783" s="3" t="s">
        <v>64</v>
      </c>
    </row>
    <row r="784" spans="1:11" ht="42" customHeight="1">
      <c r="A784" s="2" t="s">
        <v>2026</v>
      </c>
      <c r="B784" s="2" t="s">
        <v>2026</v>
      </c>
      <c r="C784" s="2" t="s">
        <v>38</v>
      </c>
      <c r="D784" s="2" t="s">
        <v>39</v>
      </c>
      <c r="E784" s="5">
        <v>-31327</v>
      </c>
      <c r="F784" s="3" t="s">
        <v>180</v>
      </c>
      <c r="G784" s="3" t="s">
        <v>87</v>
      </c>
      <c r="H784" s="2" t="s">
        <v>62</v>
      </c>
      <c r="I784" s="2" t="s">
        <v>2057</v>
      </c>
      <c r="J784" s="3" t="str">
        <f>HYPERLINK("https://www.boe.es/gazeta/dias/1814/03/24/pdfs/GRE-1814-41.pdf#page=2","Abrir facsímil")</f>
        <v>Abrir facsímil</v>
      </c>
      <c r="K784" s="3" t="s">
        <v>64</v>
      </c>
    </row>
    <row r="785" spans="1:11" ht="42" customHeight="1">
      <c r="A785" s="2" t="s">
        <v>2026</v>
      </c>
      <c r="B785" s="2" t="s">
        <v>2026</v>
      </c>
      <c r="C785" s="2" t="s">
        <v>38</v>
      </c>
      <c r="D785" s="2" t="s">
        <v>39</v>
      </c>
      <c r="E785" s="5">
        <v>-31327</v>
      </c>
      <c r="F785" s="3" t="s">
        <v>180</v>
      </c>
      <c r="G785" s="3" t="s">
        <v>41</v>
      </c>
      <c r="H785" s="2" t="s">
        <v>62</v>
      </c>
      <c r="I785" s="2" t="s">
        <v>2058</v>
      </c>
      <c r="J785" s="3" t="str">
        <f>HYPERLINK("https://www.boe.es/gazeta/dias/1814/03/24/pdfs/GRE-1814-41.pdf#page=4","Abrir facsímil")</f>
        <v>Abrir facsímil</v>
      </c>
      <c r="K785" s="3" t="s">
        <v>64</v>
      </c>
    </row>
    <row r="786" spans="1:11" ht="42" customHeight="1">
      <c r="A786" s="2" t="s">
        <v>2026</v>
      </c>
      <c r="B786" s="2" t="s">
        <v>2026</v>
      </c>
      <c r="C786" s="2" t="s">
        <v>38</v>
      </c>
      <c r="D786" s="2" t="s">
        <v>39</v>
      </c>
      <c r="E786" s="5">
        <v>-31327</v>
      </c>
      <c r="F786" s="3" t="s">
        <v>180</v>
      </c>
      <c r="G786" s="3" t="s">
        <v>99</v>
      </c>
      <c r="H786" s="2" t="s">
        <v>62</v>
      </c>
      <c r="I786" s="2" t="s">
        <v>2059</v>
      </c>
      <c r="J786" s="3" t="str">
        <f>HYPERLINK("https://www.boe.es/gazeta/dias/1814/03/24/pdfs/GRE-1814-41.pdf#page=5","Abrir facsímil")</f>
        <v>Abrir facsímil</v>
      </c>
      <c r="K786" s="3" t="s">
        <v>64</v>
      </c>
    </row>
    <row r="787" spans="1:11" ht="42" customHeight="1">
      <c r="A787" s="2" t="s">
        <v>2026</v>
      </c>
      <c r="B787" s="2" t="s">
        <v>2026</v>
      </c>
      <c r="C787" s="2" t="s">
        <v>38</v>
      </c>
      <c r="D787" s="2" t="s">
        <v>39</v>
      </c>
      <c r="E787" s="5">
        <v>-31325</v>
      </c>
      <c r="F787" s="3" t="s">
        <v>67</v>
      </c>
      <c r="G787" s="3" t="s">
        <v>2060</v>
      </c>
      <c r="H787" s="2" t="s">
        <v>62</v>
      </c>
      <c r="I787" s="2" t="s">
        <v>2061</v>
      </c>
      <c r="J787" s="3" t="str">
        <f>HYPERLINK("https://www.boe.es/gazeta/dias/1814/03/26/pdfs/GRE-1814-43.pdf#page=4","Abrir facsímil")</f>
        <v>Abrir facsímil</v>
      </c>
      <c r="K787" s="3" t="s">
        <v>64</v>
      </c>
    </row>
    <row r="788" spans="1:11" ht="42" customHeight="1">
      <c r="A788" s="2" t="s">
        <v>2026</v>
      </c>
      <c r="B788" s="2" t="s">
        <v>2026</v>
      </c>
      <c r="C788" s="2" t="s">
        <v>38</v>
      </c>
      <c r="D788" s="2" t="s">
        <v>39</v>
      </c>
      <c r="E788" s="5">
        <v>-31325</v>
      </c>
      <c r="F788" s="3" t="s">
        <v>67</v>
      </c>
      <c r="G788" s="3" t="s">
        <v>99</v>
      </c>
      <c r="H788" s="2" t="s">
        <v>62</v>
      </c>
      <c r="I788" s="2" t="s">
        <v>2062</v>
      </c>
      <c r="J788" s="3" t="str">
        <f>HYPERLINK("https://www.boe.es/gazeta/dias/1814/03/26/pdfs/GRE-1814-43.pdf#page=5","Abrir facsímil")</f>
        <v>Abrir facsímil</v>
      </c>
      <c r="K788" s="3" t="s">
        <v>64</v>
      </c>
    </row>
    <row r="789" spans="1:11" ht="42" customHeight="1">
      <c r="A789" s="2" t="s">
        <v>2026</v>
      </c>
      <c r="B789" s="2" t="s">
        <v>2026</v>
      </c>
      <c r="C789" s="2" t="s">
        <v>38</v>
      </c>
      <c r="D789" s="2" t="s">
        <v>39</v>
      </c>
      <c r="E789" s="5">
        <v>-31320</v>
      </c>
      <c r="F789" s="3" t="s">
        <v>40</v>
      </c>
      <c r="G789" s="3" t="s">
        <v>87</v>
      </c>
      <c r="H789" s="2" t="s">
        <v>62</v>
      </c>
      <c r="I789" s="2" t="s">
        <v>2063</v>
      </c>
      <c r="J789" s="3" t="str">
        <f>HYPERLINK("https://www.boe.es/gazeta/dias/1814/03/31/pdfs/GRE-1814-46.pdf#page=2","Abrir facsímil")</f>
        <v>Abrir facsímil</v>
      </c>
      <c r="K789" s="3" t="s">
        <v>64</v>
      </c>
    </row>
    <row r="790" spans="1:11" ht="42" customHeight="1">
      <c r="A790" s="2" t="s">
        <v>2026</v>
      </c>
      <c r="B790" s="2" t="s">
        <v>2026</v>
      </c>
      <c r="C790" s="2" t="s">
        <v>38</v>
      </c>
      <c r="D790" s="2" t="s">
        <v>39</v>
      </c>
      <c r="E790" s="5">
        <v>-31318</v>
      </c>
      <c r="F790" s="3" t="s">
        <v>400</v>
      </c>
      <c r="G790" s="3" t="s">
        <v>87</v>
      </c>
      <c r="H790" s="2" t="s">
        <v>62</v>
      </c>
      <c r="I790" s="2" t="s">
        <v>2064</v>
      </c>
      <c r="J790" s="3" t="str">
        <f>HYPERLINK("https://www.boe.es/gazeta/dias/1814/04/02/pdfs/GRE-1814-47.pdf#page=2","Abrir facsímil")</f>
        <v>Abrir facsímil</v>
      </c>
      <c r="K790" s="3" t="s">
        <v>64</v>
      </c>
    </row>
    <row r="791" spans="1:11" ht="42" customHeight="1">
      <c r="A791" s="2" t="s">
        <v>2026</v>
      </c>
      <c r="B791" s="2" t="s">
        <v>2026</v>
      </c>
      <c r="C791" s="2" t="s">
        <v>38</v>
      </c>
      <c r="D791" s="2" t="s">
        <v>39</v>
      </c>
      <c r="E791" s="5">
        <v>-31308</v>
      </c>
      <c r="F791" s="3" t="s">
        <v>210</v>
      </c>
      <c r="G791" s="3" t="s">
        <v>99</v>
      </c>
      <c r="H791" s="2" t="s">
        <v>62</v>
      </c>
      <c r="I791" s="2" t="s">
        <v>2065</v>
      </c>
      <c r="J791" s="3" t="str">
        <f>HYPERLINK("https://www.boe.es/gazeta/dias/1814/04/12/pdfs/GRE-1814-52.pdf#page=5","Abrir facsímil")</f>
        <v>Abrir facsímil</v>
      </c>
      <c r="K791" s="3" t="s">
        <v>64</v>
      </c>
    </row>
    <row r="792" spans="1:11" ht="42" customHeight="1">
      <c r="A792" s="2" t="s">
        <v>2026</v>
      </c>
      <c r="B792" s="2" t="s">
        <v>2026</v>
      </c>
      <c r="C792" s="2" t="s">
        <v>38</v>
      </c>
      <c r="D792" s="2" t="s">
        <v>39</v>
      </c>
      <c r="E792" s="5">
        <v>-31304</v>
      </c>
      <c r="F792" s="3" t="s">
        <v>1964</v>
      </c>
      <c r="G792" s="3" t="s">
        <v>87</v>
      </c>
      <c r="H792" s="2" t="s">
        <v>62</v>
      </c>
      <c r="I792" s="2" t="s">
        <v>2066</v>
      </c>
      <c r="J792" s="3" t="str">
        <f>HYPERLINK("https://www.boe.es/gazeta/dias/1814/04/16/pdfs/GRE-1814-55.pdf#page=2","Abrir facsímil")</f>
        <v>Abrir facsímil</v>
      </c>
      <c r="K792" s="3" t="s">
        <v>64</v>
      </c>
    </row>
    <row r="793" spans="1:11" ht="42" customHeight="1">
      <c r="A793" s="2" t="s">
        <v>2026</v>
      </c>
      <c r="B793" s="2" t="s">
        <v>2026</v>
      </c>
      <c r="C793" s="2" t="s">
        <v>38</v>
      </c>
      <c r="D793" s="2" t="s">
        <v>39</v>
      </c>
      <c r="E793" s="5">
        <v>-31297</v>
      </c>
      <c r="F793" s="3" t="s">
        <v>737</v>
      </c>
      <c r="G793" s="3" t="s">
        <v>2067</v>
      </c>
      <c r="H793" s="2" t="s">
        <v>62</v>
      </c>
      <c r="I793" s="2" t="s">
        <v>2068</v>
      </c>
      <c r="J793" s="3" t="str">
        <f>HYPERLINK("https://www.boe.es/gazeta/dias/1814/04/23/pdfs/GRE-1814-59.pdf#page=3","Abrir facsímil")</f>
        <v>Abrir facsímil</v>
      </c>
      <c r="K793" s="3" t="s">
        <v>64</v>
      </c>
    </row>
    <row r="794" spans="1:11" ht="42" customHeight="1">
      <c r="A794" s="2" t="s">
        <v>2026</v>
      </c>
      <c r="B794" s="2" t="s">
        <v>2026</v>
      </c>
      <c r="C794" s="2" t="s">
        <v>38</v>
      </c>
      <c r="D794" s="2" t="s">
        <v>39</v>
      </c>
      <c r="E794" s="5">
        <v>-31227</v>
      </c>
      <c r="F794" s="3" t="s">
        <v>102</v>
      </c>
      <c r="G794" s="3" t="s">
        <v>107</v>
      </c>
      <c r="H794" s="2" t="s">
        <v>62</v>
      </c>
      <c r="I794" s="2" t="s">
        <v>2069</v>
      </c>
      <c r="J794" s="3" t="str">
        <f>HYPERLINK("https://www.boe.es/gazeta/dias/1814/07/02/pdfs/GMD-1814-93.pdf#page=1","Abrir facsímil")</f>
        <v>Abrir facsímil</v>
      </c>
      <c r="K794" s="3" t="s">
        <v>64</v>
      </c>
    </row>
    <row r="795" spans="1:11" ht="42" customHeight="1">
      <c r="A795" s="2" t="s">
        <v>2026</v>
      </c>
      <c r="B795" s="2" t="s">
        <v>2026</v>
      </c>
      <c r="C795" s="2" t="s">
        <v>17</v>
      </c>
      <c r="D795" s="2" t="s">
        <v>18</v>
      </c>
      <c r="E795" s="5">
        <v>-31227</v>
      </c>
      <c r="F795" s="3" t="s">
        <v>102</v>
      </c>
      <c r="G795" s="3" t="s">
        <v>87</v>
      </c>
      <c r="H795" s="2" t="s">
        <v>62</v>
      </c>
      <c r="I795" s="2" t="s">
        <v>2070</v>
      </c>
      <c r="J795" s="3" t="str">
        <f>HYPERLINK("https://www.boe.es/gazeta/dias/1814/07/02/pdfs/GMD-1814-93.pdf#page=2","Abrir facsímil")</f>
        <v>Abrir facsímil</v>
      </c>
      <c r="K795" s="3" t="s">
        <v>64</v>
      </c>
    </row>
    <row r="796" spans="1:11" ht="42" customHeight="1">
      <c r="A796" s="2" t="s">
        <v>2026</v>
      </c>
      <c r="B796" s="2" t="s">
        <v>2026</v>
      </c>
      <c r="C796" s="2" t="s">
        <v>17</v>
      </c>
      <c r="D796" s="2" t="s">
        <v>18</v>
      </c>
      <c r="E796" s="5">
        <v>-31222</v>
      </c>
      <c r="F796" s="3" t="s">
        <v>153</v>
      </c>
      <c r="G796" s="3" t="s">
        <v>82</v>
      </c>
      <c r="H796" s="2" t="s">
        <v>62</v>
      </c>
      <c r="I796" s="2" t="s">
        <v>2071</v>
      </c>
      <c r="J796" s="3" t="str">
        <f>HYPERLINK("https://www.boe.es/gazeta/dias/1814/07/07/pdfs/GMD-1814-95.pdf#page=3","Abrir facsímil")</f>
        <v>Abrir facsímil</v>
      </c>
      <c r="K796" s="3" t="s">
        <v>64</v>
      </c>
    </row>
    <row r="797" spans="1:11" ht="42" customHeight="1">
      <c r="A797" s="2" t="s">
        <v>2026</v>
      </c>
      <c r="B797" s="2" t="s">
        <v>2026</v>
      </c>
      <c r="C797" s="2" t="s">
        <v>38</v>
      </c>
      <c r="D797" s="2" t="s">
        <v>39</v>
      </c>
      <c r="E797" s="5">
        <v>-31208</v>
      </c>
      <c r="F797" s="3" t="s">
        <v>509</v>
      </c>
      <c r="G797" s="3" t="s">
        <v>82</v>
      </c>
      <c r="H797" s="2" t="s">
        <v>62</v>
      </c>
      <c r="I797" s="2" t="s">
        <v>2072</v>
      </c>
      <c r="J797" s="3" t="str">
        <f>HYPERLINK("https://www.boe.es/gazeta/dias/1814/07/21/pdfs/GMD-1814-101.pdf#page=3","Abrir facsímil")</f>
        <v>Abrir facsímil</v>
      </c>
      <c r="K797" s="3" t="s">
        <v>64</v>
      </c>
    </row>
    <row r="798" spans="1:11" ht="42" customHeight="1">
      <c r="A798" s="2" t="s">
        <v>2026</v>
      </c>
      <c r="B798" s="2" t="s">
        <v>2026</v>
      </c>
      <c r="C798" s="2" t="s">
        <v>687</v>
      </c>
      <c r="D798" s="2" t="s">
        <v>27</v>
      </c>
      <c r="E798" s="5">
        <v>-31196</v>
      </c>
      <c r="F798" s="3" t="s">
        <v>828</v>
      </c>
      <c r="G798" s="3" t="s">
        <v>2073</v>
      </c>
      <c r="H798" s="2" t="s">
        <v>62</v>
      </c>
      <c r="I798" s="2" t="s">
        <v>2074</v>
      </c>
      <c r="J798" s="3" t="str">
        <f>HYPERLINK("https://www.boe.es/gazeta/dias/1814/08/02/pdfs/GMD-1814-106.pdf#page=3","Abrir facsímil")</f>
        <v>Abrir facsímil</v>
      </c>
      <c r="K798" s="3" t="s">
        <v>64</v>
      </c>
    </row>
    <row r="799" spans="1:11" ht="42" customHeight="1">
      <c r="A799" s="2" t="s">
        <v>2026</v>
      </c>
      <c r="B799" s="2" t="s">
        <v>2026</v>
      </c>
      <c r="C799" s="2" t="s">
        <v>38</v>
      </c>
      <c r="D799" s="2" t="s">
        <v>39</v>
      </c>
      <c r="E799" s="5">
        <v>-31178</v>
      </c>
      <c r="F799" s="3" t="s">
        <v>1390</v>
      </c>
      <c r="G799" s="3" t="s">
        <v>87</v>
      </c>
      <c r="H799" s="2" t="s">
        <v>62</v>
      </c>
      <c r="I799" s="2" t="s">
        <v>2075</v>
      </c>
      <c r="J799" s="3" t="str">
        <f>HYPERLINK("https://www.boe.es/gazeta/dias/1814/08/20/pdfs/GMD-1814-114.pdf#page=2","Abrir facsímil")</f>
        <v>Abrir facsímil</v>
      </c>
      <c r="K799" s="3" t="s">
        <v>64</v>
      </c>
    </row>
    <row r="800" spans="1:11" ht="42" customHeight="1">
      <c r="A800" s="2" t="s">
        <v>2076</v>
      </c>
      <c r="B800" s="2" t="s">
        <v>2076</v>
      </c>
      <c r="C800" s="2" t="s">
        <v>38</v>
      </c>
      <c r="D800" s="2" t="s">
        <v>39</v>
      </c>
      <c r="E800" s="5">
        <v>-31369</v>
      </c>
      <c r="F800" s="3" t="s">
        <v>695</v>
      </c>
      <c r="G800" s="3" t="s">
        <v>87</v>
      </c>
      <c r="H800" s="2" t="s">
        <v>62</v>
      </c>
      <c r="I800" s="2" t="s">
        <v>2077</v>
      </c>
      <c r="J800" s="3" t="str">
        <f>HYPERLINK("https://www.boe.es/gazeta/dias/1814/02/10/pdfs/GRE-1814-19.pdf#page=2","Abrir facsímil")</f>
        <v>Abrir facsímil</v>
      </c>
      <c r="K800" s="3" t="s">
        <v>64</v>
      </c>
    </row>
    <row r="801" spans="1:11" ht="42" customHeight="1">
      <c r="A801" s="2" t="s">
        <v>2078</v>
      </c>
      <c r="B801" s="2" t="s">
        <v>2078</v>
      </c>
      <c r="C801" s="2" t="s">
        <v>38</v>
      </c>
      <c r="D801" s="2" t="s">
        <v>39</v>
      </c>
      <c r="E801" s="5">
        <v>-31327</v>
      </c>
      <c r="F801" s="3" t="s">
        <v>180</v>
      </c>
      <c r="G801" s="3" t="s">
        <v>99</v>
      </c>
      <c r="H801" s="2" t="s">
        <v>62</v>
      </c>
      <c r="I801" s="2" t="s">
        <v>2079</v>
      </c>
      <c r="J801" s="3" t="str">
        <f>HYPERLINK("https://www.boe.es/gazeta/dias/1814/03/24/pdfs/GRE-1814-41.pdf#page=5","Abrir facsímil")</f>
        <v>Abrir facsímil</v>
      </c>
      <c r="K801" s="3" t="s">
        <v>64</v>
      </c>
    </row>
    <row r="802" spans="1:11" ht="42" customHeight="1">
      <c r="A802" s="2" t="s">
        <v>2080</v>
      </c>
      <c r="B802" s="2" t="s">
        <v>2080</v>
      </c>
      <c r="C802" s="2" t="s">
        <v>38</v>
      </c>
      <c r="D802" s="2" t="s">
        <v>39</v>
      </c>
      <c r="E802" s="5">
        <v>-31374</v>
      </c>
      <c r="F802" s="3" t="s">
        <v>474</v>
      </c>
      <c r="G802" s="3" t="s">
        <v>41</v>
      </c>
      <c r="H802" s="2" t="s">
        <v>62</v>
      </c>
      <c r="I802" s="2" t="s">
        <v>2081</v>
      </c>
      <c r="J802" s="3" t="str">
        <f>HYPERLINK("https://www.boe.es/gazeta/dias/1814/02/05/pdfs/GRE-1814-17.pdf#page=4","Abrir facsímil")</f>
        <v>Abrir facsímil</v>
      </c>
      <c r="K802" s="3" t="s">
        <v>64</v>
      </c>
    </row>
    <row r="803" spans="1:11" ht="42" customHeight="1">
      <c r="A803" s="2" t="s">
        <v>2082</v>
      </c>
      <c r="B803" s="2" t="s">
        <v>2082</v>
      </c>
      <c r="C803" s="2" t="s">
        <v>38</v>
      </c>
      <c r="D803" s="2" t="s">
        <v>39</v>
      </c>
      <c r="E803" s="5">
        <v>-31334</v>
      </c>
      <c r="F803" s="3" t="s">
        <v>482</v>
      </c>
      <c r="G803" s="3" t="s">
        <v>2020</v>
      </c>
      <c r="H803" s="2" t="s">
        <v>62</v>
      </c>
      <c r="I803" s="2" t="s">
        <v>2083</v>
      </c>
      <c r="J803" s="3" t="str">
        <f>HYPERLINK("https://www.boe.es/gazeta/dias/1814/03/17/pdfs/GRE-1814-37.pdf#page=4","Abrir facsímil")</f>
        <v>Abrir facsímil</v>
      </c>
      <c r="K803" s="3" t="s">
        <v>64</v>
      </c>
    </row>
    <row r="804" spans="1:11" ht="42" customHeight="1">
      <c r="A804" s="2" t="s">
        <v>2084</v>
      </c>
      <c r="B804" s="2" t="s">
        <v>2084</v>
      </c>
      <c r="C804" s="2" t="s">
        <v>38</v>
      </c>
      <c r="D804" s="2" t="s">
        <v>39</v>
      </c>
      <c r="E804" s="5">
        <v>-31318</v>
      </c>
      <c r="F804" s="3" t="s">
        <v>400</v>
      </c>
      <c r="G804" s="3" t="s">
        <v>82</v>
      </c>
      <c r="H804" s="2" t="s">
        <v>62</v>
      </c>
      <c r="I804" s="2" t="s">
        <v>2085</v>
      </c>
      <c r="J804" s="3" t="str">
        <f>HYPERLINK("https://www.boe.es/gazeta/dias/1814/04/02/pdfs/GRE-1814-47.pdf#page=3","Abrir facsímil")</f>
        <v>Abrir facsímil</v>
      </c>
      <c r="K804" s="3" t="s">
        <v>64</v>
      </c>
    </row>
    <row r="805" spans="1:11" ht="42" customHeight="1">
      <c r="A805" s="2" t="s">
        <v>2086</v>
      </c>
      <c r="B805" s="2" t="s">
        <v>2086</v>
      </c>
      <c r="C805" s="2" t="s">
        <v>38</v>
      </c>
      <c r="D805" s="2" t="s">
        <v>314</v>
      </c>
      <c r="E805" s="5">
        <v>-31165</v>
      </c>
      <c r="F805" s="3" t="s">
        <v>2087</v>
      </c>
      <c r="G805" s="3" t="s">
        <v>82</v>
      </c>
      <c r="H805" s="2" t="s">
        <v>62</v>
      </c>
      <c r="I805" s="2" t="s">
        <v>2088</v>
      </c>
      <c r="J805" s="3" t="str">
        <f>HYPERLINK("https://www.boe.es/gazeta/dias/1814/09/02/pdfs/GMD-1814-120E.pdf#page=3","Abrir facsímil")</f>
        <v>Abrir facsímil</v>
      </c>
      <c r="K805" s="3" t="s">
        <v>64</v>
      </c>
    </row>
    <row r="806" spans="1:11" ht="42" customHeight="1">
      <c r="A806" s="2" t="s">
        <v>2089</v>
      </c>
      <c r="B806" s="2" t="s">
        <v>2090</v>
      </c>
      <c r="C806" s="2" t="s">
        <v>32</v>
      </c>
      <c r="D806" s="2" t="s">
        <v>18</v>
      </c>
      <c r="E806" s="5">
        <v>-31336</v>
      </c>
      <c r="F806" s="3" t="s">
        <v>1789</v>
      </c>
      <c r="G806" s="3" t="s">
        <v>52</v>
      </c>
      <c r="H806" s="2" t="s">
        <v>62</v>
      </c>
      <c r="I806" s="2" t="s">
        <v>2091</v>
      </c>
      <c r="J806" s="3" t="str">
        <f>HYPERLINK("https://www.boe.es/gazeta/dias/1814/03/15/pdfs/GRE-1814-36.pdf#page=8","Abrir facsímil")</f>
        <v>Abrir facsímil</v>
      </c>
      <c r="K806" s="3" t="s">
        <v>64</v>
      </c>
    </row>
    <row r="807" spans="1:11" ht="42" customHeight="1">
      <c r="A807" s="2" t="s">
        <v>2089</v>
      </c>
      <c r="B807" s="2" t="s">
        <v>2090</v>
      </c>
      <c r="C807" s="2" t="s">
        <v>17</v>
      </c>
      <c r="D807" s="2" t="s">
        <v>18</v>
      </c>
      <c r="E807" s="5">
        <v>-31145</v>
      </c>
      <c r="F807" s="3" t="s">
        <v>523</v>
      </c>
      <c r="G807" s="3" t="s">
        <v>52</v>
      </c>
      <c r="H807" s="2" t="s">
        <v>62</v>
      </c>
      <c r="I807" s="2" t="s">
        <v>2092</v>
      </c>
      <c r="J807" s="3" t="str">
        <f>HYPERLINK("https://www.boe.es/gazeta/dias/1814/09/22/pdfs/GMD-1814-129.pdf#page=8","Abrir facsímil")</f>
        <v>Abrir facsímil</v>
      </c>
      <c r="K807" s="3" t="s">
        <v>64</v>
      </c>
    </row>
    <row r="808" spans="1:11" ht="42" customHeight="1">
      <c r="A808" s="2" t="s">
        <v>2093</v>
      </c>
      <c r="B808" s="2" t="s">
        <v>2094</v>
      </c>
      <c r="C808" s="2" t="s">
        <v>26</v>
      </c>
      <c r="D808" s="2" t="s">
        <v>27</v>
      </c>
      <c r="E808" s="5">
        <v>-31101</v>
      </c>
      <c r="F808" s="3" t="s">
        <v>2095</v>
      </c>
      <c r="G808" s="3" t="s">
        <v>52</v>
      </c>
      <c r="H808" s="2" t="s">
        <v>62</v>
      </c>
      <c r="I808" s="2" t="s">
        <v>2096</v>
      </c>
      <c r="J808" s="3" t="str">
        <f>HYPERLINK("https://www.boe.es/gazeta/dias/1814/11/05/pdfs/GMD-1814-148.pdf#page=8","Abrir facsímil")</f>
        <v>Abrir facsímil</v>
      </c>
      <c r="K808" s="3" t="s">
        <v>64</v>
      </c>
    </row>
    <row r="809" spans="1:11" ht="42" customHeight="1">
      <c r="A809" s="2" t="s">
        <v>2097</v>
      </c>
      <c r="B809" s="2" t="s">
        <v>2098</v>
      </c>
      <c r="C809" s="2" t="s">
        <v>38</v>
      </c>
      <c r="D809" s="2" t="s">
        <v>39</v>
      </c>
      <c r="E809" s="5">
        <v>-31052</v>
      </c>
      <c r="F809" s="3" t="s">
        <v>1407</v>
      </c>
      <c r="G809" s="3" t="s">
        <v>57</v>
      </c>
      <c r="H809" s="2" t="s">
        <v>62</v>
      </c>
      <c r="I809" s="2" t="s">
        <v>2099</v>
      </c>
      <c r="J809" s="3" t="str">
        <f>HYPERLINK("https://www.boe.es/gazeta/dias/1814/12/24/pdfs/GMD-1814-170.pdf#page=6","Abrir facsímil")</f>
        <v>Abrir facsímil</v>
      </c>
      <c r="K809" s="3" t="s">
        <v>64</v>
      </c>
    </row>
    <row r="810" spans="1:11" ht="42" customHeight="1">
      <c r="A810" s="2" t="s">
        <v>2100</v>
      </c>
      <c r="B810" s="2" t="s">
        <v>2101</v>
      </c>
      <c r="C810" s="2" t="s">
        <v>26</v>
      </c>
      <c r="D810" s="2" t="s">
        <v>27</v>
      </c>
      <c r="E810" s="5">
        <v>-31294</v>
      </c>
      <c r="F810" s="3" t="s">
        <v>680</v>
      </c>
      <c r="G810" s="3" t="s">
        <v>41</v>
      </c>
      <c r="H810" s="2" t="s">
        <v>62</v>
      </c>
      <c r="I810" s="2" t="s">
        <v>2102</v>
      </c>
      <c r="J810" s="3" t="str">
        <f>HYPERLINK("https://www.boe.es/gazeta/dias/1814/04/26/pdfs/GRE-1814-61.pdf#page=4","Abrir facsímil")</f>
        <v>Abrir facsímil</v>
      </c>
      <c r="K810" s="3" t="s">
        <v>64</v>
      </c>
    </row>
    <row r="811" spans="1:11" ht="42" customHeight="1">
      <c r="A811" s="2" t="s">
        <v>2103</v>
      </c>
      <c r="B811" s="2" t="s">
        <v>2104</v>
      </c>
      <c r="C811" s="2" t="s">
        <v>309</v>
      </c>
      <c r="D811" s="2" t="s">
        <v>18</v>
      </c>
      <c r="E811" s="5">
        <v>-31173</v>
      </c>
      <c r="F811" s="3" t="s">
        <v>46</v>
      </c>
      <c r="G811" s="3" t="s">
        <v>20</v>
      </c>
      <c r="H811" s="2" t="s">
        <v>21</v>
      </c>
      <c r="I811" s="2" t="s">
        <v>2105</v>
      </c>
      <c r="J811" s="3" t="str">
        <f>HYPERLINK("https://www.boe.es/gazeta/dias/1814/08/25/pdfs/GMD-1814-116.pdf#page=7","Abrir facsímil")</f>
        <v>Abrir facsímil</v>
      </c>
      <c r="K811" s="3" t="s">
        <v>23</v>
      </c>
    </row>
    <row r="812" spans="1:11" ht="42" customHeight="1">
      <c r="A812" s="2" t="s">
        <v>2106</v>
      </c>
      <c r="B812" s="2" t="s">
        <v>2107</v>
      </c>
      <c r="C812" s="2" t="s">
        <v>26</v>
      </c>
      <c r="D812" s="2" t="s">
        <v>27</v>
      </c>
      <c r="E812" s="5">
        <v>-31273</v>
      </c>
      <c r="F812" s="3" t="s">
        <v>2108</v>
      </c>
      <c r="G812" s="3" t="s">
        <v>57</v>
      </c>
      <c r="H812" s="2" t="s">
        <v>62</v>
      </c>
      <c r="I812" s="2" t="s">
        <v>2109</v>
      </c>
      <c r="J812" s="3" t="str">
        <f>HYPERLINK("https://www.boe.es/gazeta/dias/1814/05/17/pdfs/GMD-1814-72.pdf#page=6","Abrir facsímil")</f>
        <v>Abrir facsímil</v>
      </c>
      <c r="K812" s="3" t="s">
        <v>64</v>
      </c>
    </row>
    <row r="813" spans="1:11" ht="42" customHeight="1">
      <c r="A813" s="2" t="s">
        <v>2110</v>
      </c>
      <c r="B813" s="2" t="s">
        <v>2110</v>
      </c>
      <c r="C813" s="2" t="s">
        <v>38</v>
      </c>
      <c r="D813" s="2" t="s">
        <v>39</v>
      </c>
      <c r="E813" s="5">
        <v>-31194</v>
      </c>
      <c r="F813" s="3" t="s">
        <v>333</v>
      </c>
      <c r="G813" s="3" t="s">
        <v>107</v>
      </c>
      <c r="H813" s="2" t="s">
        <v>62</v>
      </c>
      <c r="I813" s="2" t="s">
        <v>2111</v>
      </c>
      <c r="J813" s="3" t="str">
        <f>HYPERLINK("https://www.boe.es/gazeta/dias/1814/08/04/pdfs/GMD-1814-107.pdf#page=1","Abrir facsímil")</f>
        <v>Abrir facsímil</v>
      </c>
      <c r="K813" s="3" t="s">
        <v>64</v>
      </c>
    </row>
    <row r="814" spans="1:11" ht="42" customHeight="1">
      <c r="A814" s="2" t="s">
        <v>2112</v>
      </c>
      <c r="B814" s="2" t="s">
        <v>2112</v>
      </c>
      <c r="C814" s="2" t="s">
        <v>38</v>
      </c>
      <c r="D814" s="2" t="s">
        <v>39</v>
      </c>
      <c r="E814" s="5">
        <v>-31178</v>
      </c>
      <c r="F814" s="3" t="s">
        <v>1390</v>
      </c>
      <c r="G814" s="3" t="s">
        <v>107</v>
      </c>
      <c r="H814" s="2" t="s">
        <v>62</v>
      </c>
      <c r="I814" s="2" t="s">
        <v>2113</v>
      </c>
      <c r="J814" s="3" t="str">
        <f>HYPERLINK("https://www.boe.es/gazeta/dias/1814/08/20/pdfs/GMD-1814-114.pdf#page=1","Abrir facsímil")</f>
        <v>Abrir facsímil</v>
      </c>
      <c r="K814" s="3" t="s">
        <v>64</v>
      </c>
    </row>
    <row r="815" spans="1:11" ht="42" customHeight="1">
      <c r="A815" s="2" t="s">
        <v>2114</v>
      </c>
      <c r="B815" s="2" t="s">
        <v>2114</v>
      </c>
      <c r="C815" s="2" t="s">
        <v>38</v>
      </c>
      <c r="D815" s="2" t="s">
        <v>39</v>
      </c>
      <c r="E815" s="5">
        <v>-31329</v>
      </c>
      <c r="F815" s="3" t="s">
        <v>621</v>
      </c>
      <c r="G815" s="3" t="s">
        <v>2115</v>
      </c>
      <c r="H815" s="2" t="s">
        <v>62</v>
      </c>
      <c r="I815" s="2" t="s">
        <v>2116</v>
      </c>
      <c r="J815" s="3" t="str">
        <f>HYPERLINK("https://www.boe.es/gazeta/dias/1814/03/22/pdfs/GRE-1814-39.pdf#page=4","Abrir facsímil")</f>
        <v>Abrir facsímil</v>
      </c>
      <c r="K815" s="3" t="s">
        <v>64</v>
      </c>
    </row>
    <row r="816" spans="1:11" ht="42" customHeight="1">
      <c r="A816" s="2" t="s">
        <v>2117</v>
      </c>
      <c r="B816" s="2" t="s">
        <v>2118</v>
      </c>
      <c r="C816" s="2" t="s">
        <v>38</v>
      </c>
      <c r="D816" s="2" t="s">
        <v>39</v>
      </c>
      <c r="E816" s="5">
        <v>-31399</v>
      </c>
      <c r="F816" s="3" t="s">
        <v>218</v>
      </c>
      <c r="G816" s="3" t="s">
        <v>219</v>
      </c>
      <c r="H816" s="2" t="s">
        <v>62</v>
      </c>
      <c r="I816" s="2" t="s">
        <v>2119</v>
      </c>
      <c r="J816" s="3" t="str">
        <f>HYPERLINK("https://www.boe.es/gazeta/dias/1814/01/11/pdfs/GRE-1814-6.pdf#page=8","Abrir facsímil")</f>
        <v>Abrir facsímil</v>
      </c>
      <c r="K816" s="3" t="s">
        <v>64</v>
      </c>
    </row>
    <row r="817" spans="1:11" ht="42" customHeight="1">
      <c r="A817" s="2" t="s">
        <v>2120</v>
      </c>
      <c r="B817" s="2" t="s">
        <v>2121</v>
      </c>
      <c r="C817" s="2" t="s">
        <v>26</v>
      </c>
      <c r="D817" s="2" t="s">
        <v>27</v>
      </c>
      <c r="E817" s="5">
        <v>-31052</v>
      </c>
      <c r="F817" s="3" t="s">
        <v>1407</v>
      </c>
      <c r="G817" s="3" t="s">
        <v>82</v>
      </c>
      <c r="H817" s="2" t="s">
        <v>62</v>
      </c>
      <c r="I817" s="2" t="s">
        <v>2122</v>
      </c>
      <c r="J817" s="3" t="str">
        <f>HYPERLINK("https://www.boe.es/gazeta/dias/1814/12/24/pdfs/GMD-1814-170.pdf#page=3","Abrir facsímil")</f>
        <v>Abrir facsímil</v>
      </c>
      <c r="K817" s="3" t="s">
        <v>64</v>
      </c>
    </row>
    <row r="818" spans="1:11" ht="42" customHeight="1">
      <c r="A818" s="2" t="s">
        <v>2123</v>
      </c>
      <c r="B818" s="2" t="s">
        <v>2123</v>
      </c>
      <c r="C818" s="2" t="s">
        <v>32</v>
      </c>
      <c r="D818" s="2" t="s">
        <v>18</v>
      </c>
      <c r="E818" s="5">
        <v>-31262</v>
      </c>
      <c r="F818" s="3" t="s">
        <v>254</v>
      </c>
      <c r="G818" s="3" t="s">
        <v>99</v>
      </c>
      <c r="H818" s="2" t="s">
        <v>62</v>
      </c>
      <c r="I818" s="2" t="s">
        <v>2124</v>
      </c>
      <c r="J818" s="3" t="str">
        <f>HYPERLINK("https://www.boe.es/gazeta/dias/1814/05/28/pdfs/GMD-1814-78.pdf#page=5","Abrir facsímil")</f>
        <v>Abrir facsímil</v>
      </c>
      <c r="K818" s="3" t="s">
        <v>64</v>
      </c>
    </row>
    <row r="819" spans="1:11" ht="42" customHeight="1">
      <c r="A819" s="2" t="s">
        <v>2125</v>
      </c>
      <c r="B819" s="2" t="s">
        <v>2126</v>
      </c>
      <c r="C819" s="2" t="s">
        <v>38</v>
      </c>
      <c r="D819" s="2" t="s">
        <v>39</v>
      </c>
      <c r="E819" s="5">
        <v>-31122</v>
      </c>
      <c r="F819" s="3" t="s">
        <v>28</v>
      </c>
      <c r="G819" s="3" t="s">
        <v>57</v>
      </c>
      <c r="H819" s="2" t="s">
        <v>62</v>
      </c>
      <c r="I819" s="2" t="s">
        <v>2127</v>
      </c>
      <c r="J819" s="3" t="str">
        <f>HYPERLINK("https://www.boe.es/gazeta/dias/1814/10/15/pdfs/GMD-1814-139.pdf#page=6","Abrir facsímil")</f>
        <v>Abrir facsímil</v>
      </c>
      <c r="K819" s="3" t="s">
        <v>64</v>
      </c>
    </row>
    <row r="820" spans="1:11" ht="42" customHeight="1">
      <c r="A820" s="2" t="s">
        <v>2128</v>
      </c>
      <c r="B820" s="2" t="s">
        <v>2129</v>
      </c>
      <c r="C820" s="2" t="s">
        <v>144</v>
      </c>
      <c r="D820" s="2" t="s">
        <v>18</v>
      </c>
      <c r="E820" s="5">
        <v>-31306</v>
      </c>
      <c r="F820" s="3" t="s">
        <v>670</v>
      </c>
      <c r="G820" s="3" t="s">
        <v>82</v>
      </c>
      <c r="H820" s="2" t="s">
        <v>62</v>
      </c>
      <c r="I820" s="2" t="s">
        <v>2130</v>
      </c>
      <c r="J820" s="3" t="str">
        <f>HYPERLINK("https://www.boe.es/gazeta/dias/1814/04/14/pdfs/GRE-1814-53.pdf#page=3","Abrir facsímil")</f>
        <v>Abrir facsímil</v>
      </c>
      <c r="K820" s="3" t="s">
        <v>64</v>
      </c>
    </row>
    <row r="821" spans="1:11" ht="42" customHeight="1">
      <c r="A821" s="2" t="s">
        <v>2131</v>
      </c>
      <c r="B821" s="2" t="s">
        <v>2132</v>
      </c>
      <c r="C821" s="2" t="s">
        <v>105</v>
      </c>
      <c r="D821" s="2" t="s">
        <v>18</v>
      </c>
      <c r="E821" s="5">
        <v>-31322</v>
      </c>
      <c r="F821" s="3" t="s">
        <v>114</v>
      </c>
      <c r="G821" s="3" t="s">
        <v>52</v>
      </c>
      <c r="H821" s="2" t="s">
        <v>62</v>
      </c>
      <c r="I821" s="2" t="s">
        <v>2133</v>
      </c>
      <c r="J821" s="3" t="str">
        <f>HYPERLINK("https://www.boe.es/gazeta/dias/1814/03/29/pdfs/GRE-1814-44.pdf#page=8","Abrir facsímil")</f>
        <v>Abrir facsímil</v>
      </c>
      <c r="K821" s="3" t="s">
        <v>64</v>
      </c>
    </row>
    <row r="822" spans="1:11" ht="42" customHeight="1">
      <c r="A822" s="2" t="s">
        <v>2134</v>
      </c>
      <c r="B822" s="2" t="s">
        <v>2134</v>
      </c>
      <c r="C822" s="2" t="s">
        <v>17</v>
      </c>
      <c r="D822" s="2" t="s">
        <v>18</v>
      </c>
      <c r="E822" s="5">
        <v>-31385</v>
      </c>
      <c r="F822" s="3" t="s">
        <v>783</v>
      </c>
      <c r="G822" s="3" t="s">
        <v>2135</v>
      </c>
      <c r="H822" s="2" t="s">
        <v>62</v>
      </c>
      <c r="I822" s="2" t="s">
        <v>2136</v>
      </c>
      <c r="J822" s="3" t="str">
        <f>HYPERLINK("https://www.boe.es/gazeta/dias/1814/01/25/pdfs/GRE-1814-12.pdf#page=5","Abrir facsímil")</f>
        <v>Abrir facsímil</v>
      </c>
      <c r="K822" s="3" t="s">
        <v>64</v>
      </c>
    </row>
    <row r="823" spans="1:11" ht="42" customHeight="1">
      <c r="A823" s="2" t="s">
        <v>2137</v>
      </c>
      <c r="B823" s="2" t="s">
        <v>2137</v>
      </c>
      <c r="C823" s="2" t="s">
        <v>17</v>
      </c>
      <c r="D823" s="2" t="s">
        <v>18</v>
      </c>
      <c r="E823" s="5">
        <v>-31187</v>
      </c>
      <c r="F823" s="3" t="s">
        <v>518</v>
      </c>
      <c r="G823" s="3" t="s">
        <v>87</v>
      </c>
      <c r="H823" s="2" t="s">
        <v>62</v>
      </c>
      <c r="I823" s="2" t="s">
        <v>2138</v>
      </c>
      <c r="J823" s="3" t="str">
        <f>HYPERLINK("https://www.boe.es/gazeta/dias/1814/08/11/pdfs/GMD-1814-110.pdf#page=2","Abrir facsímil")</f>
        <v>Abrir facsímil</v>
      </c>
      <c r="K823" s="3" t="s">
        <v>64</v>
      </c>
    </row>
    <row r="824" spans="1:11" ht="42" customHeight="1">
      <c r="A824" s="2" t="s">
        <v>2139</v>
      </c>
      <c r="B824" s="2" t="s">
        <v>2139</v>
      </c>
      <c r="C824" s="2" t="s">
        <v>38</v>
      </c>
      <c r="D824" s="2" t="s">
        <v>39</v>
      </c>
      <c r="E824" s="5">
        <v>-31283</v>
      </c>
      <c r="F824" s="3" t="s">
        <v>701</v>
      </c>
      <c r="G824" s="3" t="s">
        <v>107</v>
      </c>
      <c r="H824" s="2" t="s">
        <v>62</v>
      </c>
      <c r="I824" s="2" t="s">
        <v>2140</v>
      </c>
      <c r="J824" s="3" t="str">
        <f>HYPERLINK("https://www.boe.es/gazeta/dias/1814/05/07/pdfs/GRE-1814-67.pdf#page=1","Abrir facsímil")</f>
        <v>Abrir facsímil</v>
      </c>
      <c r="K824" s="3" t="s">
        <v>64</v>
      </c>
    </row>
    <row r="825" spans="1:11" ht="42" customHeight="1">
      <c r="A825" s="2" t="s">
        <v>2139</v>
      </c>
      <c r="B825" s="2" t="s">
        <v>2139</v>
      </c>
      <c r="C825" s="2" t="s">
        <v>38</v>
      </c>
      <c r="D825" s="2" t="s">
        <v>39</v>
      </c>
      <c r="E825" s="5">
        <v>-31269</v>
      </c>
      <c r="F825" s="3" t="s">
        <v>496</v>
      </c>
      <c r="G825" s="3" t="s">
        <v>41</v>
      </c>
      <c r="H825" s="2" t="s">
        <v>62</v>
      </c>
      <c r="I825" s="2" t="s">
        <v>2141</v>
      </c>
      <c r="J825" s="3" t="str">
        <f>HYPERLINK("https://www.boe.es/gazeta/dias/1814/05/21/pdfs/GMD-1814-75.pdf#page=4","Abrir facsímil")</f>
        <v>Abrir facsímil</v>
      </c>
      <c r="K825" s="3" t="s">
        <v>64</v>
      </c>
    </row>
    <row r="826" spans="1:11" ht="42" customHeight="1">
      <c r="A826" s="2" t="s">
        <v>2139</v>
      </c>
      <c r="B826" s="2" t="s">
        <v>2139</v>
      </c>
      <c r="C826" s="2" t="s">
        <v>144</v>
      </c>
      <c r="D826" s="2" t="s">
        <v>18</v>
      </c>
      <c r="E826" s="5">
        <v>-31257</v>
      </c>
      <c r="F826" s="3" t="s">
        <v>437</v>
      </c>
      <c r="G826" s="3" t="s">
        <v>87</v>
      </c>
      <c r="H826" s="2" t="s">
        <v>62</v>
      </c>
      <c r="I826" s="2" t="s">
        <v>2142</v>
      </c>
      <c r="J826" s="3" t="str">
        <f>HYPERLINK("https://www.boe.es/gazeta/dias/1814/06/02/pdfs/GMD-1814-80.pdf#page=2","Abrir facsímil")</f>
        <v>Abrir facsímil</v>
      </c>
      <c r="K826" s="3" t="s">
        <v>64</v>
      </c>
    </row>
    <row r="827" spans="1:11" ht="42" customHeight="1">
      <c r="A827" s="2" t="s">
        <v>2139</v>
      </c>
      <c r="B827" s="2" t="s">
        <v>2139</v>
      </c>
      <c r="C827" s="2" t="s">
        <v>309</v>
      </c>
      <c r="D827" s="2" t="s">
        <v>18</v>
      </c>
      <c r="E827" s="5">
        <v>-31187</v>
      </c>
      <c r="F827" s="3" t="s">
        <v>518</v>
      </c>
      <c r="G827" s="3" t="s">
        <v>82</v>
      </c>
      <c r="H827" s="2" t="s">
        <v>62</v>
      </c>
      <c r="I827" s="2" t="s">
        <v>2143</v>
      </c>
      <c r="J827" s="3" t="str">
        <f>HYPERLINK("https://www.boe.es/gazeta/dias/1814/08/11/pdfs/GMD-1814-110.pdf#page=3","Abrir facsímil")</f>
        <v>Abrir facsímil</v>
      </c>
      <c r="K827" s="3" t="s">
        <v>64</v>
      </c>
    </row>
    <row r="828" spans="1:11" ht="42" customHeight="1">
      <c r="A828" s="2" t="s">
        <v>2144</v>
      </c>
      <c r="B828" s="2" t="s">
        <v>2145</v>
      </c>
      <c r="C828" s="2" t="s">
        <v>38</v>
      </c>
      <c r="D828" s="2" t="s">
        <v>39</v>
      </c>
      <c r="E828" s="5">
        <v>-31299</v>
      </c>
      <c r="F828" s="3" t="s">
        <v>71</v>
      </c>
      <c r="G828" s="3" t="s">
        <v>52</v>
      </c>
      <c r="H828" s="2" t="s">
        <v>21</v>
      </c>
      <c r="I828" s="2" t="s">
        <v>2146</v>
      </c>
      <c r="J828" s="3" t="str">
        <f>HYPERLINK("https://www.boe.es/gazeta/dias/1814/04/21/pdfs/GRE-1814-57.pdf#page=8","Abrir facsímil")</f>
        <v>Abrir facsímil</v>
      </c>
      <c r="K828" s="3" t="s">
        <v>23</v>
      </c>
    </row>
    <row r="829" spans="1:11" ht="42" customHeight="1">
      <c r="A829" s="2" t="s">
        <v>2147</v>
      </c>
      <c r="B829" s="2" t="s">
        <v>2147</v>
      </c>
      <c r="C829" s="2" t="s">
        <v>38</v>
      </c>
      <c r="D829" s="2" t="s">
        <v>39</v>
      </c>
      <c r="E829" s="5">
        <v>-31369</v>
      </c>
      <c r="F829" s="3" t="s">
        <v>695</v>
      </c>
      <c r="G829" s="3" t="s">
        <v>107</v>
      </c>
      <c r="H829" s="2" t="s">
        <v>62</v>
      </c>
      <c r="I829" s="2" t="s">
        <v>2148</v>
      </c>
      <c r="J829" s="3" t="str">
        <f>HYPERLINK("https://www.boe.es/gazeta/dias/1814/02/10/pdfs/GRE-1814-19.pdf#page=1","Abrir facsímil")</f>
        <v>Abrir facsímil</v>
      </c>
      <c r="K829" s="3" t="s">
        <v>64</v>
      </c>
    </row>
    <row r="830" spans="1:11" ht="42" customHeight="1">
      <c r="A830" s="2" t="s">
        <v>2147</v>
      </c>
      <c r="B830" s="2" t="s">
        <v>2147</v>
      </c>
      <c r="C830" s="2" t="s">
        <v>38</v>
      </c>
      <c r="D830" s="2" t="s">
        <v>39</v>
      </c>
      <c r="E830" s="5">
        <v>-31360</v>
      </c>
      <c r="F830" s="3" t="s">
        <v>480</v>
      </c>
      <c r="G830" s="3" t="s">
        <v>87</v>
      </c>
      <c r="H830" s="2" t="s">
        <v>62</v>
      </c>
      <c r="I830" s="2" t="s">
        <v>2149</v>
      </c>
      <c r="J830" s="3" t="str">
        <f>HYPERLINK("https://www.boe.es/gazeta/dias/1814/02/19/pdfs/GRE-1814-23.pdf#page=2","Abrir facsímil")</f>
        <v>Abrir facsímil</v>
      </c>
      <c r="K830" s="3" t="s">
        <v>64</v>
      </c>
    </row>
    <row r="831" spans="1:11" ht="42" customHeight="1">
      <c r="A831" s="2" t="s">
        <v>2150</v>
      </c>
      <c r="B831" s="2" t="s">
        <v>2151</v>
      </c>
      <c r="C831" s="2" t="s">
        <v>26</v>
      </c>
      <c r="D831" s="2" t="s">
        <v>27</v>
      </c>
      <c r="E831" s="5">
        <v>-31054</v>
      </c>
      <c r="F831" s="3" t="s">
        <v>952</v>
      </c>
      <c r="G831" s="3" t="s">
        <v>2152</v>
      </c>
      <c r="H831" s="2" t="s">
        <v>62</v>
      </c>
      <c r="I831" s="2" t="s">
        <v>2153</v>
      </c>
      <c r="J831" s="3" t="str">
        <f>HYPERLINK("https://www.boe.es/gazeta/dias/1814/12/22/pdfs/GMD-1814-169.pdf#page=6","Abrir facsímil")</f>
        <v>Abrir facsímil</v>
      </c>
      <c r="K831" s="3" t="s">
        <v>64</v>
      </c>
    </row>
    <row r="832" spans="1:11" ht="42" customHeight="1">
      <c r="A832" s="2" t="s">
        <v>2154</v>
      </c>
      <c r="B832" s="2" t="s">
        <v>2154</v>
      </c>
      <c r="C832" s="2" t="s">
        <v>26</v>
      </c>
      <c r="D832" s="2" t="s">
        <v>27</v>
      </c>
      <c r="E832" s="5">
        <v>-31294</v>
      </c>
      <c r="F832" s="3" t="s">
        <v>680</v>
      </c>
      <c r="G832" s="3" t="s">
        <v>41</v>
      </c>
      <c r="H832" s="2" t="s">
        <v>62</v>
      </c>
      <c r="I832" s="2" t="s">
        <v>2155</v>
      </c>
      <c r="J832" s="3" t="str">
        <f>HYPERLINK("https://www.boe.es/gazeta/dias/1814/04/26/pdfs/GRE-1814-61.pdf#page=4","Abrir facsímil")</f>
        <v>Abrir facsímil</v>
      </c>
      <c r="K832" s="3" t="s">
        <v>64</v>
      </c>
    </row>
    <row r="833" spans="1:11" ht="42" customHeight="1">
      <c r="A833" s="2" t="s">
        <v>2156</v>
      </c>
      <c r="B833" s="2" t="s">
        <v>2156</v>
      </c>
      <c r="C833" s="2" t="s">
        <v>38</v>
      </c>
      <c r="D833" s="2" t="s">
        <v>39</v>
      </c>
      <c r="E833" s="5">
        <v>-31334</v>
      </c>
      <c r="F833" s="3" t="s">
        <v>482</v>
      </c>
      <c r="G833" s="3" t="s">
        <v>107</v>
      </c>
      <c r="H833" s="2" t="s">
        <v>62</v>
      </c>
      <c r="I833" s="2" t="s">
        <v>2157</v>
      </c>
      <c r="J833" s="3" t="str">
        <f>HYPERLINK("https://www.boe.es/gazeta/dias/1814/03/17/pdfs/GRE-1814-37.pdf#page=1","Abrir facsímil")</f>
        <v>Abrir facsímil</v>
      </c>
      <c r="K833" s="3" t="s">
        <v>64</v>
      </c>
    </row>
    <row r="834" spans="1:11" ht="42" customHeight="1">
      <c r="A834" s="2" t="s">
        <v>2158</v>
      </c>
      <c r="B834" s="2" t="s">
        <v>2158</v>
      </c>
      <c r="C834" s="2" t="s">
        <v>38</v>
      </c>
      <c r="D834" s="2" t="s">
        <v>39</v>
      </c>
      <c r="E834" s="5">
        <v>-31334</v>
      </c>
      <c r="F834" s="3" t="s">
        <v>482</v>
      </c>
      <c r="G834" s="3" t="s">
        <v>107</v>
      </c>
      <c r="H834" s="2" t="s">
        <v>62</v>
      </c>
      <c r="I834" s="2" t="s">
        <v>2159</v>
      </c>
      <c r="J834" s="3" t="str">
        <f>HYPERLINK("https://www.boe.es/gazeta/dias/1814/03/17/pdfs/GRE-1814-37.pdf#page=1","Abrir facsímil")</f>
        <v>Abrir facsímil</v>
      </c>
      <c r="K834" s="3" t="s">
        <v>64</v>
      </c>
    </row>
    <row r="835" spans="1:11" ht="42" customHeight="1">
      <c r="A835" s="2" t="s">
        <v>2160</v>
      </c>
      <c r="B835" s="2" t="s">
        <v>2160</v>
      </c>
      <c r="C835" s="2" t="s">
        <v>38</v>
      </c>
      <c r="D835" s="2" t="s">
        <v>39</v>
      </c>
      <c r="E835" s="5">
        <v>-31271</v>
      </c>
      <c r="F835" s="3" t="s">
        <v>243</v>
      </c>
      <c r="G835" s="3" t="s">
        <v>41</v>
      </c>
      <c r="H835" s="2" t="s">
        <v>62</v>
      </c>
      <c r="I835" s="2" t="s">
        <v>2161</v>
      </c>
      <c r="J835" s="3" t="str">
        <f>HYPERLINK("https://www.boe.es/gazeta/dias/1814/05/19/pdfs/GMD-1814-74.pdf#page=4","Abrir facsímil")</f>
        <v>Abrir facsímil</v>
      </c>
      <c r="K835" s="3" t="s">
        <v>64</v>
      </c>
    </row>
    <row r="836" spans="1:11" ht="42" customHeight="1">
      <c r="A836" s="2" t="s">
        <v>2160</v>
      </c>
      <c r="B836" s="2" t="s">
        <v>2160</v>
      </c>
      <c r="C836" s="2" t="s">
        <v>38</v>
      </c>
      <c r="D836" s="2" t="s">
        <v>39</v>
      </c>
      <c r="E836" s="5">
        <v>-31164</v>
      </c>
      <c r="F836" s="3" t="s">
        <v>1423</v>
      </c>
      <c r="G836" s="3" t="s">
        <v>41</v>
      </c>
      <c r="H836" s="2" t="s">
        <v>62</v>
      </c>
      <c r="I836" s="2" t="s">
        <v>2162</v>
      </c>
      <c r="J836" s="3" t="str">
        <f>HYPERLINK("https://www.boe.es/gazeta/dias/1814/09/03/pdfs/GMD-1814-121.pdf#page=4","Abrir facsímil")</f>
        <v>Abrir facsímil</v>
      </c>
      <c r="K836" s="3" t="s">
        <v>64</v>
      </c>
    </row>
    <row r="837" spans="1:11" ht="42" customHeight="1">
      <c r="A837" s="2" t="s">
        <v>2163</v>
      </c>
      <c r="B837" s="2" t="s">
        <v>2164</v>
      </c>
      <c r="C837" s="2" t="s">
        <v>32</v>
      </c>
      <c r="D837" s="2" t="s">
        <v>18</v>
      </c>
      <c r="E837" s="5">
        <v>-31164</v>
      </c>
      <c r="F837" s="3" t="s">
        <v>1423</v>
      </c>
      <c r="G837" s="3" t="s">
        <v>82</v>
      </c>
      <c r="H837" s="2" t="s">
        <v>62</v>
      </c>
      <c r="I837" s="2" t="s">
        <v>2165</v>
      </c>
      <c r="J837" s="3" t="str">
        <f>HYPERLINK("https://www.boe.es/gazeta/dias/1814/09/03/pdfs/GMD-1814-121.pdf#page=3","Abrir facsímil")</f>
        <v>Abrir facsímil</v>
      </c>
      <c r="K837" s="3" t="s">
        <v>64</v>
      </c>
    </row>
    <row r="838" spans="1:11" ht="42" customHeight="1">
      <c r="A838" s="2" t="s">
        <v>2166</v>
      </c>
      <c r="B838" s="2" t="s">
        <v>2166</v>
      </c>
      <c r="C838" s="2" t="s">
        <v>38</v>
      </c>
      <c r="D838" s="2" t="s">
        <v>39</v>
      </c>
      <c r="E838" s="5">
        <v>-31364</v>
      </c>
      <c r="F838" s="3" t="s">
        <v>594</v>
      </c>
      <c r="G838" s="3" t="s">
        <v>82</v>
      </c>
      <c r="H838" s="2" t="s">
        <v>62</v>
      </c>
      <c r="I838" s="2" t="s">
        <v>2167</v>
      </c>
      <c r="J838" s="3" t="str">
        <f>HYPERLINK("https://www.boe.es/gazeta/dias/1814/02/15/pdfs/GRE-1814-21.pdf#page=3","Abrir facsímil")</f>
        <v>Abrir facsímil</v>
      </c>
      <c r="K838" s="3" t="s">
        <v>64</v>
      </c>
    </row>
    <row r="839" spans="1:11" ht="42" customHeight="1">
      <c r="A839" s="2" t="s">
        <v>2168</v>
      </c>
      <c r="B839" s="2" t="s">
        <v>2168</v>
      </c>
      <c r="C839" s="2" t="s">
        <v>38</v>
      </c>
      <c r="D839" s="2" t="s">
        <v>39</v>
      </c>
      <c r="E839" s="5">
        <v>-31385</v>
      </c>
      <c r="F839" s="3" t="s">
        <v>783</v>
      </c>
      <c r="G839" s="3" t="s">
        <v>1777</v>
      </c>
      <c r="H839" s="2" t="s">
        <v>62</v>
      </c>
      <c r="I839" s="2" t="s">
        <v>2169</v>
      </c>
      <c r="J839" s="3" t="str">
        <f>HYPERLINK("https://www.boe.es/gazeta/dias/1814/01/25/pdfs/GRE-1814-12.pdf#page=4","Abrir facsímil")</f>
        <v>Abrir facsímil</v>
      </c>
      <c r="K839" s="3" t="s">
        <v>64</v>
      </c>
    </row>
    <row r="840" spans="1:11" ht="42" customHeight="1">
      <c r="A840" s="2" t="s">
        <v>2168</v>
      </c>
      <c r="B840" s="2" t="s">
        <v>2168</v>
      </c>
      <c r="C840" s="2" t="s">
        <v>38</v>
      </c>
      <c r="D840" s="2" t="s">
        <v>39</v>
      </c>
      <c r="E840" s="5">
        <v>-31367</v>
      </c>
      <c r="F840" s="3" t="s">
        <v>857</v>
      </c>
      <c r="G840" s="3" t="s">
        <v>107</v>
      </c>
      <c r="H840" s="2" t="s">
        <v>62</v>
      </c>
      <c r="I840" s="2" t="s">
        <v>2170</v>
      </c>
      <c r="J840" s="3" t="str">
        <f>HYPERLINK("https://www.boe.es/gazeta/dias/1814/02/12/pdfs/GRE-1814-20.pdf#page=1","Abrir facsímil")</f>
        <v>Abrir facsímil</v>
      </c>
      <c r="K840" s="3" t="s">
        <v>64</v>
      </c>
    </row>
    <row r="841" spans="1:11" ht="42" customHeight="1">
      <c r="A841" s="2" t="s">
        <v>2171</v>
      </c>
      <c r="B841" s="2" t="s">
        <v>2171</v>
      </c>
      <c r="C841" s="2" t="s">
        <v>38</v>
      </c>
      <c r="D841" s="2" t="s">
        <v>39</v>
      </c>
      <c r="E841" s="5">
        <v>-31329</v>
      </c>
      <c r="F841" s="3" t="s">
        <v>621</v>
      </c>
      <c r="G841" s="3" t="s">
        <v>2115</v>
      </c>
      <c r="H841" s="2" t="s">
        <v>62</v>
      </c>
      <c r="I841" s="2" t="s">
        <v>2172</v>
      </c>
      <c r="J841" s="3" t="str">
        <f>HYPERLINK("https://www.boe.es/gazeta/dias/1814/03/22/pdfs/GRE-1814-39.pdf#page=4","Abrir facsímil")</f>
        <v>Abrir facsímil</v>
      </c>
      <c r="K841" s="3" t="s">
        <v>64</v>
      </c>
    </row>
    <row r="842" spans="1:11" ht="42" customHeight="1">
      <c r="A842" s="2" t="s">
        <v>2173</v>
      </c>
      <c r="B842" s="2" t="s">
        <v>2173</v>
      </c>
      <c r="C842" s="2" t="s">
        <v>38</v>
      </c>
      <c r="D842" s="2" t="s">
        <v>39</v>
      </c>
      <c r="E842" s="5">
        <v>-31315</v>
      </c>
      <c r="F842" s="3" t="s">
        <v>645</v>
      </c>
      <c r="G842" s="3" t="s">
        <v>52</v>
      </c>
      <c r="H842" s="2" t="s">
        <v>62</v>
      </c>
      <c r="I842" s="2" t="s">
        <v>2174</v>
      </c>
      <c r="J842" s="3" t="str">
        <f>HYPERLINK("https://www.boe.es/gazeta/dias/1814/04/05/pdfs/GRE-1814-49.pdf#page=8","Abrir facsímil")</f>
        <v>Abrir facsímil</v>
      </c>
      <c r="K842" s="3" t="s">
        <v>64</v>
      </c>
    </row>
    <row r="843" spans="1:11" ht="42" customHeight="1">
      <c r="A843" s="2" t="s">
        <v>2175</v>
      </c>
      <c r="B843" s="2" t="s">
        <v>2175</v>
      </c>
      <c r="C843" s="2" t="s">
        <v>38</v>
      </c>
      <c r="D843" s="2" t="s">
        <v>39</v>
      </c>
      <c r="E843" s="5">
        <v>-31091</v>
      </c>
      <c r="F843" s="3" t="s">
        <v>1156</v>
      </c>
      <c r="G843" s="3" t="s">
        <v>107</v>
      </c>
      <c r="H843" s="2" t="s">
        <v>62</v>
      </c>
      <c r="I843" s="2" t="s">
        <v>2176</v>
      </c>
      <c r="J843" s="3" t="str">
        <f>HYPERLINK("https://www.boe.es/gazeta/dias/1814/11/15/pdfs/GMD-1814-152.pdf#page=1","Abrir facsímil")</f>
        <v>Abrir facsímil</v>
      </c>
      <c r="K843" s="3" t="s">
        <v>64</v>
      </c>
    </row>
    <row r="844" spans="1:11" ht="42" customHeight="1">
      <c r="A844" s="2" t="s">
        <v>2177</v>
      </c>
      <c r="B844" s="2" t="s">
        <v>2178</v>
      </c>
      <c r="C844" s="2" t="s">
        <v>38</v>
      </c>
      <c r="D844" s="2" t="s">
        <v>39</v>
      </c>
      <c r="E844" s="5">
        <v>-31325</v>
      </c>
      <c r="F844" s="3" t="s">
        <v>67</v>
      </c>
      <c r="G844" s="3" t="s">
        <v>20</v>
      </c>
      <c r="H844" s="2" t="s">
        <v>62</v>
      </c>
      <c r="I844" s="2" t="s">
        <v>2179</v>
      </c>
      <c r="J844" s="3" t="str">
        <f>HYPERLINK("https://www.boe.es/gazeta/dias/1814/03/26/pdfs/GRE-1814-43.pdf#page=7","Abrir facsímil")</f>
        <v>Abrir facsímil</v>
      </c>
      <c r="K844" s="3" t="s">
        <v>64</v>
      </c>
    </row>
    <row r="845" spans="1:11" ht="42" customHeight="1">
      <c r="A845" s="2" t="s">
        <v>2180</v>
      </c>
      <c r="B845" s="2" t="s">
        <v>2181</v>
      </c>
      <c r="C845" s="2" t="s">
        <v>26</v>
      </c>
      <c r="D845" s="2" t="s">
        <v>27</v>
      </c>
      <c r="E845" s="5">
        <v>-31292</v>
      </c>
      <c r="F845" s="3" t="s">
        <v>557</v>
      </c>
      <c r="G845" s="3" t="s">
        <v>52</v>
      </c>
      <c r="H845" s="2" t="s">
        <v>62</v>
      </c>
      <c r="I845" s="2" t="s">
        <v>2182</v>
      </c>
      <c r="J845" s="3" t="str">
        <f>HYPERLINK("https://www.boe.es/gazeta/dias/1814/04/28/pdfs/GRE-1814-63.pdf#page=8","Abrir facsímil")</f>
        <v>Abrir facsímil</v>
      </c>
      <c r="K845" s="3" t="s">
        <v>64</v>
      </c>
    </row>
    <row r="846" spans="1:11" ht="42" customHeight="1">
      <c r="A846" s="2" t="s">
        <v>2183</v>
      </c>
      <c r="B846" s="2" t="s">
        <v>2184</v>
      </c>
      <c r="C846" s="2" t="s">
        <v>45</v>
      </c>
      <c r="D846" s="2" t="s">
        <v>18</v>
      </c>
      <c r="E846" s="5">
        <v>-31199</v>
      </c>
      <c r="F846" s="3" t="s">
        <v>453</v>
      </c>
      <c r="G846" s="3" t="s">
        <v>1027</v>
      </c>
      <c r="H846" s="2" t="s">
        <v>62</v>
      </c>
      <c r="I846" s="2" t="s">
        <v>2185</v>
      </c>
      <c r="J846" s="3" t="str">
        <f>HYPERLINK("https://www.boe.es/gazeta/dias/1814/07/30/pdfs/GMD-1814-105.pdf#page=8","Abrir facsímil")</f>
        <v>Abrir facsímil</v>
      </c>
      <c r="K846" s="3" t="s">
        <v>64</v>
      </c>
    </row>
    <row r="847" spans="1:11" ht="42" customHeight="1">
      <c r="A847" s="2" t="s">
        <v>2186</v>
      </c>
      <c r="B847" s="2" t="s">
        <v>2187</v>
      </c>
      <c r="C847" s="2" t="s">
        <v>45</v>
      </c>
      <c r="D847" s="2" t="s">
        <v>18</v>
      </c>
      <c r="E847" s="5">
        <v>-31131</v>
      </c>
      <c r="F847" s="3" t="s">
        <v>132</v>
      </c>
      <c r="G847" s="3" t="s">
        <v>2188</v>
      </c>
      <c r="H847" s="2" t="s">
        <v>62</v>
      </c>
      <c r="I847" s="2" t="s">
        <v>2189</v>
      </c>
      <c r="J847" s="3" t="str">
        <f>HYPERLINK("https://www.boe.es/gazeta/dias/1814/10/06/pdfs/GMD-1814-135.pdf#page=6","Abrir facsímil")</f>
        <v>Abrir facsímil</v>
      </c>
      <c r="K847" s="3" t="s">
        <v>64</v>
      </c>
    </row>
    <row r="848" spans="1:11" ht="42" customHeight="1">
      <c r="A848" s="2" t="s">
        <v>2190</v>
      </c>
      <c r="B848" s="2" t="s">
        <v>2191</v>
      </c>
      <c r="C848" s="2" t="s">
        <v>45</v>
      </c>
      <c r="D848" s="2" t="s">
        <v>18</v>
      </c>
      <c r="E848" s="5">
        <v>-31173</v>
      </c>
      <c r="F848" s="3" t="s">
        <v>46</v>
      </c>
      <c r="G848" s="3" t="s">
        <v>20</v>
      </c>
      <c r="H848" s="2" t="s">
        <v>62</v>
      </c>
      <c r="I848" s="2" t="s">
        <v>2192</v>
      </c>
      <c r="J848" s="3" t="str">
        <f>HYPERLINK("https://www.boe.es/gazeta/dias/1814/08/25/pdfs/GMD-1814-116.pdf#page=7","Abrir facsímil")</f>
        <v>Abrir facsímil</v>
      </c>
      <c r="K848" s="3" t="s">
        <v>64</v>
      </c>
    </row>
    <row r="849" spans="1:11" ht="42" customHeight="1">
      <c r="A849" s="2" t="s">
        <v>2193</v>
      </c>
      <c r="B849" s="2" t="s">
        <v>2194</v>
      </c>
      <c r="C849" s="2" t="s">
        <v>105</v>
      </c>
      <c r="D849" s="2" t="s">
        <v>18</v>
      </c>
      <c r="E849" s="5">
        <v>-31322</v>
      </c>
      <c r="F849" s="3" t="s">
        <v>114</v>
      </c>
      <c r="G849" s="3" t="s">
        <v>52</v>
      </c>
      <c r="H849" s="2" t="s">
        <v>62</v>
      </c>
      <c r="I849" s="2" t="s">
        <v>2195</v>
      </c>
      <c r="J849" s="3" t="str">
        <f>HYPERLINK("https://www.boe.es/gazeta/dias/1814/03/29/pdfs/GRE-1814-44.pdf#page=8","Abrir facsímil")</f>
        <v>Abrir facsímil</v>
      </c>
      <c r="K849" s="3" t="s">
        <v>64</v>
      </c>
    </row>
    <row r="850" spans="1:11" ht="42" customHeight="1">
      <c r="A850" s="2" t="s">
        <v>2196</v>
      </c>
      <c r="B850" s="2" t="s">
        <v>2197</v>
      </c>
      <c r="C850" s="2" t="s">
        <v>144</v>
      </c>
      <c r="D850" s="2" t="s">
        <v>18</v>
      </c>
      <c r="E850" s="5">
        <v>-31143</v>
      </c>
      <c r="F850" s="3" t="s">
        <v>787</v>
      </c>
      <c r="G850" s="3" t="s">
        <v>52</v>
      </c>
      <c r="H850" s="2" t="s">
        <v>21</v>
      </c>
      <c r="I850" s="2" t="s">
        <v>2198</v>
      </c>
      <c r="J850" s="3" t="str">
        <f>HYPERLINK("https://www.boe.es/gazeta/dias/1814/09/24/pdfs/GMD-1814-130.pdf#page=8","Abrir facsímil")</f>
        <v>Abrir facsímil</v>
      </c>
      <c r="K850" s="3" t="s">
        <v>23</v>
      </c>
    </row>
    <row r="851" spans="1:11" ht="42" customHeight="1">
      <c r="A851" s="2" t="s">
        <v>2199</v>
      </c>
      <c r="B851" s="2" t="s">
        <v>2200</v>
      </c>
      <c r="C851" s="2" t="s">
        <v>144</v>
      </c>
      <c r="D851" s="2" t="s">
        <v>18</v>
      </c>
      <c r="E851" s="5">
        <v>-31056</v>
      </c>
      <c r="F851" s="3" t="s">
        <v>540</v>
      </c>
      <c r="G851" s="3" t="s">
        <v>99</v>
      </c>
      <c r="H851" s="2" t="s">
        <v>62</v>
      </c>
      <c r="I851" s="2" t="s">
        <v>2201</v>
      </c>
      <c r="J851" s="3" t="str">
        <f>HYPERLINK("https://www.boe.es/gazeta/dias/1814/12/20/pdfs/GMD-1814-168.pdf#page=5","Abrir facsímil")</f>
        <v>Abrir facsímil</v>
      </c>
      <c r="K851" s="3" t="s">
        <v>64</v>
      </c>
    </row>
    <row r="852" spans="1:11" ht="42" customHeight="1">
      <c r="A852" s="2" t="s">
        <v>2202</v>
      </c>
      <c r="B852" s="2" t="s">
        <v>2203</v>
      </c>
      <c r="C852" s="2" t="s">
        <v>38</v>
      </c>
      <c r="D852" s="2" t="s">
        <v>314</v>
      </c>
      <c r="E852" s="5">
        <v>-31296</v>
      </c>
      <c r="F852" s="3" t="s">
        <v>315</v>
      </c>
      <c r="G852" s="3" t="s">
        <v>57</v>
      </c>
      <c r="H852" s="2" t="s">
        <v>62</v>
      </c>
      <c r="I852" s="2" t="s">
        <v>2204</v>
      </c>
      <c r="J852" s="3" t="str">
        <f>HYPERLINK("https://www.boe.es/gazeta/dias/1814/04/24/pdfs/GRE-1814-60E.pdf#page=6","Abrir facsímil")</f>
        <v>Abrir facsímil</v>
      </c>
      <c r="K852" s="3" t="s">
        <v>64</v>
      </c>
    </row>
    <row r="853" spans="1:11" ht="42" customHeight="1">
      <c r="A853" s="2" t="s">
        <v>2205</v>
      </c>
      <c r="B853" s="2" t="s">
        <v>2206</v>
      </c>
      <c r="C853" s="2" t="s">
        <v>17</v>
      </c>
      <c r="D853" s="2" t="s">
        <v>18</v>
      </c>
      <c r="E853" s="5">
        <v>-31196</v>
      </c>
      <c r="F853" s="3" t="s">
        <v>828</v>
      </c>
      <c r="G853" s="3" t="s">
        <v>2207</v>
      </c>
      <c r="H853" s="2" t="s">
        <v>62</v>
      </c>
      <c r="I853" s="2" t="s">
        <v>2208</v>
      </c>
      <c r="J853" s="3" t="str">
        <f>HYPERLINK("https://www.boe.es/gazeta/dias/1814/08/02/pdfs/GMD-1814-106.pdf#page=5","Abrir facsímil")</f>
        <v>Abrir facsímil</v>
      </c>
      <c r="K853" s="3" t="s">
        <v>64</v>
      </c>
    </row>
    <row r="854" spans="1:11" ht="42" customHeight="1">
      <c r="A854" s="2" t="s">
        <v>2209</v>
      </c>
      <c r="B854" s="2" t="s">
        <v>2209</v>
      </c>
      <c r="C854" s="2" t="s">
        <v>38</v>
      </c>
      <c r="D854" s="2" t="s">
        <v>39</v>
      </c>
      <c r="E854" s="5">
        <v>-31357</v>
      </c>
      <c r="F854" s="3" t="s">
        <v>1460</v>
      </c>
      <c r="G854" s="3" t="s">
        <v>107</v>
      </c>
      <c r="H854" s="2" t="s">
        <v>62</v>
      </c>
      <c r="I854" s="2" t="s">
        <v>2210</v>
      </c>
      <c r="J854" s="3" t="str">
        <f>HYPERLINK("https://www.boe.es/gazeta/dias/1814/02/22/pdfs/GRE-1814-25.pdf#page=1","Abrir facsímil")</f>
        <v>Abrir facsímil</v>
      </c>
      <c r="K854" s="3" t="s">
        <v>64</v>
      </c>
    </row>
    <row r="855" spans="1:11" ht="42" customHeight="1">
      <c r="A855" s="2" t="s">
        <v>2211</v>
      </c>
      <c r="B855" s="2" t="s">
        <v>2211</v>
      </c>
      <c r="C855" s="2" t="s">
        <v>38</v>
      </c>
      <c r="D855" s="2" t="s">
        <v>314</v>
      </c>
      <c r="E855" s="5">
        <v>-31296</v>
      </c>
      <c r="F855" s="3" t="s">
        <v>315</v>
      </c>
      <c r="G855" s="3" t="s">
        <v>41</v>
      </c>
      <c r="H855" s="2" t="s">
        <v>62</v>
      </c>
      <c r="I855" s="2" t="s">
        <v>2212</v>
      </c>
      <c r="J855" s="3" t="str">
        <f>HYPERLINK("https://www.boe.es/gazeta/dias/1814/04/24/pdfs/GRE-1814-60E.pdf#page=4","Abrir facsímil")</f>
        <v>Abrir facsímil</v>
      </c>
      <c r="K855" s="3" t="s">
        <v>64</v>
      </c>
    </row>
    <row r="856" spans="1:11" ht="42" customHeight="1">
      <c r="A856" s="2" t="s">
        <v>2213</v>
      </c>
      <c r="B856" s="2" t="s">
        <v>2214</v>
      </c>
      <c r="C856" s="2" t="s">
        <v>38</v>
      </c>
      <c r="D856" s="2" t="s">
        <v>39</v>
      </c>
      <c r="E856" s="5">
        <v>-31405</v>
      </c>
      <c r="F856" s="3" t="s">
        <v>1754</v>
      </c>
      <c r="G856" s="3" t="s">
        <v>57</v>
      </c>
      <c r="H856" s="2" t="s">
        <v>62</v>
      </c>
      <c r="I856" s="2" t="s">
        <v>2215</v>
      </c>
      <c r="J856" s="3" t="str">
        <f>HYPERLINK("https://www.boe.es/gazeta/dias/1814/01/05/pdfs/GRE-1814-5.pdf#page=6","Abrir facsímil")</f>
        <v>Abrir facsímil</v>
      </c>
      <c r="K856" s="3" t="s">
        <v>64</v>
      </c>
    </row>
    <row r="857" spans="1:11" ht="42" customHeight="1">
      <c r="A857" s="2" t="s">
        <v>2213</v>
      </c>
      <c r="B857" s="2" t="s">
        <v>2214</v>
      </c>
      <c r="C857" s="2" t="s">
        <v>38</v>
      </c>
      <c r="D857" s="2" t="s">
        <v>39</v>
      </c>
      <c r="E857" s="5">
        <v>-31402</v>
      </c>
      <c r="F857" s="3" t="s">
        <v>1754</v>
      </c>
      <c r="G857" s="3" t="s">
        <v>57</v>
      </c>
      <c r="H857" s="2" t="s">
        <v>62</v>
      </c>
      <c r="I857" s="2" t="s">
        <v>2215</v>
      </c>
      <c r="J857" s="3" t="str">
        <f>HYPERLINK("https://www.boe.es/gazeta/dias/1814/01/08/pdfs/GRE-1814-5.pdf#page=6","Abrir facsímil")</f>
        <v>Abrir facsímil</v>
      </c>
      <c r="K857" s="3" t="s">
        <v>64</v>
      </c>
    </row>
    <row r="858" spans="1:11" ht="42" customHeight="1">
      <c r="A858" s="2" t="s">
        <v>2216</v>
      </c>
      <c r="B858" s="2" t="s">
        <v>2216</v>
      </c>
      <c r="C858" s="2" t="s">
        <v>38</v>
      </c>
      <c r="D858" s="2" t="s">
        <v>39</v>
      </c>
      <c r="E858" s="5">
        <v>-31091</v>
      </c>
      <c r="F858" s="3" t="s">
        <v>1156</v>
      </c>
      <c r="G858" s="3" t="s">
        <v>107</v>
      </c>
      <c r="H858" s="2" t="s">
        <v>62</v>
      </c>
      <c r="I858" s="2" t="s">
        <v>2217</v>
      </c>
      <c r="J858" s="3" t="str">
        <f>HYPERLINK("https://www.boe.es/gazeta/dias/1814/11/15/pdfs/GMD-1814-152.pdf#page=1","Abrir facsímil")</f>
        <v>Abrir facsímil</v>
      </c>
      <c r="K858" s="3" t="s">
        <v>64</v>
      </c>
    </row>
    <row r="859" spans="1:11" ht="42" customHeight="1">
      <c r="A859" s="2" t="s">
        <v>2216</v>
      </c>
      <c r="B859" s="2" t="s">
        <v>2216</v>
      </c>
      <c r="C859" s="2" t="s">
        <v>38</v>
      </c>
      <c r="D859" s="2" t="s">
        <v>39</v>
      </c>
      <c r="E859" s="5">
        <v>-31091</v>
      </c>
      <c r="F859" s="3" t="s">
        <v>1156</v>
      </c>
      <c r="G859" s="3" t="s">
        <v>87</v>
      </c>
      <c r="H859" s="2" t="s">
        <v>62</v>
      </c>
      <c r="I859" s="2" t="s">
        <v>2218</v>
      </c>
      <c r="J859" s="3" t="str">
        <f>HYPERLINK("https://www.boe.es/gazeta/dias/1814/11/15/pdfs/GMD-1814-152.pdf#page=2","Abrir facsímil")</f>
        <v>Abrir facsímil</v>
      </c>
      <c r="K859" s="3" t="s">
        <v>64</v>
      </c>
    </row>
    <row r="860" spans="1:11" ht="42" customHeight="1">
      <c r="A860" s="2" t="s">
        <v>2219</v>
      </c>
      <c r="B860" s="2" t="s">
        <v>2219</v>
      </c>
      <c r="C860" s="2" t="s">
        <v>38</v>
      </c>
      <c r="D860" s="2" t="s">
        <v>39</v>
      </c>
      <c r="E860" s="5">
        <v>-31341</v>
      </c>
      <c r="F860" s="3" t="s">
        <v>360</v>
      </c>
      <c r="G860" s="3" t="s">
        <v>41</v>
      </c>
      <c r="H860" s="2" t="s">
        <v>62</v>
      </c>
      <c r="I860" s="2" t="s">
        <v>2220</v>
      </c>
      <c r="J860" s="3" t="str">
        <f>HYPERLINK("https://www.boe.es/gazeta/dias/1814/03/10/pdfs/GRE-1814-33.pdf#page=4","Abrir facsímil")</f>
        <v>Abrir facsímil</v>
      </c>
      <c r="K860" s="3" t="s">
        <v>64</v>
      </c>
    </row>
    <row r="861" spans="1:11" ht="42" customHeight="1">
      <c r="A861" s="2" t="s">
        <v>2221</v>
      </c>
      <c r="B861" s="2" t="s">
        <v>2221</v>
      </c>
      <c r="C861" s="2" t="s">
        <v>38</v>
      </c>
      <c r="D861" s="2" t="s">
        <v>39</v>
      </c>
      <c r="E861" s="5">
        <v>-31405</v>
      </c>
      <c r="F861" s="3" t="s">
        <v>1754</v>
      </c>
      <c r="G861" s="3" t="s">
        <v>82</v>
      </c>
      <c r="H861" s="2" t="s">
        <v>62</v>
      </c>
      <c r="I861" s="2" t="s">
        <v>2222</v>
      </c>
      <c r="J861" s="3" t="str">
        <f>HYPERLINK("https://www.boe.es/gazeta/dias/1814/01/05/pdfs/GRE-1814-5.pdf#page=3","Abrir facsímil")</f>
        <v>Abrir facsímil</v>
      </c>
      <c r="K861" s="3" t="s">
        <v>64</v>
      </c>
    </row>
    <row r="862" spans="1:11" ht="42" customHeight="1">
      <c r="A862" s="2" t="s">
        <v>2221</v>
      </c>
      <c r="B862" s="2" t="s">
        <v>2221</v>
      </c>
      <c r="C862" s="2" t="s">
        <v>38</v>
      </c>
      <c r="D862" s="2" t="s">
        <v>39</v>
      </c>
      <c r="E862" s="5">
        <v>-31402</v>
      </c>
      <c r="F862" s="3" t="s">
        <v>1754</v>
      </c>
      <c r="G862" s="3" t="s">
        <v>82</v>
      </c>
      <c r="H862" s="2" t="s">
        <v>62</v>
      </c>
      <c r="I862" s="2" t="s">
        <v>2222</v>
      </c>
      <c r="J862" s="3" t="str">
        <f>HYPERLINK("https://www.boe.es/gazeta/dias/1814/01/08/pdfs/GRE-1814-5.pdf#page=3","Abrir facsímil")</f>
        <v>Abrir facsímil</v>
      </c>
      <c r="K862" s="3" t="s">
        <v>64</v>
      </c>
    </row>
    <row r="863" spans="1:11" ht="42" customHeight="1">
      <c r="A863" s="2" t="s">
        <v>2223</v>
      </c>
      <c r="B863" s="2" t="s">
        <v>2223</v>
      </c>
      <c r="C863" s="2" t="s">
        <v>38</v>
      </c>
      <c r="D863" s="2" t="s">
        <v>39</v>
      </c>
      <c r="E863" s="5">
        <v>-31404</v>
      </c>
      <c r="F863" s="3" t="s">
        <v>630</v>
      </c>
      <c r="G863" s="3" t="s">
        <v>82</v>
      </c>
      <c r="H863" s="2" t="s">
        <v>62</v>
      </c>
      <c r="I863" s="2" t="s">
        <v>2224</v>
      </c>
      <c r="J863" s="3" t="str">
        <f>HYPERLINK("https://www.boe.es/gazeta/dias/1814/01/06/pdfs/GRE-1814-3.pdf#page=3","Abrir facsímil")</f>
        <v>Abrir facsímil</v>
      </c>
      <c r="K863" s="3" t="s">
        <v>64</v>
      </c>
    </row>
    <row r="864" spans="1:11" ht="42" customHeight="1">
      <c r="A864" s="2" t="s">
        <v>2223</v>
      </c>
      <c r="B864" s="2" t="s">
        <v>2223</v>
      </c>
      <c r="C864" s="2" t="s">
        <v>38</v>
      </c>
      <c r="D864" s="2" t="s">
        <v>39</v>
      </c>
      <c r="E864" s="5">
        <v>-31082</v>
      </c>
      <c r="F864" s="3" t="s">
        <v>535</v>
      </c>
      <c r="G864" s="3" t="s">
        <v>2225</v>
      </c>
      <c r="H864" s="2" t="s">
        <v>62</v>
      </c>
      <c r="I864" s="2" t="s">
        <v>2226</v>
      </c>
      <c r="J864" s="3" t="str">
        <f>HYPERLINK("https://www.boe.es/gazeta/dias/1814/11/24/pdfs/GMD-1814-156.pdf#page=2","Abrir facsímil")</f>
        <v>Abrir facsímil</v>
      </c>
      <c r="K864" s="3" t="s">
        <v>64</v>
      </c>
    </row>
    <row r="865" spans="1:11" ht="42" customHeight="1">
      <c r="A865" s="2" t="s">
        <v>2227</v>
      </c>
      <c r="B865" s="2" t="s">
        <v>2227</v>
      </c>
      <c r="C865" s="2" t="s">
        <v>38</v>
      </c>
      <c r="D865" s="2" t="s">
        <v>39</v>
      </c>
      <c r="E865" s="5">
        <v>-31350</v>
      </c>
      <c r="F865" s="3" t="s">
        <v>377</v>
      </c>
      <c r="G865" s="3" t="s">
        <v>20</v>
      </c>
      <c r="H865" s="2" t="s">
        <v>62</v>
      </c>
      <c r="I865" s="2" t="s">
        <v>2228</v>
      </c>
      <c r="J865" s="3" t="str">
        <f>HYPERLINK("https://www.boe.es/gazeta/dias/1814/03/01/pdfs/GRE-1814-28.pdf#page=7","Abrir facsímil")</f>
        <v>Abrir facsímil</v>
      </c>
      <c r="K865" s="3" t="s">
        <v>64</v>
      </c>
    </row>
    <row r="866" spans="1:11" ht="42" customHeight="1">
      <c r="A866" s="2" t="s">
        <v>2229</v>
      </c>
      <c r="B866" s="2" t="s">
        <v>2230</v>
      </c>
      <c r="C866" s="2" t="s">
        <v>38</v>
      </c>
      <c r="D866" s="2" t="s">
        <v>39</v>
      </c>
      <c r="E866" s="5">
        <v>-31117</v>
      </c>
      <c r="F866" s="3" t="s">
        <v>172</v>
      </c>
      <c r="G866" s="3" t="s">
        <v>392</v>
      </c>
      <c r="H866" s="2" t="s">
        <v>62</v>
      </c>
      <c r="I866" s="2" t="s">
        <v>2231</v>
      </c>
      <c r="J866" s="3" t="str">
        <f>HYPERLINK("https://www.boe.es/gazeta/dias/1814/10/20/pdfs/GMD-1814-141.pdf#page=8","Abrir facsímil")</f>
        <v>Abrir facsímil</v>
      </c>
      <c r="K866" s="3" t="s">
        <v>64</v>
      </c>
    </row>
    <row r="867" spans="1:11" ht="42" customHeight="1">
      <c r="A867" s="2" t="s">
        <v>2232</v>
      </c>
      <c r="B867" s="2" t="s">
        <v>2233</v>
      </c>
      <c r="C867" s="2" t="s">
        <v>17</v>
      </c>
      <c r="D867" s="2" t="s">
        <v>18</v>
      </c>
      <c r="E867" s="5">
        <v>-31206</v>
      </c>
      <c r="F867" s="3" t="s">
        <v>1196</v>
      </c>
      <c r="G867" s="3" t="s">
        <v>99</v>
      </c>
      <c r="H867" s="2" t="s">
        <v>21</v>
      </c>
      <c r="I867" s="2" t="s">
        <v>2234</v>
      </c>
      <c r="J867" s="3" t="str">
        <f>HYPERLINK("https://www.boe.es/gazeta/dias/1814/07/23/pdfs/GMD-1814-102.pdf#page=5","Abrir facsímil")</f>
        <v>Abrir facsímil</v>
      </c>
      <c r="K867" s="3" t="s">
        <v>23</v>
      </c>
    </row>
    <row r="868" spans="1:11" ht="42" customHeight="1">
      <c r="A868" s="2" t="s">
        <v>2232</v>
      </c>
      <c r="B868" s="2" t="s">
        <v>2233</v>
      </c>
      <c r="C868" s="2" t="s">
        <v>26</v>
      </c>
      <c r="D868" s="2" t="s">
        <v>27</v>
      </c>
      <c r="E868" s="5">
        <v>-31185</v>
      </c>
      <c r="F868" s="3" t="s">
        <v>1238</v>
      </c>
      <c r="G868" s="3" t="s">
        <v>1359</v>
      </c>
      <c r="H868" s="2" t="s">
        <v>21</v>
      </c>
      <c r="I868" s="2" t="s">
        <v>2235</v>
      </c>
      <c r="J868" s="3" t="str">
        <f>HYPERLINK("https://www.boe.es/gazeta/dias/1814/08/13/pdfs/GMD-1814-111.pdf#page=6","Abrir facsímil")</f>
        <v>Abrir facsímil</v>
      </c>
      <c r="K868" s="3" t="s">
        <v>23</v>
      </c>
    </row>
    <row r="869" spans="1:11" ht="42" customHeight="1">
      <c r="A869" s="2" t="s">
        <v>2236</v>
      </c>
      <c r="B869" s="2" t="s">
        <v>2237</v>
      </c>
      <c r="C869" s="2" t="s">
        <v>17</v>
      </c>
      <c r="D869" s="2" t="s">
        <v>18</v>
      </c>
      <c r="E869" s="5">
        <v>-31224</v>
      </c>
      <c r="F869" s="3" t="s">
        <v>609</v>
      </c>
      <c r="G869" s="3" t="s">
        <v>322</v>
      </c>
      <c r="H869" s="2" t="s">
        <v>62</v>
      </c>
      <c r="I869" s="2" t="s">
        <v>2238</v>
      </c>
      <c r="J869" s="3" t="str">
        <f>HYPERLINK("https://www.boe.es/gazeta/dias/1814/07/05/pdfs/GMD-1814-94.pdf#page=12","Abrir facsímil")</f>
        <v>Abrir facsímil</v>
      </c>
      <c r="K869" s="3" t="s">
        <v>64</v>
      </c>
    </row>
    <row r="870" spans="1:11" ht="42" customHeight="1">
      <c r="A870" s="2" t="s">
        <v>2239</v>
      </c>
      <c r="B870" s="2" t="s">
        <v>2240</v>
      </c>
      <c r="C870" s="2" t="s">
        <v>38</v>
      </c>
      <c r="D870" s="2" t="s">
        <v>39</v>
      </c>
      <c r="E870" s="5">
        <v>-31199</v>
      </c>
      <c r="F870" s="3" t="s">
        <v>453</v>
      </c>
      <c r="G870" s="3" t="s">
        <v>20</v>
      </c>
      <c r="H870" s="2" t="s">
        <v>21</v>
      </c>
      <c r="I870" s="2" t="s">
        <v>2241</v>
      </c>
      <c r="J870" s="3" t="str">
        <f>HYPERLINK("https://www.boe.es/gazeta/dias/1814/07/30/pdfs/GMD-1814-105.pdf#page=7","Abrir facsímil")</f>
        <v>Abrir facsímil</v>
      </c>
      <c r="K870" s="3" t="s">
        <v>23</v>
      </c>
    </row>
    <row r="871" spans="1:11" ht="42" customHeight="1">
      <c r="A871" s="2" t="s">
        <v>2239</v>
      </c>
      <c r="B871" s="2" t="s">
        <v>2240</v>
      </c>
      <c r="C871" s="2" t="s">
        <v>26</v>
      </c>
      <c r="D871" s="2" t="s">
        <v>27</v>
      </c>
      <c r="E871" s="5">
        <v>-31196</v>
      </c>
      <c r="F871" s="3" t="s">
        <v>828</v>
      </c>
      <c r="G871" s="3" t="s">
        <v>52</v>
      </c>
      <c r="H871" s="2" t="s">
        <v>21</v>
      </c>
      <c r="I871" s="2" t="s">
        <v>2242</v>
      </c>
      <c r="J871" s="3" t="str">
        <f>HYPERLINK("https://www.boe.es/gazeta/dias/1814/08/02/pdfs/GMD-1814-106.pdf#page=8","Abrir facsímil")</f>
        <v>Abrir facsímil</v>
      </c>
      <c r="K871" s="3" t="s">
        <v>23</v>
      </c>
    </row>
    <row r="872" spans="1:11" ht="42" customHeight="1">
      <c r="A872" s="2" t="s">
        <v>2239</v>
      </c>
      <c r="B872" s="2" t="s">
        <v>2240</v>
      </c>
      <c r="C872" s="2" t="s">
        <v>17</v>
      </c>
      <c r="D872" s="2" t="s">
        <v>18</v>
      </c>
      <c r="E872" s="5">
        <v>-31192</v>
      </c>
      <c r="F872" s="3" t="s">
        <v>388</v>
      </c>
      <c r="G872" s="3" t="s">
        <v>57</v>
      </c>
      <c r="H872" s="2" t="s">
        <v>21</v>
      </c>
      <c r="I872" s="2" t="s">
        <v>2243</v>
      </c>
      <c r="J872" s="3" t="str">
        <f>HYPERLINK("https://www.boe.es/gazeta/dias/1814/08/06/pdfs/GMD-1814-108.pdf#page=6","Abrir facsímil")</f>
        <v>Abrir facsímil</v>
      </c>
      <c r="K872" s="3" t="s">
        <v>23</v>
      </c>
    </row>
    <row r="873" spans="1:11" ht="42" customHeight="1">
      <c r="A873" s="2" t="s">
        <v>2239</v>
      </c>
      <c r="B873" s="2" t="s">
        <v>2240</v>
      </c>
      <c r="C873" s="2" t="s">
        <v>26</v>
      </c>
      <c r="D873" s="2" t="s">
        <v>27</v>
      </c>
      <c r="E873" s="5">
        <v>-31129</v>
      </c>
      <c r="F873" s="3" t="s">
        <v>418</v>
      </c>
      <c r="G873" s="3" t="s">
        <v>1366</v>
      </c>
      <c r="H873" s="2" t="s">
        <v>21</v>
      </c>
      <c r="I873" s="2" t="s">
        <v>2244</v>
      </c>
      <c r="J873" s="3" t="str">
        <f>HYPERLINK("https://www.boe.es/gazeta/dias/1814/10/08/pdfs/GMD-1814-136.pdf#page=6","Abrir facsímil")</f>
        <v>Abrir facsímil</v>
      </c>
      <c r="K873" s="3" t="s">
        <v>23</v>
      </c>
    </row>
    <row r="874" spans="1:11" ht="42" customHeight="1">
      <c r="A874" s="2" t="s">
        <v>2239</v>
      </c>
      <c r="B874" s="2" t="s">
        <v>2240</v>
      </c>
      <c r="C874" s="2" t="s">
        <v>26</v>
      </c>
      <c r="D874" s="2" t="s">
        <v>27</v>
      </c>
      <c r="E874" s="5">
        <v>-31117</v>
      </c>
      <c r="F874" s="3" t="s">
        <v>172</v>
      </c>
      <c r="G874" s="3" t="s">
        <v>41</v>
      </c>
      <c r="H874" s="2" t="s">
        <v>21</v>
      </c>
      <c r="I874" s="2" t="s">
        <v>2245</v>
      </c>
      <c r="J874" s="3" t="str">
        <f>HYPERLINK("https://www.boe.es/gazeta/dias/1814/10/20/pdfs/GMD-1814-141.pdf#page=4","Abrir facsímil")</f>
        <v>Abrir facsímil</v>
      </c>
      <c r="K874" s="3" t="s">
        <v>23</v>
      </c>
    </row>
    <row r="875" spans="1:11" ht="42" customHeight="1">
      <c r="A875" s="2" t="s">
        <v>2246</v>
      </c>
      <c r="B875" s="2" t="s">
        <v>2246</v>
      </c>
      <c r="C875" s="2" t="s">
        <v>38</v>
      </c>
      <c r="D875" s="2" t="s">
        <v>39</v>
      </c>
      <c r="E875" s="5">
        <v>-31360</v>
      </c>
      <c r="F875" s="3" t="s">
        <v>480</v>
      </c>
      <c r="G875" s="3" t="s">
        <v>87</v>
      </c>
      <c r="H875" s="2" t="s">
        <v>62</v>
      </c>
      <c r="I875" s="2" t="s">
        <v>2247</v>
      </c>
      <c r="J875" s="3" t="str">
        <f>HYPERLINK("https://www.boe.es/gazeta/dias/1814/02/19/pdfs/GRE-1814-23.pdf#page=2","Abrir facsímil")</f>
        <v>Abrir facsímil</v>
      </c>
      <c r="K875" s="3" t="s">
        <v>64</v>
      </c>
    </row>
    <row r="876" spans="1:11" ht="42" customHeight="1">
      <c r="A876" s="2" t="s">
        <v>2248</v>
      </c>
      <c r="B876" s="2" t="s">
        <v>2248</v>
      </c>
      <c r="C876" s="2" t="s">
        <v>38</v>
      </c>
      <c r="D876" s="2" t="s">
        <v>39</v>
      </c>
      <c r="E876" s="5">
        <v>-31336</v>
      </c>
      <c r="F876" s="3" t="s">
        <v>1789</v>
      </c>
      <c r="G876" s="3" t="s">
        <v>41</v>
      </c>
      <c r="H876" s="2" t="s">
        <v>62</v>
      </c>
      <c r="I876" s="2" t="s">
        <v>2249</v>
      </c>
      <c r="J876" s="3" t="str">
        <f>HYPERLINK("https://www.boe.es/gazeta/dias/1814/03/15/pdfs/GRE-1814-36.pdf#page=4","Abrir facsímil")</f>
        <v>Abrir facsímil</v>
      </c>
      <c r="K876" s="3" t="s">
        <v>64</v>
      </c>
    </row>
    <row r="877" spans="1:11" ht="42" customHeight="1">
      <c r="A877" s="2" t="s">
        <v>2250</v>
      </c>
      <c r="B877" s="2" t="s">
        <v>2251</v>
      </c>
      <c r="C877" s="2" t="s">
        <v>38</v>
      </c>
      <c r="D877" s="2" t="s">
        <v>39</v>
      </c>
      <c r="E877" s="5">
        <v>-31231</v>
      </c>
      <c r="F877" s="3" t="s">
        <v>861</v>
      </c>
      <c r="G877" s="3" t="s">
        <v>322</v>
      </c>
      <c r="H877" s="2" t="s">
        <v>62</v>
      </c>
      <c r="I877" s="2" t="s">
        <v>2252</v>
      </c>
      <c r="J877" s="3" t="str">
        <f>HYPERLINK("https://www.boe.es/gazeta/dias/1814/06/28/pdfs/GMD-1814-91.pdf#page=12","Abrir facsímil")</f>
        <v>Abrir facsímil</v>
      </c>
      <c r="K877" s="3" t="s">
        <v>64</v>
      </c>
    </row>
    <row r="878" spans="1:11" ht="42" customHeight="1">
      <c r="A878" s="2" t="s">
        <v>2253</v>
      </c>
      <c r="B878" s="2" t="s">
        <v>2253</v>
      </c>
      <c r="C878" s="2" t="s">
        <v>38</v>
      </c>
      <c r="D878" s="2" t="s">
        <v>39</v>
      </c>
      <c r="E878" s="5">
        <v>-31381</v>
      </c>
      <c r="F878" s="3" t="s">
        <v>989</v>
      </c>
      <c r="G878" s="3" t="s">
        <v>82</v>
      </c>
      <c r="H878" s="2" t="s">
        <v>62</v>
      </c>
      <c r="I878" s="2" t="s">
        <v>2254</v>
      </c>
      <c r="J878" s="3" t="str">
        <f>HYPERLINK("https://www.boe.es/gazeta/dias/1814/01/29/pdfs/GRE-1814-14.pdf#page=3","Abrir facsímil")</f>
        <v>Abrir facsímil</v>
      </c>
      <c r="K878" s="3" t="s">
        <v>64</v>
      </c>
    </row>
    <row r="879" spans="1:11" ht="42" customHeight="1">
      <c r="A879" s="2" t="s">
        <v>2253</v>
      </c>
      <c r="B879" s="2" t="s">
        <v>2253</v>
      </c>
      <c r="C879" s="2" t="s">
        <v>38</v>
      </c>
      <c r="D879" s="2" t="s">
        <v>39</v>
      </c>
      <c r="E879" s="5">
        <v>-31362</v>
      </c>
      <c r="F879" s="3" t="s">
        <v>302</v>
      </c>
      <c r="G879" s="3" t="s">
        <v>41</v>
      </c>
      <c r="H879" s="2" t="s">
        <v>62</v>
      </c>
      <c r="I879" s="2" t="s">
        <v>2255</v>
      </c>
      <c r="J879" s="3" t="str">
        <f>HYPERLINK("https://www.boe.es/gazeta/dias/1814/02/17/pdfs/GRE-1814-22.pdf#page=4","Abrir facsímil")</f>
        <v>Abrir facsímil</v>
      </c>
      <c r="K879" s="3" t="s">
        <v>64</v>
      </c>
    </row>
    <row r="880" spans="1:11" ht="42" customHeight="1">
      <c r="A880" s="2" t="s">
        <v>2253</v>
      </c>
      <c r="B880" s="2" t="s">
        <v>2253</v>
      </c>
      <c r="C880" s="2" t="s">
        <v>38</v>
      </c>
      <c r="D880" s="2" t="s">
        <v>39</v>
      </c>
      <c r="E880" s="5">
        <v>-31360</v>
      </c>
      <c r="F880" s="3" t="s">
        <v>480</v>
      </c>
      <c r="G880" s="3" t="s">
        <v>87</v>
      </c>
      <c r="H880" s="2" t="s">
        <v>62</v>
      </c>
      <c r="I880" s="2" t="s">
        <v>2256</v>
      </c>
      <c r="J880" s="3" t="str">
        <f>HYPERLINK("https://www.boe.es/gazeta/dias/1814/02/19/pdfs/GRE-1814-23.pdf#page=2","Abrir facsímil")</f>
        <v>Abrir facsímil</v>
      </c>
      <c r="K880" s="3" t="s">
        <v>64</v>
      </c>
    </row>
    <row r="881" spans="1:11" ht="42" customHeight="1">
      <c r="A881" s="2" t="s">
        <v>2253</v>
      </c>
      <c r="B881" s="2" t="s">
        <v>2253</v>
      </c>
      <c r="C881" s="2" t="s">
        <v>38</v>
      </c>
      <c r="D881" s="2" t="s">
        <v>39</v>
      </c>
      <c r="E881" s="5">
        <v>-31360</v>
      </c>
      <c r="F881" s="3" t="s">
        <v>480</v>
      </c>
      <c r="G881" s="3" t="s">
        <v>82</v>
      </c>
      <c r="H881" s="2" t="s">
        <v>62</v>
      </c>
      <c r="I881" s="2" t="s">
        <v>2257</v>
      </c>
      <c r="J881" s="3" t="str">
        <f>HYPERLINK("https://www.boe.es/gazeta/dias/1814/02/19/pdfs/GRE-1814-23.pdf#page=3","Abrir facsímil")</f>
        <v>Abrir facsímil</v>
      </c>
      <c r="K881" s="3" t="s">
        <v>64</v>
      </c>
    </row>
    <row r="882" spans="1:11" ht="42" customHeight="1">
      <c r="A882" s="2" t="s">
        <v>2253</v>
      </c>
      <c r="B882" s="2" t="s">
        <v>2253</v>
      </c>
      <c r="C882" s="2" t="s">
        <v>38</v>
      </c>
      <c r="D882" s="2" t="s">
        <v>39</v>
      </c>
      <c r="E882" s="5">
        <v>-31350</v>
      </c>
      <c r="F882" s="3" t="s">
        <v>377</v>
      </c>
      <c r="G882" s="3" t="s">
        <v>107</v>
      </c>
      <c r="H882" s="2" t="s">
        <v>62</v>
      </c>
      <c r="I882" s="2" t="s">
        <v>2258</v>
      </c>
      <c r="J882" s="3" t="str">
        <f>HYPERLINK("https://www.boe.es/gazeta/dias/1814/03/01/pdfs/GRE-1814-28.pdf#page=1","Abrir facsímil")</f>
        <v>Abrir facsímil</v>
      </c>
      <c r="K882" s="3" t="s">
        <v>64</v>
      </c>
    </row>
    <row r="883" spans="1:11" ht="42" customHeight="1">
      <c r="A883" s="2" t="s">
        <v>2253</v>
      </c>
      <c r="B883" s="2" t="s">
        <v>2253</v>
      </c>
      <c r="C883" s="2" t="s">
        <v>38</v>
      </c>
      <c r="D883" s="2" t="s">
        <v>39</v>
      </c>
      <c r="E883" s="5">
        <v>-31341</v>
      </c>
      <c r="F883" s="3" t="s">
        <v>360</v>
      </c>
      <c r="G883" s="3" t="s">
        <v>99</v>
      </c>
      <c r="H883" s="2" t="s">
        <v>62</v>
      </c>
      <c r="I883" s="2" t="s">
        <v>2259</v>
      </c>
      <c r="J883" s="3" t="str">
        <f>HYPERLINK("https://www.boe.es/gazeta/dias/1814/03/10/pdfs/GRE-1814-33.pdf#page=5","Abrir facsímil")</f>
        <v>Abrir facsímil</v>
      </c>
      <c r="K883" s="3" t="s">
        <v>64</v>
      </c>
    </row>
    <row r="884" spans="1:11" ht="42" customHeight="1">
      <c r="A884" s="2" t="s">
        <v>2253</v>
      </c>
      <c r="B884" s="2" t="s">
        <v>2253</v>
      </c>
      <c r="C884" s="2" t="s">
        <v>38</v>
      </c>
      <c r="D884" s="2" t="s">
        <v>39</v>
      </c>
      <c r="E884" s="5">
        <v>-31327</v>
      </c>
      <c r="F884" s="3" t="s">
        <v>180</v>
      </c>
      <c r="G884" s="3" t="s">
        <v>99</v>
      </c>
      <c r="H884" s="2" t="s">
        <v>62</v>
      </c>
      <c r="I884" s="2" t="s">
        <v>2260</v>
      </c>
      <c r="J884" s="3" t="str">
        <f>HYPERLINK("https://www.boe.es/gazeta/dias/1814/03/24/pdfs/GRE-1814-41.pdf#page=5","Abrir facsímil")</f>
        <v>Abrir facsímil</v>
      </c>
      <c r="K884" s="3" t="s">
        <v>64</v>
      </c>
    </row>
    <row r="885" spans="1:11" ht="42" customHeight="1">
      <c r="A885" s="2" t="s">
        <v>2253</v>
      </c>
      <c r="B885" s="2" t="s">
        <v>2253</v>
      </c>
      <c r="C885" s="2" t="s">
        <v>38</v>
      </c>
      <c r="D885" s="2" t="s">
        <v>39</v>
      </c>
      <c r="E885" s="5">
        <v>-31290</v>
      </c>
      <c r="F885" s="3" t="s">
        <v>488</v>
      </c>
      <c r="G885" s="3" t="s">
        <v>87</v>
      </c>
      <c r="H885" s="2" t="s">
        <v>62</v>
      </c>
      <c r="I885" s="2" t="s">
        <v>2261</v>
      </c>
      <c r="J885" s="3" t="str">
        <f>HYPERLINK("https://www.boe.es/gazeta/dias/1814/04/30/pdfs/GRE-1814-64.pdf#page=2","Abrir facsímil")</f>
        <v>Abrir facsímil</v>
      </c>
      <c r="K885" s="3" t="s">
        <v>64</v>
      </c>
    </row>
    <row r="886" spans="1:11" ht="42" customHeight="1">
      <c r="A886" s="2" t="s">
        <v>2262</v>
      </c>
      <c r="B886" s="2" t="s">
        <v>2263</v>
      </c>
      <c r="C886" s="2" t="s">
        <v>17</v>
      </c>
      <c r="D886" s="2" t="s">
        <v>18</v>
      </c>
      <c r="E886" s="5">
        <v>-31119</v>
      </c>
      <c r="F886" s="3" t="s">
        <v>136</v>
      </c>
      <c r="G886" s="3" t="s">
        <v>137</v>
      </c>
      <c r="H886" s="2" t="s">
        <v>62</v>
      </c>
      <c r="I886" s="2" t="s">
        <v>2264</v>
      </c>
      <c r="J886" s="3" t="str">
        <f>HYPERLINK("https://www.boe.es/gazeta/dias/1814/10/18/pdfs/GMD-1814-140.pdf#page=9","Abrir facsímil")</f>
        <v>Abrir facsímil</v>
      </c>
      <c r="K886" s="3" t="s">
        <v>64</v>
      </c>
    </row>
    <row r="887" spans="1:11" ht="42" customHeight="1">
      <c r="A887" s="2" t="s">
        <v>2265</v>
      </c>
      <c r="B887" s="2" t="s">
        <v>2266</v>
      </c>
      <c r="C887" s="2" t="s">
        <v>38</v>
      </c>
      <c r="D887" s="2" t="s">
        <v>39</v>
      </c>
      <c r="E887" s="5">
        <v>-31131</v>
      </c>
      <c r="F887" s="3" t="s">
        <v>132</v>
      </c>
      <c r="G887" s="3" t="s">
        <v>20</v>
      </c>
      <c r="H887" s="2" t="s">
        <v>62</v>
      </c>
      <c r="I887" s="2" t="s">
        <v>2267</v>
      </c>
      <c r="J887" s="3" t="str">
        <f>HYPERLINK("https://www.boe.es/gazeta/dias/1814/10/06/pdfs/GMD-1814-135.pdf#page=7","Abrir facsímil")</f>
        <v>Abrir facsímil</v>
      </c>
      <c r="K887" s="3" t="s">
        <v>64</v>
      </c>
    </row>
    <row r="888" spans="1:11" ht="42" customHeight="1">
      <c r="A888" s="2" t="s">
        <v>2268</v>
      </c>
      <c r="B888" s="2" t="s">
        <v>2268</v>
      </c>
      <c r="C888" s="2" t="s">
        <v>38</v>
      </c>
      <c r="D888" s="2" t="s">
        <v>39</v>
      </c>
      <c r="E888" s="5">
        <v>-31404</v>
      </c>
      <c r="F888" s="3" t="s">
        <v>630</v>
      </c>
      <c r="G888" s="3" t="s">
        <v>57</v>
      </c>
      <c r="H888" s="2" t="s">
        <v>62</v>
      </c>
      <c r="I888" s="2" t="s">
        <v>2269</v>
      </c>
      <c r="J888" s="3" t="str">
        <f>HYPERLINK("https://www.boe.es/gazeta/dias/1814/01/06/pdfs/GRE-1814-3.pdf#page=6","Abrir facsímil")</f>
        <v>Abrir facsímil</v>
      </c>
      <c r="K888" s="3" t="s">
        <v>64</v>
      </c>
    </row>
    <row r="889" spans="1:11" ht="42" customHeight="1">
      <c r="A889" s="2" t="s">
        <v>2268</v>
      </c>
      <c r="B889" s="2" t="s">
        <v>2268</v>
      </c>
      <c r="C889" s="2" t="s">
        <v>38</v>
      </c>
      <c r="D889" s="2" t="s">
        <v>39</v>
      </c>
      <c r="E889" s="5">
        <v>-31390</v>
      </c>
      <c r="F889" s="3" t="s">
        <v>349</v>
      </c>
      <c r="G889" s="3" t="s">
        <v>20</v>
      </c>
      <c r="H889" s="2" t="s">
        <v>62</v>
      </c>
      <c r="I889" s="2" t="s">
        <v>2270</v>
      </c>
      <c r="J889" s="3" t="str">
        <f>HYPERLINK("https://www.boe.es/gazeta/dias/1814/01/20/pdfs/GRE-1814-10.pdf#page=7","Abrir facsímil")</f>
        <v>Abrir facsímil</v>
      </c>
      <c r="K889" s="3" t="s">
        <v>64</v>
      </c>
    </row>
    <row r="890" spans="1:11" ht="42" customHeight="1">
      <c r="A890" s="2" t="s">
        <v>2271</v>
      </c>
      <c r="B890" s="2" t="s">
        <v>2271</v>
      </c>
      <c r="C890" s="2" t="s">
        <v>26</v>
      </c>
      <c r="D890" s="2" t="s">
        <v>27</v>
      </c>
      <c r="E890" s="5">
        <v>-31129</v>
      </c>
      <c r="F890" s="3" t="s">
        <v>418</v>
      </c>
      <c r="G890" s="3" t="s">
        <v>20</v>
      </c>
      <c r="H890" s="2" t="s">
        <v>62</v>
      </c>
      <c r="I890" s="2" t="s">
        <v>2272</v>
      </c>
      <c r="J890" s="3" t="str">
        <f>HYPERLINK("https://www.boe.es/gazeta/dias/1814/10/08/pdfs/GMD-1814-136.pdf#page=7","Abrir facsímil")</f>
        <v>Abrir facsímil</v>
      </c>
      <c r="K890" s="3" t="s">
        <v>64</v>
      </c>
    </row>
    <row r="891" spans="1:11" ht="42" customHeight="1">
      <c r="A891" s="2" t="s">
        <v>2273</v>
      </c>
      <c r="B891" s="2" t="s">
        <v>2274</v>
      </c>
      <c r="C891" s="2" t="s">
        <v>38</v>
      </c>
      <c r="D891" s="2" t="s">
        <v>39</v>
      </c>
      <c r="E891" s="5">
        <v>-31133</v>
      </c>
      <c r="F891" s="3" t="s">
        <v>184</v>
      </c>
      <c r="G891" s="3" t="s">
        <v>20</v>
      </c>
      <c r="H891" s="2" t="s">
        <v>62</v>
      </c>
      <c r="I891" s="2" t="s">
        <v>2275</v>
      </c>
      <c r="J891" s="3" t="str">
        <f>HYPERLINK("https://www.boe.es/gazeta/dias/1814/10/04/pdfs/GMD-1814-134.pdf#page=7","Abrir facsímil")</f>
        <v>Abrir facsímil</v>
      </c>
      <c r="K891" s="3" t="s">
        <v>64</v>
      </c>
    </row>
    <row r="892" spans="1:11" ht="42" customHeight="1">
      <c r="A892" s="2" t="s">
        <v>2276</v>
      </c>
      <c r="B892" s="2" t="s">
        <v>2277</v>
      </c>
      <c r="C892" s="2" t="s">
        <v>38</v>
      </c>
      <c r="D892" s="2" t="s">
        <v>39</v>
      </c>
      <c r="E892" s="5">
        <v>-31250</v>
      </c>
      <c r="F892" s="3" t="s">
        <v>177</v>
      </c>
      <c r="G892" s="3" t="s">
        <v>52</v>
      </c>
      <c r="H892" s="2" t="s">
        <v>62</v>
      </c>
      <c r="I892" s="2" t="s">
        <v>2278</v>
      </c>
      <c r="J892" s="3" t="str">
        <f>HYPERLINK("https://www.boe.es/gazeta/dias/1814/06/09/pdfs/GMD-1814-83.pdf#page=8","Abrir facsímil")</f>
        <v>Abrir facsímil</v>
      </c>
      <c r="K892" s="3" t="s">
        <v>64</v>
      </c>
    </row>
    <row r="893" spans="1:11" ht="42" customHeight="1">
      <c r="A893" s="2" t="s">
        <v>2279</v>
      </c>
      <c r="B893" s="2" t="s">
        <v>2280</v>
      </c>
      <c r="C893" s="2" t="s">
        <v>17</v>
      </c>
      <c r="D893" s="2" t="s">
        <v>18</v>
      </c>
      <c r="E893" s="5">
        <v>-31133</v>
      </c>
      <c r="F893" s="3" t="s">
        <v>184</v>
      </c>
      <c r="G893" s="3" t="s">
        <v>20</v>
      </c>
      <c r="H893" s="2" t="s">
        <v>62</v>
      </c>
      <c r="I893" s="2" t="s">
        <v>2281</v>
      </c>
      <c r="J893" s="3" t="str">
        <f>HYPERLINK("https://www.boe.es/gazeta/dias/1814/10/04/pdfs/GMD-1814-134.pdf#page=7","Abrir facsímil")</f>
        <v>Abrir facsímil</v>
      </c>
      <c r="K893" s="3" t="s">
        <v>64</v>
      </c>
    </row>
    <row r="894" spans="1:11" ht="42" customHeight="1">
      <c r="A894" s="2" t="s">
        <v>2282</v>
      </c>
      <c r="B894" s="2" t="s">
        <v>2283</v>
      </c>
      <c r="C894" s="2" t="s">
        <v>45</v>
      </c>
      <c r="D894" s="2" t="s">
        <v>18</v>
      </c>
      <c r="E894" s="5">
        <v>-31159</v>
      </c>
      <c r="F894" s="3" t="s">
        <v>1175</v>
      </c>
      <c r="G894" s="3" t="s">
        <v>52</v>
      </c>
      <c r="H894" s="2" t="s">
        <v>62</v>
      </c>
      <c r="I894" s="2" t="s">
        <v>2284</v>
      </c>
      <c r="J894" s="3" t="str">
        <f>HYPERLINK("https://www.boe.es/gazeta/dias/1814/09/08/pdfs/GMD-1814-123.pdf#page=8","Abrir facsímil")</f>
        <v>Abrir facsímil</v>
      </c>
      <c r="K894" s="3" t="s">
        <v>64</v>
      </c>
    </row>
    <row r="895" spans="1:11" ht="42" customHeight="1">
      <c r="A895" s="2" t="s">
        <v>2285</v>
      </c>
      <c r="B895" s="2" t="s">
        <v>2286</v>
      </c>
      <c r="C895" s="2" t="s">
        <v>38</v>
      </c>
      <c r="D895" s="2" t="s">
        <v>39</v>
      </c>
      <c r="E895" s="5">
        <v>-31350</v>
      </c>
      <c r="F895" s="3" t="s">
        <v>377</v>
      </c>
      <c r="G895" s="3" t="s">
        <v>2017</v>
      </c>
      <c r="H895" s="2" t="s">
        <v>62</v>
      </c>
      <c r="I895" s="2" t="s">
        <v>2287</v>
      </c>
      <c r="J895" s="3" t="str">
        <f>HYPERLINK("https://www.boe.es/gazeta/dias/1814/03/01/pdfs/GRE-1814-28.pdf#page=6","Abrir facsímil")</f>
        <v>Abrir facsímil</v>
      </c>
      <c r="K895" s="3" t="s">
        <v>64</v>
      </c>
    </row>
    <row r="896" spans="1:11" ht="42" customHeight="1">
      <c r="A896" s="2" t="s">
        <v>2288</v>
      </c>
      <c r="B896" s="2" t="s">
        <v>2288</v>
      </c>
      <c r="C896" s="2" t="s">
        <v>32</v>
      </c>
      <c r="D896" s="2" t="s">
        <v>18</v>
      </c>
      <c r="E896" s="5">
        <v>-31182</v>
      </c>
      <c r="F896" s="3" t="s">
        <v>19</v>
      </c>
      <c r="G896" s="3" t="s">
        <v>82</v>
      </c>
      <c r="H896" s="2" t="s">
        <v>62</v>
      </c>
      <c r="I896" s="2" t="s">
        <v>2289</v>
      </c>
      <c r="J896" s="3" t="str">
        <f>HYPERLINK("https://www.boe.es/gazeta/dias/1814/08/16/pdfs/GMD-1814-112.pdf#page=3","Abrir facsímil")</f>
        <v>Abrir facsímil</v>
      </c>
      <c r="K896" s="3" t="s">
        <v>64</v>
      </c>
    </row>
    <row r="897" spans="1:11" ht="42" customHeight="1">
      <c r="A897" s="2" t="s">
        <v>2290</v>
      </c>
      <c r="B897" s="2" t="s">
        <v>2291</v>
      </c>
      <c r="C897" s="2" t="s">
        <v>45</v>
      </c>
      <c r="D897" s="2" t="s">
        <v>18</v>
      </c>
      <c r="E897" s="5">
        <v>-31117</v>
      </c>
      <c r="F897" s="3" t="s">
        <v>172</v>
      </c>
      <c r="G897" s="3" t="s">
        <v>392</v>
      </c>
      <c r="H897" s="2" t="s">
        <v>62</v>
      </c>
      <c r="I897" s="2" t="s">
        <v>2292</v>
      </c>
      <c r="J897" s="3" t="str">
        <f>HYPERLINK("https://www.boe.es/gazeta/dias/1814/10/20/pdfs/GMD-1814-141.pdf#page=8","Abrir facsímil")</f>
        <v>Abrir facsímil</v>
      </c>
      <c r="K897" s="3" t="s">
        <v>64</v>
      </c>
    </row>
    <row r="898" spans="1:11" ht="42" customHeight="1">
      <c r="A898" s="2" t="s">
        <v>2293</v>
      </c>
      <c r="B898" s="2" t="s">
        <v>2293</v>
      </c>
      <c r="C898" s="2" t="s">
        <v>38</v>
      </c>
      <c r="D898" s="2" t="s">
        <v>39</v>
      </c>
      <c r="E898" s="5">
        <v>-31395</v>
      </c>
      <c r="F898" s="3" t="s">
        <v>662</v>
      </c>
      <c r="G898" s="3" t="s">
        <v>41</v>
      </c>
      <c r="H898" s="2" t="s">
        <v>62</v>
      </c>
      <c r="I898" s="2" t="s">
        <v>2294</v>
      </c>
      <c r="J898" s="3" t="str">
        <f>HYPERLINK("https://www.boe.es/gazeta/dias/1814/01/15/pdfs/GRE-1814-8.pdf#page=4","Abrir facsímil")</f>
        <v>Abrir facsímil</v>
      </c>
      <c r="K898" s="3" t="s">
        <v>64</v>
      </c>
    </row>
    <row r="899" spans="1:11" ht="42" customHeight="1">
      <c r="A899" s="2" t="s">
        <v>2295</v>
      </c>
      <c r="B899" s="2" t="s">
        <v>2295</v>
      </c>
      <c r="C899" s="2" t="s">
        <v>38</v>
      </c>
      <c r="D899" s="2" t="s">
        <v>39</v>
      </c>
      <c r="E899" s="5">
        <v>-31371</v>
      </c>
      <c r="F899" s="3" t="s">
        <v>476</v>
      </c>
      <c r="G899" s="3" t="s">
        <v>87</v>
      </c>
      <c r="H899" s="2" t="s">
        <v>62</v>
      </c>
      <c r="I899" s="2" t="s">
        <v>2296</v>
      </c>
      <c r="J899" s="3" t="str">
        <f>HYPERLINK("https://www.boe.es/gazeta/dias/1814/02/08/pdfs/GRE-1814-31.pdf#page=2","Abrir facsímil")</f>
        <v>Abrir facsímil</v>
      </c>
      <c r="K899" s="3" t="s">
        <v>64</v>
      </c>
    </row>
    <row r="900" spans="1:11" ht="42" customHeight="1">
      <c r="A900" s="2" t="s">
        <v>2295</v>
      </c>
      <c r="B900" s="2" t="s">
        <v>2295</v>
      </c>
      <c r="C900" s="2" t="s">
        <v>38</v>
      </c>
      <c r="D900" s="2" t="s">
        <v>39</v>
      </c>
      <c r="E900" s="5">
        <v>-31343</v>
      </c>
      <c r="F900" s="3" t="s">
        <v>476</v>
      </c>
      <c r="G900" s="3" t="s">
        <v>87</v>
      </c>
      <c r="H900" s="2" t="s">
        <v>62</v>
      </c>
      <c r="I900" s="2" t="s">
        <v>2296</v>
      </c>
      <c r="J900" s="3" t="str">
        <f>HYPERLINK("https://www.boe.es/gazeta/dias/1814/03/08/pdfs/GRE-1814-31.pdf#page=2","Abrir facsímil")</f>
        <v>Abrir facsímil</v>
      </c>
      <c r="K900" s="3" t="s">
        <v>64</v>
      </c>
    </row>
    <row r="901" spans="1:11" ht="42" customHeight="1">
      <c r="A901" s="2" t="s">
        <v>2293</v>
      </c>
      <c r="B901" s="2" t="s">
        <v>2293</v>
      </c>
      <c r="C901" s="2" t="s">
        <v>38</v>
      </c>
      <c r="D901" s="2" t="s">
        <v>39</v>
      </c>
      <c r="E901" s="5">
        <v>-31206</v>
      </c>
      <c r="F901" s="3" t="s">
        <v>1196</v>
      </c>
      <c r="G901" s="3" t="s">
        <v>87</v>
      </c>
      <c r="H901" s="2" t="s">
        <v>62</v>
      </c>
      <c r="I901" s="2" t="s">
        <v>2297</v>
      </c>
      <c r="J901" s="3" t="str">
        <f>HYPERLINK("https://www.boe.es/gazeta/dias/1814/07/23/pdfs/GMD-1814-102.pdf#page=2","Abrir facsímil")</f>
        <v>Abrir facsímil</v>
      </c>
      <c r="K901" s="3" t="s">
        <v>64</v>
      </c>
    </row>
    <row r="902" spans="1:11" ht="42" customHeight="1">
      <c r="A902" s="2" t="s">
        <v>2298</v>
      </c>
      <c r="B902" s="2" t="s">
        <v>2298</v>
      </c>
      <c r="C902" s="2" t="s">
        <v>38</v>
      </c>
      <c r="D902" s="2" t="s">
        <v>39</v>
      </c>
      <c r="E902" s="5">
        <v>-31360</v>
      </c>
      <c r="F902" s="3" t="s">
        <v>480</v>
      </c>
      <c r="G902" s="3" t="s">
        <v>107</v>
      </c>
      <c r="H902" s="2" t="s">
        <v>62</v>
      </c>
      <c r="I902" s="2" t="s">
        <v>2299</v>
      </c>
      <c r="J902" s="3" t="str">
        <f>HYPERLINK("https://www.boe.es/gazeta/dias/1814/02/19/pdfs/GRE-1814-23.pdf#page=1","Abrir facsímil")</f>
        <v>Abrir facsímil</v>
      </c>
      <c r="K902" s="3" t="s">
        <v>64</v>
      </c>
    </row>
    <row r="903" spans="1:11" ht="42" customHeight="1">
      <c r="A903" s="2" t="s">
        <v>2300</v>
      </c>
      <c r="B903" s="2" t="s">
        <v>2300</v>
      </c>
      <c r="C903" s="2" t="s">
        <v>38</v>
      </c>
      <c r="D903" s="2" t="s">
        <v>39</v>
      </c>
      <c r="E903" s="5">
        <v>-31122</v>
      </c>
      <c r="F903" s="3" t="s">
        <v>28</v>
      </c>
      <c r="G903" s="3" t="s">
        <v>87</v>
      </c>
      <c r="H903" s="2" t="s">
        <v>62</v>
      </c>
      <c r="I903" s="2" t="s">
        <v>2301</v>
      </c>
      <c r="J903" s="3" t="str">
        <f>HYPERLINK("https://www.boe.es/gazeta/dias/1814/10/15/pdfs/GMD-1814-139.pdf#page=2","Abrir facsímil")</f>
        <v>Abrir facsímil</v>
      </c>
      <c r="K903" s="3" t="s">
        <v>64</v>
      </c>
    </row>
    <row r="904" spans="1:11" ht="42" customHeight="1">
      <c r="A904" s="2" t="s">
        <v>2302</v>
      </c>
      <c r="B904" s="2" t="s">
        <v>2302</v>
      </c>
      <c r="C904" s="2" t="s">
        <v>38</v>
      </c>
      <c r="D904" s="2" t="s">
        <v>39</v>
      </c>
      <c r="E904" s="5">
        <v>-31409</v>
      </c>
      <c r="F904" s="3" t="s">
        <v>168</v>
      </c>
      <c r="G904" s="3" t="s">
        <v>99</v>
      </c>
      <c r="H904" s="2" t="s">
        <v>62</v>
      </c>
      <c r="I904" s="2" t="s">
        <v>2303</v>
      </c>
      <c r="J904" s="3" t="str">
        <f>HYPERLINK("https://www.boe.es/gazeta/dias/1814/01/01/pdfs/GRE-1814-1.pdf#page=5","Abrir facsímil")</f>
        <v>Abrir facsímil</v>
      </c>
      <c r="K904" s="3" t="s">
        <v>64</v>
      </c>
    </row>
    <row r="905" spans="1:11" ht="42" customHeight="1">
      <c r="A905" s="2" t="s">
        <v>2302</v>
      </c>
      <c r="B905" s="2" t="s">
        <v>2302</v>
      </c>
      <c r="C905" s="2" t="s">
        <v>38</v>
      </c>
      <c r="D905" s="2" t="s">
        <v>39</v>
      </c>
      <c r="E905" s="5">
        <v>-31399</v>
      </c>
      <c r="F905" s="3" t="s">
        <v>218</v>
      </c>
      <c r="G905" s="3" t="s">
        <v>87</v>
      </c>
      <c r="H905" s="2" t="s">
        <v>62</v>
      </c>
      <c r="I905" s="2" t="s">
        <v>2304</v>
      </c>
      <c r="J905" s="3" t="str">
        <f>HYPERLINK("https://www.boe.es/gazeta/dias/1814/01/11/pdfs/GRE-1814-6.pdf#page=2","Abrir facsímil")</f>
        <v>Abrir facsímil</v>
      </c>
      <c r="K905" s="3" t="s">
        <v>64</v>
      </c>
    </row>
    <row r="906" spans="1:11" ht="42" customHeight="1">
      <c r="A906" s="2" t="s">
        <v>2302</v>
      </c>
      <c r="B906" s="2" t="s">
        <v>2302</v>
      </c>
      <c r="C906" s="2" t="s">
        <v>38</v>
      </c>
      <c r="D906" s="2" t="s">
        <v>39</v>
      </c>
      <c r="E906" s="5">
        <v>-31395</v>
      </c>
      <c r="F906" s="3" t="s">
        <v>662</v>
      </c>
      <c r="G906" s="3" t="s">
        <v>41</v>
      </c>
      <c r="H906" s="2" t="s">
        <v>62</v>
      </c>
      <c r="I906" s="2" t="s">
        <v>2305</v>
      </c>
      <c r="J906" s="3" t="str">
        <f>HYPERLINK("https://www.boe.es/gazeta/dias/1814/01/15/pdfs/GRE-1814-8.pdf#page=4","Abrir facsímil")</f>
        <v>Abrir facsímil</v>
      </c>
      <c r="K906" s="3" t="s">
        <v>64</v>
      </c>
    </row>
    <row r="907" spans="1:11" ht="42" customHeight="1">
      <c r="A907" s="2" t="s">
        <v>2302</v>
      </c>
      <c r="B907" s="2" t="s">
        <v>2302</v>
      </c>
      <c r="C907" s="2" t="s">
        <v>38</v>
      </c>
      <c r="D907" s="2" t="s">
        <v>39</v>
      </c>
      <c r="E907" s="5">
        <v>-31395</v>
      </c>
      <c r="F907" s="3" t="s">
        <v>662</v>
      </c>
      <c r="G907" s="3" t="s">
        <v>99</v>
      </c>
      <c r="H907" s="2" t="s">
        <v>62</v>
      </c>
      <c r="I907" s="2" t="s">
        <v>2306</v>
      </c>
      <c r="J907" s="3" t="str">
        <f>HYPERLINK("https://www.boe.es/gazeta/dias/1814/01/15/pdfs/GRE-1814-8.pdf#page=5","Abrir facsímil")</f>
        <v>Abrir facsímil</v>
      </c>
      <c r="K907" s="3" t="s">
        <v>64</v>
      </c>
    </row>
    <row r="908" spans="1:11" ht="42" customHeight="1">
      <c r="A908" s="2" t="s">
        <v>2302</v>
      </c>
      <c r="B908" s="2" t="s">
        <v>2302</v>
      </c>
      <c r="C908" s="2" t="s">
        <v>38</v>
      </c>
      <c r="D908" s="2" t="s">
        <v>39</v>
      </c>
      <c r="E908" s="5">
        <v>-31374</v>
      </c>
      <c r="F908" s="3" t="s">
        <v>474</v>
      </c>
      <c r="G908" s="3" t="s">
        <v>41</v>
      </c>
      <c r="H908" s="2" t="s">
        <v>62</v>
      </c>
      <c r="I908" s="2" t="s">
        <v>2307</v>
      </c>
      <c r="J908" s="3" t="str">
        <f>HYPERLINK("https://www.boe.es/gazeta/dias/1814/02/05/pdfs/GRE-1814-17.pdf#page=4","Abrir facsímil")</f>
        <v>Abrir facsímil</v>
      </c>
      <c r="K908" s="3" t="s">
        <v>64</v>
      </c>
    </row>
    <row r="909" spans="1:11" ht="42" customHeight="1">
      <c r="A909" s="2" t="s">
        <v>2308</v>
      </c>
      <c r="B909" s="2" t="s">
        <v>2308</v>
      </c>
      <c r="C909" s="2" t="s">
        <v>38</v>
      </c>
      <c r="D909" s="2" t="s">
        <v>39</v>
      </c>
      <c r="E909" s="5">
        <v>-31371</v>
      </c>
      <c r="F909" s="3" t="s">
        <v>476</v>
      </c>
      <c r="G909" s="3" t="s">
        <v>107</v>
      </c>
      <c r="H909" s="2" t="s">
        <v>62</v>
      </c>
      <c r="I909" s="2" t="s">
        <v>2309</v>
      </c>
      <c r="J909" s="3" t="str">
        <f>HYPERLINK("https://www.boe.es/gazeta/dias/1814/02/08/pdfs/GRE-1814-31.pdf#page=1","Abrir facsímil")</f>
        <v>Abrir facsímil</v>
      </c>
      <c r="K909" s="3" t="s">
        <v>64</v>
      </c>
    </row>
    <row r="910" spans="1:11" ht="42" customHeight="1">
      <c r="A910" s="2" t="s">
        <v>2302</v>
      </c>
      <c r="B910" s="2" t="s">
        <v>2302</v>
      </c>
      <c r="C910" s="2" t="s">
        <v>38</v>
      </c>
      <c r="D910" s="2" t="s">
        <v>39</v>
      </c>
      <c r="E910" s="5">
        <v>-31371</v>
      </c>
      <c r="F910" s="3" t="s">
        <v>476</v>
      </c>
      <c r="G910" s="3" t="s">
        <v>87</v>
      </c>
      <c r="H910" s="2" t="s">
        <v>62</v>
      </c>
      <c r="I910" s="2" t="s">
        <v>2310</v>
      </c>
      <c r="J910" s="3" t="str">
        <f>HYPERLINK("https://www.boe.es/gazeta/dias/1814/02/08/pdfs/GRE-1814-31.pdf#page=2","Abrir facsímil")</f>
        <v>Abrir facsímil</v>
      </c>
      <c r="K910" s="3" t="s">
        <v>64</v>
      </c>
    </row>
    <row r="911" spans="1:11" ht="42" customHeight="1">
      <c r="A911" s="2" t="s">
        <v>2302</v>
      </c>
      <c r="B911" s="2" t="s">
        <v>2302</v>
      </c>
      <c r="C911" s="2" t="s">
        <v>38</v>
      </c>
      <c r="D911" s="2" t="s">
        <v>39</v>
      </c>
      <c r="E911" s="5">
        <v>-31369</v>
      </c>
      <c r="F911" s="3" t="s">
        <v>695</v>
      </c>
      <c r="G911" s="3" t="s">
        <v>107</v>
      </c>
      <c r="H911" s="2" t="s">
        <v>62</v>
      </c>
      <c r="I911" s="2" t="s">
        <v>2311</v>
      </c>
      <c r="J911" s="3" t="str">
        <f>HYPERLINK("https://www.boe.es/gazeta/dias/1814/02/10/pdfs/GRE-1814-19.pdf#page=1","Abrir facsímil")</f>
        <v>Abrir facsímil</v>
      </c>
      <c r="K911" s="3" t="s">
        <v>64</v>
      </c>
    </row>
    <row r="912" spans="1:11" ht="42" customHeight="1">
      <c r="A912" s="2" t="s">
        <v>2302</v>
      </c>
      <c r="B912" s="2" t="s">
        <v>2302</v>
      </c>
      <c r="C912" s="2" t="s">
        <v>38</v>
      </c>
      <c r="D912" s="2" t="s">
        <v>39</v>
      </c>
      <c r="E912" s="5">
        <v>-31369</v>
      </c>
      <c r="F912" s="3" t="s">
        <v>695</v>
      </c>
      <c r="G912" s="3" t="s">
        <v>87</v>
      </c>
      <c r="H912" s="2" t="s">
        <v>62</v>
      </c>
      <c r="I912" s="2" t="s">
        <v>2312</v>
      </c>
      <c r="J912" s="3" t="str">
        <f>HYPERLINK("https://www.boe.es/gazeta/dias/1814/02/10/pdfs/GRE-1814-19.pdf#page=2","Abrir facsímil")</f>
        <v>Abrir facsímil</v>
      </c>
      <c r="K912" s="3" t="s">
        <v>64</v>
      </c>
    </row>
    <row r="913" spans="1:11" ht="42" customHeight="1">
      <c r="A913" s="2" t="s">
        <v>2302</v>
      </c>
      <c r="B913" s="2" t="s">
        <v>2302</v>
      </c>
      <c r="C913" s="2" t="s">
        <v>38</v>
      </c>
      <c r="D913" s="2" t="s">
        <v>39</v>
      </c>
      <c r="E913" s="5">
        <v>-31362</v>
      </c>
      <c r="F913" s="3" t="s">
        <v>302</v>
      </c>
      <c r="G913" s="3" t="s">
        <v>2313</v>
      </c>
      <c r="H913" s="2" t="s">
        <v>62</v>
      </c>
      <c r="I913" s="2" t="s">
        <v>2314</v>
      </c>
      <c r="J913" s="3" t="str">
        <f>HYPERLINK("https://www.boe.es/gazeta/dias/1814/02/17/pdfs/GRE-1814-22.pdf#page=6","Abrir facsímil")</f>
        <v>Abrir facsímil</v>
      </c>
      <c r="K913" s="3" t="s">
        <v>64</v>
      </c>
    </row>
    <row r="914" spans="1:11" ht="42" customHeight="1">
      <c r="A914" s="2" t="s">
        <v>2302</v>
      </c>
      <c r="B914" s="2" t="s">
        <v>2302</v>
      </c>
      <c r="C914" s="2" t="s">
        <v>38</v>
      </c>
      <c r="D914" s="2" t="s">
        <v>39</v>
      </c>
      <c r="E914" s="5">
        <v>-31362</v>
      </c>
      <c r="F914" s="3" t="s">
        <v>302</v>
      </c>
      <c r="G914" s="3" t="s">
        <v>107</v>
      </c>
      <c r="H914" s="2" t="s">
        <v>62</v>
      </c>
      <c r="I914" s="2" t="s">
        <v>2315</v>
      </c>
      <c r="J914" s="3" t="str">
        <f>HYPERLINK("https://www.boe.es/gazeta/dias/1814/02/17/pdfs/GRE-1814-22.pdf#page=1","Abrir facsímil")</f>
        <v>Abrir facsímil</v>
      </c>
      <c r="K914" s="3" t="s">
        <v>64</v>
      </c>
    </row>
    <row r="915" spans="1:11" ht="42" customHeight="1">
      <c r="A915" s="2" t="s">
        <v>2302</v>
      </c>
      <c r="B915" s="2" t="s">
        <v>2302</v>
      </c>
      <c r="C915" s="2" t="s">
        <v>38</v>
      </c>
      <c r="D915" s="2" t="s">
        <v>39</v>
      </c>
      <c r="E915" s="5">
        <v>-31360</v>
      </c>
      <c r="F915" s="3" t="s">
        <v>480</v>
      </c>
      <c r="G915" s="3" t="s">
        <v>107</v>
      </c>
      <c r="H915" s="2" t="s">
        <v>62</v>
      </c>
      <c r="I915" s="2" t="s">
        <v>2316</v>
      </c>
      <c r="J915" s="3" t="str">
        <f>HYPERLINK("https://www.boe.es/gazeta/dias/1814/02/19/pdfs/GRE-1814-23.pdf#page=1","Abrir facsímil")</f>
        <v>Abrir facsímil</v>
      </c>
      <c r="K915" s="3" t="s">
        <v>64</v>
      </c>
    </row>
    <row r="916" spans="1:11" ht="42" customHeight="1">
      <c r="A916" s="2" t="s">
        <v>2302</v>
      </c>
      <c r="B916" s="2" t="s">
        <v>2302</v>
      </c>
      <c r="C916" s="2" t="s">
        <v>38</v>
      </c>
      <c r="D916" s="2" t="s">
        <v>39</v>
      </c>
      <c r="E916" s="5">
        <v>-31360</v>
      </c>
      <c r="F916" s="3" t="s">
        <v>480</v>
      </c>
      <c r="G916" s="3" t="s">
        <v>87</v>
      </c>
      <c r="H916" s="2" t="s">
        <v>62</v>
      </c>
      <c r="I916" s="2" t="s">
        <v>2317</v>
      </c>
      <c r="J916" s="3" t="str">
        <f>HYPERLINK("https://www.boe.es/gazeta/dias/1814/02/19/pdfs/GRE-1814-23.pdf#page=2","Abrir facsímil")</f>
        <v>Abrir facsímil</v>
      </c>
      <c r="K916" s="3" t="s">
        <v>64</v>
      </c>
    </row>
    <row r="917" spans="1:11" ht="42" customHeight="1">
      <c r="A917" s="2" t="s">
        <v>2302</v>
      </c>
      <c r="B917" s="2" t="s">
        <v>2302</v>
      </c>
      <c r="C917" s="2" t="s">
        <v>38</v>
      </c>
      <c r="D917" s="2" t="s">
        <v>39</v>
      </c>
      <c r="E917" s="5">
        <v>-31355</v>
      </c>
      <c r="F917" s="3" t="s">
        <v>50</v>
      </c>
      <c r="G917" s="3" t="s">
        <v>107</v>
      </c>
      <c r="H917" s="2" t="s">
        <v>62</v>
      </c>
      <c r="I917" s="2" t="s">
        <v>2318</v>
      </c>
      <c r="J917" s="3" t="str">
        <f>HYPERLINK("https://www.boe.es/gazeta/dias/1814/02/24/pdfs/GRE-1814-26.pdf#page=1","Abrir facsímil")</f>
        <v>Abrir facsímil</v>
      </c>
      <c r="K917" s="3" t="s">
        <v>64</v>
      </c>
    </row>
    <row r="918" spans="1:11" ht="42" customHeight="1">
      <c r="A918" s="2" t="s">
        <v>2302</v>
      </c>
      <c r="B918" s="2" t="s">
        <v>2302</v>
      </c>
      <c r="C918" s="2" t="s">
        <v>38</v>
      </c>
      <c r="D918" s="2" t="s">
        <v>39</v>
      </c>
      <c r="E918" s="5">
        <v>-31350</v>
      </c>
      <c r="F918" s="3" t="s">
        <v>377</v>
      </c>
      <c r="G918" s="3" t="s">
        <v>87</v>
      </c>
      <c r="H918" s="2" t="s">
        <v>62</v>
      </c>
      <c r="I918" s="2" t="s">
        <v>2319</v>
      </c>
      <c r="J918" s="3" t="str">
        <f>HYPERLINK("https://www.boe.es/gazeta/dias/1814/03/01/pdfs/GRE-1814-28.pdf#page=2","Abrir facsímil")</f>
        <v>Abrir facsímil</v>
      </c>
      <c r="K918" s="3" t="s">
        <v>64</v>
      </c>
    </row>
    <row r="919" spans="1:11" ht="42" customHeight="1">
      <c r="A919" s="2" t="s">
        <v>2302</v>
      </c>
      <c r="B919" s="2" t="s">
        <v>2302</v>
      </c>
      <c r="C919" s="2" t="s">
        <v>38</v>
      </c>
      <c r="D919" s="2" t="s">
        <v>39</v>
      </c>
      <c r="E919" s="5">
        <v>-31346</v>
      </c>
      <c r="F919" s="3" t="s">
        <v>78</v>
      </c>
      <c r="G919" s="3" t="s">
        <v>41</v>
      </c>
      <c r="H919" s="2" t="s">
        <v>62</v>
      </c>
      <c r="I919" s="2" t="s">
        <v>2320</v>
      </c>
      <c r="J919" s="3" t="str">
        <f>HYPERLINK("https://www.boe.es/gazeta/dias/1814/03/05/pdfs/GRE-1814-30.pdf#page=4","Abrir facsímil")</f>
        <v>Abrir facsímil</v>
      </c>
      <c r="K919" s="3" t="s">
        <v>64</v>
      </c>
    </row>
    <row r="920" spans="1:11" ht="42" customHeight="1">
      <c r="A920" s="2" t="s">
        <v>2308</v>
      </c>
      <c r="B920" s="2" t="s">
        <v>2308</v>
      </c>
      <c r="C920" s="2" t="s">
        <v>38</v>
      </c>
      <c r="D920" s="2" t="s">
        <v>39</v>
      </c>
      <c r="E920" s="5">
        <v>-31343</v>
      </c>
      <c r="F920" s="3" t="s">
        <v>476</v>
      </c>
      <c r="G920" s="3" t="s">
        <v>107</v>
      </c>
      <c r="H920" s="2" t="s">
        <v>62</v>
      </c>
      <c r="I920" s="2" t="s">
        <v>2309</v>
      </c>
      <c r="J920" s="3" t="str">
        <f>HYPERLINK("https://www.boe.es/gazeta/dias/1814/03/08/pdfs/GRE-1814-31.pdf#page=1","Abrir facsímil")</f>
        <v>Abrir facsímil</v>
      </c>
      <c r="K920" s="3" t="s">
        <v>64</v>
      </c>
    </row>
    <row r="921" spans="1:11" ht="42" customHeight="1">
      <c r="A921" s="2" t="s">
        <v>2302</v>
      </c>
      <c r="B921" s="2" t="s">
        <v>2302</v>
      </c>
      <c r="C921" s="2" t="s">
        <v>38</v>
      </c>
      <c r="D921" s="2" t="s">
        <v>39</v>
      </c>
      <c r="E921" s="5">
        <v>-31343</v>
      </c>
      <c r="F921" s="3" t="s">
        <v>476</v>
      </c>
      <c r="G921" s="3" t="s">
        <v>87</v>
      </c>
      <c r="H921" s="2" t="s">
        <v>62</v>
      </c>
      <c r="I921" s="2" t="s">
        <v>2310</v>
      </c>
      <c r="J921" s="3" t="str">
        <f>HYPERLINK("https://www.boe.es/gazeta/dias/1814/03/08/pdfs/GRE-1814-31.pdf#page=2","Abrir facsímil")</f>
        <v>Abrir facsímil</v>
      </c>
      <c r="K921" s="3" t="s">
        <v>64</v>
      </c>
    </row>
    <row r="922" spans="1:11" ht="42" customHeight="1">
      <c r="A922" s="2" t="s">
        <v>2302</v>
      </c>
      <c r="B922" s="2" t="s">
        <v>2302</v>
      </c>
      <c r="C922" s="2" t="s">
        <v>38</v>
      </c>
      <c r="D922" s="2" t="s">
        <v>39</v>
      </c>
      <c r="E922" s="5">
        <v>-31341</v>
      </c>
      <c r="F922" s="3" t="s">
        <v>360</v>
      </c>
      <c r="G922" s="3" t="s">
        <v>82</v>
      </c>
      <c r="H922" s="2" t="s">
        <v>62</v>
      </c>
      <c r="I922" s="2" t="s">
        <v>2321</v>
      </c>
      <c r="J922" s="3" t="str">
        <f>HYPERLINK("https://www.boe.es/gazeta/dias/1814/03/10/pdfs/GRE-1814-33.pdf#page=3","Abrir facsímil")</f>
        <v>Abrir facsímil</v>
      </c>
      <c r="K922" s="3" t="s">
        <v>64</v>
      </c>
    </row>
    <row r="923" spans="1:11" ht="42" customHeight="1">
      <c r="A923" s="2" t="s">
        <v>2302</v>
      </c>
      <c r="B923" s="2" t="s">
        <v>2302</v>
      </c>
      <c r="C923" s="2" t="s">
        <v>38</v>
      </c>
      <c r="D923" s="2" t="s">
        <v>39</v>
      </c>
      <c r="E923" s="5">
        <v>-31341</v>
      </c>
      <c r="F923" s="3" t="s">
        <v>360</v>
      </c>
      <c r="G923" s="3" t="s">
        <v>41</v>
      </c>
      <c r="H923" s="2" t="s">
        <v>62</v>
      </c>
      <c r="I923" s="2" t="s">
        <v>2322</v>
      </c>
      <c r="J923" s="3" t="str">
        <f>HYPERLINK("https://www.boe.es/gazeta/dias/1814/03/10/pdfs/GRE-1814-33.pdf#page=4","Abrir facsímil")</f>
        <v>Abrir facsímil</v>
      </c>
      <c r="K923" s="3" t="s">
        <v>64</v>
      </c>
    </row>
    <row r="924" spans="1:11" ht="42" customHeight="1">
      <c r="A924" s="2" t="s">
        <v>2302</v>
      </c>
      <c r="B924" s="2" t="s">
        <v>2302</v>
      </c>
      <c r="C924" s="2" t="s">
        <v>38</v>
      </c>
      <c r="D924" s="2" t="s">
        <v>39</v>
      </c>
      <c r="E924" s="5">
        <v>-31336</v>
      </c>
      <c r="F924" s="3" t="s">
        <v>1789</v>
      </c>
      <c r="G924" s="3" t="s">
        <v>41</v>
      </c>
      <c r="H924" s="2" t="s">
        <v>62</v>
      </c>
      <c r="I924" s="2" t="s">
        <v>2323</v>
      </c>
      <c r="J924" s="3" t="str">
        <f>HYPERLINK("https://www.boe.es/gazeta/dias/1814/03/15/pdfs/GRE-1814-36.pdf#page=4","Abrir facsímil")</f>
        <v>Abrir facsímil</v>
      </c>
      <c r="K924" s="3" t="s">
        <v>64</v>
      </c>
    </row>
    <row r="925" spans="1:11" ht="42" customHeight="1">
      <c r="A925" s="2" t="s">
        <v>2302</v>
      </c>
      <c r="B925" s="2" t="s">
        <v>2302</v>
      </c>
      <c r="C925" s="2" t="s">
        <v>38</v>
      </c>
      <c r="D925" s="2" t="s">
        <v>39</v>
      </c>
      <c r="E925" s="5">
        <v>-31327</v>
      </c>
      <c r="F925" s="3" t="s">
        <v>180</v>
      </c>
      <c r="G925" s="3" t="s">
        <v>99</v>
      </c>
      <c r="H925" s="2" t="s">
        <v>62</v>
      </c>
      <c r="I925" s="2" t="s">
        <v>2324</v>
      </c>
      <c r="J925" s="3" t="str">
        <f>HYPERLINK("https://www.boe.es/gazeta/dias/1814/03/24/pdfs/GRE-1814-41.pdf#page=5","Abrir facsímil")</f>
        <v>Abrir facsímil</v>
      </c>
      <c r="K925" s="3" t="s">
        <v>64</v>
      </c>
    </row>
    <row r="926" spans="1:11" ht="42" customHeight="1">
      <c r="A926" s="2" t="s">
        <v>2302</v>
      </c>
      <c r="B926" s="2" t="s">
        <v>2302</v>
      </c>
      <c r="C926" s="2" t="s">
        <v>38</v>
      </c>
      <c r="D926" s="2" t="s">
        <v>39</v>
      </c>
      <c r="E926" s="5">
        <v>-31325</v>
      </c>
      <c r="F926" s="3" t="s">
        <v>67</v>
      </c>
      <c r="G926" s="3" t="s">
        <v>99</v>
      </c>
      <c r="H926" s="2" t="s">
        <v>62</v>
      </c>
      <c r="I926" s="2" t="s">
        <v>2325</v>
      </c>
      <c r="J926" s="3" t="str">
        <f>HYPERLINK("https://www.boe.es/gazeta/dias/1814/03/26/pdfs/GRE-1814-43.pdf#page=5","Abrir facsímil")</f>
        <v>Abrir facsímil</v>
      </c>
      <c r="K926" s="3" t="s">
        <v>64</v>
      </c>
    </row>
    <row r="927" spans="1:11" ht="42" customHeight="1">
      <c r="A927" s="2" t="s">
        <v>2302</v>
      </c>
      <c r="B927" s="2" t="s">
        <v>2302</v>
      </c>
      <c r="C927" s="2" t="s">
        <v>38</v>
      </c>
      <c r="D927" s="2" t="s">
        <v>39</v>
      </c>
      <c r="E927" s="5">
        <v>-31318</v>
      </c>
      <c r="F927" s="3" t="s">
        <v>400</v>
      </c>
      <c r="G927" s="3" t="s">
        <v>82</v>
      </c>
      <c r="H927" s="2" t="s">
        <v>62</v>
      </c>
      <c r="I927" s="2" t="s">
        <v>2326</v>
      </c>
      <c r="J927" s="3" t="str">
        <f>HYPERLINK("https://www.boe.es/gazeta/dias/1814/04/02/pdfs/GRE-1814-47.pdf#page=3","Abrir facsímil")</f>
        <v>Abrir facsímil</v>
      </c>
      <c r="K927" s="3" t="s">
        <v>64</v>
      </c>
    </row>
    <row r="928" spans="1:11" ht="42" customHeight="1">
      <c r="A928" s="2" t="s">
        <v>2302</v>
      </c>
      <c r="B928" s="2" t="s">
        <v>2302</v>
      </c>
      <c r="C928" s="2" t="s">
        <v>38</v>
      </c>
      <c r="D928" s="2" t="s">
        <v>39</v>
      </c>
      <c r="E928" s="5">
        <v>-31252</v>
      </c>
      <c r="F928" s="3" t="s">
        <v>364</v>
      </c>
      <c r="G928" s="3" t="s">
        <v>107</v>
      </c>
      <c r="H928" s="2" t="s">
        <v>62</v>
      </c>
      <c r="I928" s="2" t="s">
        <v>2327</v>
      </c>
      <c r="J928" s="3" t="str">
        <f>HYPERLINK("https://www.boe.es/gazeta/dias/1814/06/07/pdfs/GMD-1814-82.pdf#page=1","Abrir facsímil")</f>
        <v>Abrir facsímil</v>
      </c>
      <c r="K928" s="3" t="s">
        <v>64</v>
      </c>
    </row>
    <row r="929" spans="1:11" ht="42" customHeight="1">
      <c r="A929" s="2" t="s">
        <v>2328</v>
      </c>
      <c r="B929" s="2" t="s">
        <v>2328</v>
      </c>
      <c r="C929" s="2" t="s">
        <v>38</v>
      </c>
      <c r="D929" s="2" t="s">
        <v>39</v>
      </c>
      <c r="E929" s="5">
        <v>-31224</v>
      </c>
      <c r="F929" s="3" t="s">
        <v>609</v>
      </c>
      <c r="G929" s="3" t="s">
        <v>82</v>
      </c>
      <c r="H929" s="2" t="s">
        <v>62</v>
      </c>
      <c r="I929" s="2" t="s">
        <v>2329</v>
      </c>
      <c r="J929" s="3" t="str">
        <f>HYPERLINK("https://www.boe.es/gazeta/dias/1814/07/05/pdfs/GMD-1814-94.pdf#page=3","Abrir facsímil")</f>
        <v>Abrir facsímil</v>
      </c>
      <c r="K929" s="3" t="s">
        <v>64</v>
      </c>
    </row>
    <row r="930" spans="1:11" ht="42" customHeight="1">
      <c r="A930" s="2" t="s">
        <v>2330</v>
      </c>
      <c r="B930" s="2" t="s">
        <v>2330</v>
      </c>
      <c r="C930" s="2" t="s">
        <v>38</v>
      </c>
      <c r="D930" s="2" t="s">
        <v>39</v>
      </c>
      <c r="E930" s="5">
        <v>-31346</v>
      </c>
      <c r="F930" s="3" t="s">
        <v>78</v>
      </c>
      <c r="G930" s="3" t="s">
        <v>521</v>
      </c>
      <c r="H930" s="2" t="s">
        <v>62</v>
      </c>
      <c r="I930" s="2" t="s">
        <v>2331</v>
      </c>
      <c r="J930" s="3" t="str">
        <f>HYPERLINK("https://www.boe.es/gazeta/dias/1814/03/05/pdfs/GRE-1814-30.pdf#page=3","Abrir facsímil")</f>
        <v>Abrir facsímil</v>
      </c>
      <c r="K930" s="3" t="s">
        <v>64</v>
      </c>
    </row>
    <row r="931" spans="1:11" ht="42" customHeight="1">
      <c r="A931" s="2" t="s">
        <v>2332</v>
      </c>
      <c r="B931" s="2" t="s">
        <v>2332</v>
      </c>
      <c r="C931" s="2" t="s">
        <v>17</v>
      </c>
      <c r="D931" s="2" t="s">
        <v>18</v>
      </c>
      <c r="E931" s="5">
        <v>-31350</v>
      </c>
      <c r="F931" s="3" t="s">
        <v>377</v>
      </c>
      <c r="G931" s="3" t="s">
        <v>107</v>
      </c>
      <c r="H931" s="2" t="s">
        <v>62</v>
      </c>
      <c r="I931" s="2" t="s">
        <v>2333</v>
      </c>
      <c r="J931" s="3" t="str">
        <f>HYPERLINK("https://www.boe.es/gazeta/dias/1814/03/01/pdfs/GRE-1814-28.pdf#page=1","Abrir facsímil")</f>
        <v>Abrir facsímil</v>
      </c>
      <c r="K931" s="3" t="s">
        <v>64</v>
      </c>
    </row>
    <row r="932" spans="1:11" ht="42" customHeight="1">
      <c r="A932" s="2" t="s">
        <v>2332</v>
      </c>
      <c r="B932" s="2" t="s">
        <v>2332</v>
      </c>
      <c r="C932" s="2" t="s">
        <v>38</v>
      </c>
      <c r="D932" s="2" t="s">
        <v>39</v>
      </c>
      <c r="E932" s="5">
        <v>-31320</v>
      </c>
      <c r="F932" s="3" t="s">
        <v>40</v>
      </c>
      <c r="G932" s="3" t="s">
        <v>107</v>
      </c>
      <c r="H932" s="2" t="s">
        <v>62</v>
      </c>
      <c r="I932" s="2" t="s">
        <v>2334</v>
      </c>
      <c r="J932" s="3" t="str">
        <f>HYPERLINK("https://www.boe.es/gazeta/dias/1814/03/31/pdfs/GRE-1814-46.pdf#page=1","Abrir facsímil")</f>
        <v>Abrir facsímil</v>
      </c>
      <c r="K932" s="3" t="s">
        <v>64</v>
      </c>
    </row>
    <row r="933" spans="1:11" ht="42" customHeight="1">
      <c r="A933" s="2" t="s">
        <v>2332</v>
      </c>
      <c r="B933" s="2" t="s">
        <v>2332</v>
      </c>
      <c r="C933" s="2" t="s">
        <v>38</v>
      </c>
      <c r="D933" s="2" t="s">
        <v>39</v>
      </c>
      <c r="E933" s="5">
        <v>-31318</v>
      </c>
      <c r="F933" s="3" t="s">
        <v>400</v>
      </c>
      <c r="G933" s="3" t="s">
        <v>107</v>
      </c>
      <c r="H933" s="2" t="s">
        <v>62</v>
      </c>
      <c r="I933" s="2" t="s">
        <v>2335</v>
      </c>
      <c r="J933" s="3" t="str">
        <f>HYPERLINK("https://www.boe.es/gazeta/dias/1814/04/02/pdfs/GRE-1814-47.pdf#page=1","Abrir facsímil")</f>
        <v>Abrir facsímil</v>
      </c>
      <c r="K933" s="3" t="s">
        <v>64</v>
      </c>
    </row>
    <row r="934" spans="1:11" ht="42" customHeight="1">
      <c r="A934" s="2" t="s">
        <v>2332</v>
      </c>
      <c r="B934" s="2" t="s">
        <v>2332</v>
      </c>
      <c r="C934" s="2" t="s">
        <v>38</v>
      </c>
      <c r="D934" s="2" t="s">
        <v>39</v>
      </c>
      <c r="E934" s="5">
        <v>-31315</v>
      </c>
      <c r="F934" s="3" t="s">
        <v>645</v>
      </c>
      <c r="G934" s="3" t="s">
        <v>107</v>
      </c>
      <c r="H934" s="2" t="s">
        <v>62</v>
      </c>
      <c r="I934" s="2" t="s">
        <v>2336</v>
      </c>
      <c r="J934" s="3" t="str">
        <f>HYPERLINK("https://www.boe.es/gazeta/dias/1814/04/05/pdfs/GRE-1814-49.pdf#page=1","Abrir facsímil")</f>
        <v>Abrir facsímil</v>
      </c>
      <c r="K934" s="3" t="s">
        <v>64</v>
      </c>
    </row>
    <row r="935" spans="1:11" ht="42" customHeight="1">
      <c r="A935" s="2" t="s">
        <v>2332</v>
      </c>
      <c r="B935" s="2" t="s">
        <v>2332</v>
      </c>
      <c r="C935" s="2" t="s">
        <v>38</v>
      </c>
      <c r="D935" s="2" t="s">
        <v>39</v>
      </c>
      <c r="E935" s="5">
        <v>-31297</v>
      </c>
      <c r="F935" s="3" t="s">
        <v>737</v>
      </c>
      <c r="G935" s="3" t="s">
        <v>87</v>
      </c>
      <c r="H935" s="2" t="s">
        <v>62</v>
      </c>
      <c r="I935" s="2" t="s">
        <v>2337</v>
      </c>
      <c r="J935" s="3" t="str">
        <f>HYPERLINK("https://www.boe.es/gazeta/dias/1814/04/23/pdfs/GRE-1814-59.pdf#page=2","Abrir facsímil")</f>
        <v>Abrir facsímil</v>
      </c>
      <c r="K935" s="3" t="s">
        <v>64</v>
      </c>
    </row>
    <row r="936" spans="1:11" ht="42" customHeight="1">
      <c r="A936" s="2" t="s">
        <v>2338</v>
      </c>
      <c r="B936" s="2" t="s">
        <v>2338</v>
      </c>
      <c r="C936" s="2" t="s">
        <v>38</v>
      </c>
      <c r="D936" s="2" t="s">
        <v>39</v>
      </c>
      <c r="E936" s="5">
        <v>-31371</v>
      </c>
      <c r="F936" s="3" t="s">
        <v>476</v>
      </c>
      <c r="G936" s="3" t="s">
        <v>41</v>
      </c>
      <c r="H936" s="2" t="s">
        <v>62</v>
      </c>
      <c r="I936" s="2" t="s">
        <v>2339</v>
      </c>
      <c r="J936" s="3" t="str">
        <f>HYPERLINK("https://www.boe.es/gazeta/dias/1814/02/08/pdfs/GRE-1814-31.pdf#page=4","Abrir facsímil")</f>
        <v>Abrir facsímil</v>
      </c>
      <c r="K936" s="3" t="s">
        <v>64</v>
      </c>
    </row>
    <row r="937" spans="1:11" ht="42" customHeight="1">
      <c r="A937" s="2" t="s">
        <v>2338</v>
      </c>
      <c r="B937" s="2" t="s">
        <v>2338</v>
      </c>
      <c r="C937" s="2" t="s">
        <v>38</v>
      </c>
      <c r="D937" s="2" t="s">
        <v>39</v>
      </c>
      <c r="E937" s="5">
        <v>-31343</v>
      </c>
      <c r="F937" s="3" t="s">
        <v>476</v>
      </c>
      <c r="G937" s="3" t="s">
        <v>41</v>
      </c>
      <c r="H937" s="2" t="s">
        <v>62</v>
      </c>
      <c r="I937" s="2" t="s">
        <v>2339</v>
      </c>
      <c r="J937" s="3" t="str">
        <f>HYPERLINK("https://www.boe.es/gazeta/dias/1814/03/08/pdfs/GRE-1814-31.pdf#page=4","Abrir facsímil")</f>
        <v>Abrir facsímil</v>
      </c>
      <c r="K937" s="3" t="s">
        <v>64</v>
      </c>
    </row>
    <row r="938" spans="1:11" ht="42" customHeight="1">
      <c r="A938" s="2" t="s">
        <v>2340</v>
      </c>
      <c r="B938" s="2" t="s">
        <v>2341</v>
      </c>
      <c r="C938" s="2" t="s">
        <v>38</v>
      </c>
      <c r="D938" s="2" t="s">
        <v>39</v>
      </c>
      <c r="E938" s="5">
        <v>-31175</v>
      </c>
      <c r="F938" s="3" t="s">
        <v>145</v>
      </c>
      <c r="G938" s="3" t="s">
        <v>99</v>
      </c>
      <c r="H938" s="2" t="s">
        <v>62</v>
      </c>
      <c r="I938" s="2" t="s">
        <v>2342</v>
      </c>
      <c r="J938" s="3" t="str">
        <f>HYPERLINK("https://www.boe.es/gazeta/dias/1814/08/23/pdfs/GMD-1814-115.pdf#page=5","Abrir facsímil")</f>
        <v>Abrir facsímil</v>
      </c>
      <c r="K938" s="3" t="s">
        <v>64</v>
      </c>
    </row>
    <row r="939" spans="1:11" ht="42" customHeight="1">
      <c r="A939" s="2" t="s">
        <v>2340</v>
      </c>
      <c r="B939" s="2" t="s">
        <v>2341</v>
      </c>
      <c r="C939" s="2" t="s">
        <v>38</v>
      </c>
      <c r="D939" s="2" t="s">
        <v>39</v>
      </c>
      <c r="E939" s="5">
        <v>-31124</v>
      </c>
      <c r="F939" s="3" t="s">
        <v>383</v>
      </c>
      <c r="G939" s="3" t="s">
        <v>384</v>
      </c>
      <c r="H939" s="2" t="s">
        <v>62</v>
      </c>
      <c r="I939" s="2" t="s">
        <v>2343</v>
      </c>
      <c r="J939" s="3" t="str">
        <f>HYPERLINK("https://www.boe.es/gazeta/dias/1814/10/13/pdfs/GMD-1814-138.pdf#page=11","Abrir facsímil")</f>
        <v>Abrir facsímil</v>
      </c>
      <c r="K939" s="3" t="s">
        <v>64</v>
      </c>
    </row>
    <row r="940" spans="1:11" ht="42" customHeight="1">
      <c r="A940" s="2" t="s">
        <v>2344</v>
      </c>
      <c r="B940" s="2" t="s">
        <v>2345</v>
      </c>
      <c r="C940" s="2" t="s">
        <v>144</v>
      </c>
      <c r="D940" s="2" t="s">
        <v>18</v>
      </c>
      <c r="E940" s="5">
        <v>-31180</v>
      </c>
      <c r="F940" s="3" t="s">
        <v>520</v>
      </c>
      <c r="G940" s="3" t="s">
        <v>602</v>
      </c>
      <c r="H940" s="2" t="s">
        <v>62</v>
      </c>
      <c r="I940" s="2" t="s">
        <v>2346</v>
      </c>
      <c r="J940" s="3" t="str">
        <f>HYPERLINK("https://www.boe.es/gazeta/dias/1814/08/18/pdfs/GMD-1814-113.pdf#page=8","Abrir facsímil")</f>
        <v>Abrir facsímil</v>
      </c>
      <c r="K940" s="3" t="s">
        <v>64</v>
      </c>
    </row>
    <row r="941" spans="1:11" ht="42" customHeight="1">
      <c r="A941" s="2" t="s">
        <v>2347</v>
      </c>
      <c r="B941" s="2" t="s">
        <v>2348</v>
      </c>
      <c r="C941" s="2" t="s">
        <v>26</v>
      </c>
      <c r="D941" s="2" t="s">
        <v>27</v>
      </c>
      <c r="E941" s="5">
        <v>-31208</v>
      </c>
      <c r="F941" s="3" t="s">
        <v>509</v>
      </c>
      <c r="G941" s="3" t="s">
        <v>510</v>
      </c>
      <c r="H941" s="2" t="s">
        <v>62</v>
      </c>
      <c r="I941" s="2" t="s">
        <v>2349</v>
      </c>
      <c r="J941" s="3" t="str">
        <f>HYPERLINK("https://www.boe.es/gazeta/dias/1814/07/21/pdfs/GMD-1814-101.pdf#page=4","Abrir facsímil")</f>
        <v>Abrir facsímil</v>
      </c>
      <c r="K941" s="3" t="s">
        <v>64</v>
      </c>
    </row>
    <row r="942" spans="1:11" ht="42" customHeight="1">
      <c r="A942" s="2" t="s">
        <v>2350</v>
      </c>
      <c r="B942" s="2" t="s">
        <v>2351</v>
      </c>
      <c r="C942" s="2" t="s">
        <v>38</v>
      </c>
      <c r="D942" s="2" t="s">
        <v>39</v>
      </c>
      <c r="E942" s="5">
        <v>-31126</v>
      </c>
      <c r="F942" s="3" t="s">
        <v>56</v>
      </c>
      <c r="G942" s="3" t="s">
        <v>52</v>
      </c>
      <c r="H942" s="2" t="s">
        <v>62</v>
      </c>
      <c r="I942" s="2" t="s">
        <v>2352</v>
      </c>
      <c r="J942" s="3" t="str">
        <f>HYPERLINK("https://www.boe.es/gazeta/dias/1814/10/11/pdfs/GMD-1814-137.pdf#page=8","Abrir facsímil")</f>
        <v>Abrir facsímil</v>
      </c>
      <c r="K942" s="3" t="s">
        <v>64</v>
      </c>
    </row>
    <row r="943" spans="1:11" ht="42" customHeight="1">
      <c r="A943" s="2" t="s">
        <v>2350</v>
      </c>
      <c r="B943" s="2" t="s">
        <v>2351</v>
      </c>
      <c r="C943" s="2" t="s">
        <v>144</v>
      </c>
      <c r="D943" s="2" t="s">
        <v>18</v>
      </c>
      <c r="E943" s="5">
        <v>-31054</v>
      </c>
      <c r="F943" s="3" t="s">
        <v>952</v>
      </c>
      <c r="G943" s="3" t="s">
        <v>52</v>
      </c>
      <c r="H943" s="2" t="s">
        <v>62</v>
      </c>
      <c r="I943" s="2" t="s">
        <v>2353</v>
      </c>
      <c r="J943" s="3" t="str">
        <f>HYPERLINK("https://www.boe.es/gazeta/dias/1814/12/22/pdfs/GMD-1814-169.pdf#page=8","Abrir facsímil")</f>
        <v>Abrir facsímil</v>
      </c>
      <c r="K943" s="3" t="s">
        <v>64</v>
      </c>
    </row>
    <row r="944" spans="1:11" ht="42" customHeight="1">
      <c r="A944" s="2" t="s">
        <v>2354</v>
      </c>
      <c r="B944" s="2" t="s">
        <v>2354</v>
      </c>
      <c r="C944" s="2" t="s">
        <v>38</v>
      </c>
      <c r="D944" s="2" t="s">
        <v>39</v>
      </c>
      <c r="E944" s="5">
        <v>-31047</v>
      </c>
      <c r="F944" s="3" t="s">
        <v>815</v>
      </c>
      <c r="G944" s="3" t="s">
        <v>87</v>
      </c>
      <c r="H944" s="2" t="s">
        <v>62</v>
      </c>
      <c r="I944" s="2" t="s">
        <v>2355</v>
      </c>
      <c r="J944" s="3" t="str">
        <f>HYPERLINK("https://www.boe.es/gazeta/dias/1814/12/29/pdfs/GMD-1814-172.pdf#page=2","Abrir facsímil")</f>
        <v>Abrir facsímil</v>
      </c>
      <c r="K944" s="3" t="s">
        <v>64</v>
      </c>
    </row>
    <row r="945" spans="1:11" ht="42" customHeight="1">
      <c r="A945" s="2" t="s">
        <v>2356</v>
      </c>
      <c r="B945" s="2" t="s">
        <v>2357</v>
      </c>
      <c r="C945" s="2" t="s">
        <v>144</v>
      </c>
      <c r="D945" s="2" t="s">
        <v>18</v>
      </c>
      <c r="E945" s="5">
        <v>-31287</v>
      </c>
      <c r="F945" s="3" t="s">
        <v>491</v>
      </c>
      <c r="G945" s="3" t="s">
        <v>52</v>
      </c>
      <c r="H945" s="2" t="s">
        <v>62</v>
      </c>
      <c r="I945" s="2" t="s">
        <v>2358</v>
      </c>
      <c r="J945" s="3" t="str">
        <f>HYPERLINK("https://www.boe.es/gazeta/dias/1814/05/03/pdfs/GRE-1814-65.pdf#page=8","Abrir facsímil")</f>
        <v>Abrir facsímil</v>
      </c>
      <c r="K945" s="3" t="s">
        <v>64</v>
      </c>
    </row>
    <row r="946" spans="1:11" ht="42" customHeight="1">
      <c r="A946" s="2" t="s">
        <v>2359</v>
      </c>
      <c r="B946" s="2" t="s">
        <v>2360</v>
      </c>
      <c r="C946" s="2" t="s">
        <v>38</v>
      </c>
      <c r="D946" s="2" t="s">
        <v>39</v>
      </c>
      <c r="E946" s="5">
        <v>-31112</v>
      </c>
      <c r="F946" s="3" t="s">
        <v>707</v>
      </c>
      <c r="G946" s="3" t="s">
        <v>20</v>
      </c>
      <c r="H946" s="2" t="s">
        <v>62</v>
      </c>
      <c r="I946" s="2" t="s">
        <v>2361</v>
      </c>
      <c r="J946" s="3" t="str">
        <f>HYPERLINK("https://www.boe.es/gazeta/dias/1814/10/25/pdfs/GMD-1814-143.pdf#page=7","Abrir facsímil")</f>
        <v>Abrir facsímil</v>
      </c>
      <c r="K946" s="3" t="s">
        <v>64</v>
      </c>
    </row>
    <row r="947" spans="1:11" ht="42" customHeight="1">
      <c r="A947" s="2" t="s">
        <v>2362</v>
      </c>
      <c r="B947" s="2" t="s">
        <v>2363</v>
      </c>
      <c r="C947" s="2" t="s">
        <v>38</v>
      </c>
      <c r="D947" s="2" t="s">
        <v>39</v>
      </c>
      <c r="E947" s="5">
        <v>-31325</v>
      </c>
      <c r="F947" s="3" t="s">
        <v>67</v>
      </c>
      <c r="G947" s="3" t="s">
        <v>57</v>
      </c>
      <c r="H947" s="2" t="s">
        <v>21</v>
      </c>
      <c r="I947" s="2" t="s">
        <v>2364</v>
      </c>
      <c r="J947" s="3" t="str">
        <f>HYPERLINK("https://www.boe.es/gazeta/dias/1814/03/26/pdfs/GRE-1814-43.pdf#page=6","Abrir facsímil")</f>
        <v>Abrir facsímil</v>
      </c>
      <c r="K947" s="3" t="s">
        <v>23</v>
      </c>
    </row>
    <row r="948" spans="1:11" ht="42" customHeight="1">
      <c r="A948" s="2" t="s">
        <v>2365</v>
      </c>
      <c r="B948" s="2" t="s">
        <v>2366</v>
      </c>
      <c r="C948" s="2" t="s">
        <v>38</v>
      </c>
      <c r="D948" s="2" t="s">
        <v>39</v>
      </c>
      <c r="E948" s="5">
        <v>-31143</v>
      </c>
      <c r="F948" s="3" t="s">
        <v>787</v>
      </c>
      <c r="G948" s="3" t="s">
        <v>2367</v>
      </c>
      <c r="H948" s="2" t="s">
        <v>21</v>
      </c>
      <c r="I948" s="2" t="s">
        <v>2368</v>
      </c>
      <c r="J948" s="3" t="str">
        <f>HYPERLINK("https://www.boe.es/gazeta/dias/1814/09/24/pdfs/GMD-1814-130.pdf#page=2","Abrir facsímil")</f>
        <v>Abrir facsímil</v>
      </c>
      <c r="K948" s="3" t="s">
        <v>23</v>
      </c>
    </row>
    <row r="949" spans="1:11" ht="42" customHeight="1">
      <c r="A949" s="2" t="s">
        <v>2369</v>
      </c>
      <c r="B949" s="2" t="s">
        <v>2370</v>
      </c>
      <c r="C949" s="2" t="s">
        <v>26</v>
      </c>
      <c r="D949" s="2" t="s">
        <v>27</v>
      </c>
      <c r="E949" s="5">
        <v>-31089</v>
      </c>
      <c r="F949" s="3" t="s">
        <v>531</v>
      </c>
      <c r="G949" s="3" t="s">
        <v>794</v>
      </c>
      <c r="H949" s="2" t="s">
        <v>21</v>
      </c>
      <c r="I949" s="2" t="s">
        <v>2371</v>
      </c>
      <c r="J949" s="3" t="str">
        <f>HYPERLINK("https://www.boe.es/gazeta/dias/1814/11/17/pdfs/GMD-1814-153.pdf#page=8","Abrir facsímil")</f>
        <v>Abrir facsímil</v>
      </c>
      <c r="K949" s="3" t="s">
        <v>23</v>
      </c>
    </row>
    <row r="950" spans="1:11" ht="42" customHeight="1">
      <c r="A950" s="2" t="s">
        <v>2372</v>
      </c>
      <c r="B950" s="2" t="s">
        <v>2373</v>
      </c>
      <c r="C950" s="2" t="s">
        <v>38</v>
      </c>
      <c r="D950" s="2" t="s">
        <v>39</v>
      </c>
      <c r="E950" s="5">
        <v>-31259</v>
      </c>
      <c r="F950" s="3" t="s">
        <v>853</v>
      </c>
      <c r="G950" s="3" t="s">
        <v>20</v>
      </c>
      <c r="H950" s="2" t="s">
        <v>62</v>
      </c>
      <c r="I950" s="2" t="s">
        <v>2374</v>
      </c>
      <c r="J950" s="3" t="str">
        <f>HYPERLINK("https://www.boe.es/gazeta/dias/1814/05/31/pdfs/GMD-1814-79.pdf#page=7","Abrir facsímil")</f>
        <v>Abrir facsímil</v>
      </c>
      <c r="K950" s="3" t="s">
        <v>64</v>
      </c>
    </row>
    <row r="951" spans="1:11" ht="42" customHeight="1">
      <c r="A951" s="2" t="s">
        <v>2375</v>
      </c>
      <c r="B951" s="2" t="s">
        <v>2376</v>
      </c>
      <c r="C951" s="2" t="s">
        <v>17</v>
      </c>
      <c r="D951" s="2" t="s">
        <v>18</v>
      </c>
      <c r="E951" s="5">
        <v>-31140</v>
      </c>
      <c r="F951" s="3" t="s">
        <v>525</v>
      </c>
      <c r="G951" s="3" t="s">
        <v>20</v>
      </c>
      <c r="H951" s="2" t="s">
        <v>62</v>
      </c>
      <c r="I951" s="2" t="s">
        <v>2377</v>
      </c>
      <c r="J951" s="3" t="str">
        <f>HYPERLINK("https://www.boe.es/gazeta/dias/1814/09/27/pdfs/GMD-1814-131.pdf#page=7","Abrir facsímil")</f>
        <v>Abrir facsímil</v>
      </c>
      <c r="K951" s="3" t="s">
        <v>64</v>
      </c>
    </row>
    <row r="952" spans="1:11" ht="42" customHeight="1">
      <c r="A952" s="2" t="s">
        <v>2378</v>
      </c>
      <c r="B952" s="2" t="s">
        <v>2379</v>
      </c>
      <c r="C952" s="2" t="s">
        <v>38</v>
      </c>
      <c r="D952" s="2" t="s">
        <v>39</v>
      </c>
      <c r="E952" s="5">
        <v>-31182</v>
      </c>
      <c r="F952" s="3" t="s">
        <v>19</v>
      </c>
      <c r="G952" s="3" t="s">
        <v>57</v>
      </c>
      <c r="H952" s="2" t="s">
        <v>62</v>
      </c>
      <c r="I952" s="2" t="s">
        <v>2380</v>
      </c>
      <c r="J952" s="3" t="str">
        <f>HYPERLINK("https://www.boe.es/gazeta/dias/1814/08/16/pdfs/GMD-1814-112.pdf#page=6","Abrir facsímil")</f>
        <v>Abrir facsímil</v>
      </c>
      <c r="K952" s="3" t="s">
        <v>64</v>
      </c>
    </row>
    <row r="953" spans="1:11" ht="42" customHeight="1">
      <c r="A953" s="2" t="s">
        <v>2381</v>
      </c>
      <c r="B953" s="2" t="s">
        <v>2381</v>
      </c>
      <c r="C953" s="2" t="s">
        <v>38</v>
      </c>
      <c r="D953" s="2" t="s">
        <v>39</v>
      </c>
      <c r="E953" s="5">
        <v>-31388</v>
      </c>
      <c r="F953" s="3" t="s">
        <v>1299</v>
      </c>
      <c r="G953" s="3" t="s">
        <v>87</v>
      </c>
      <c r="H953" s="2" t="s">
        <v>62</v>
      </c>
      <c r="I953" s="2" t="s">
        <v>2382</v>
      </c>
      <c r="J953" s="3" t="str">
        <f>HYPERLINK("https://www.boe.es/gazeta/dias/1814/01/22/pdfs/GRE-1814-11.pdf#page=2","Abrir facsímil")</f>
        <v>Abrir facsímil</v>
      </c>
      <c r="K953" s="3" t="s">
        <v>64</v>
      </c>
    </row>
    <row r="954" spans="1:11" ht="42" customHeight="1">
      <c r="A954" s="2" t="s">
        <v>2383</v>
      </c>
      <c r="B954" s="2" t="s">
        <v>2383</v>
      </c>
      <c r="C954" s="2" t="s">
        <v>38</v>
      </c>
      <c r="D954" s="2" t="s">
        <v>39</v>
      </c>
      <c r="E954" s="5">
        <v>-31334</v>
      </c>
      <c r="F954" s="3" t="s">
        <v>482</v>
      </c>
      <c r="G954" s="3" t="s">
        <v>99</v>
      </c>
      <c r="H954" s="2" t="s">
        <v>62</v>
      </c>
      <c r="I954" s="2" t="s">
        <v>2384</v>
      </c>
      <c r="J954" s="3" t="str">
        <f>HYPERLINK("https://www.boe.es/gazeta/dias/1814/03/17/pdfs/GRE-1814-37.pdf#page=5","Abrir facsímil")</f>
        <v>Abrir facsímil</v>
      </c>
      <c r="K954" s="3" t="s">
        <v>64</v>
      </c>
    </row>
    <row r="955" spans="1:11" ht="42" customHeight="1">
      <c r="A955" s="2" t="s">
        <v>2385</v>
      </c>
      <c r="B955" s="2" t="s">
        <v>2386</v>
      </c>
      <c r="C955" s="2" t="s">
        <v>32</v>
      </c>
      <c r="D955" s="2" t="s">
        <v>18</v>
      </c>
      <c r="E955" s="5">
        <v>-31091</v>
      </c>
      <c r="F955" s="3" t="s">
        <v>1156</v>
      </c>
      <c r="G955" s="3" t="s">
        <v>52</v>
      </c>
      <c r="H955" s="2" t="s">
        <v>21</v>
      </c>
      <c r="I955" s="2" t="s">
        <v>2387</v>
      </c>
      <c r="J955" s="3" t="str">
        <f>HYPERLINK("https://www.boe.es/gazeta/dias/1814/11/15/pdfs/GMD-1814-152.pdf#page=8","Abrir facsímil")</f>
        <v>Abrir facsímil</v>
      </c>
      <c r="K955" s="3" t="s">
        <v>23</v>
      </c>
    </row>
    <row r="956" spans="1:11" ht="42" customHeight="1">
      <c r="A956" s="2" t="s">
        <v>2388</v>
      </c>
      <c r="B956" s="2" t="s">
        <v>2388</v>
      </c>
      <c r="C956" s="2" t="s">
        <v>17</v>
      </c>
      <c r="D956" s="2" t="s">
        <v>18</v>
      </c>
      <c r="E956" s="5">
        <v>-31080</v>
      </c>
      <c r="F956" s="3" t="s">
        <v>286</v>
      </c>
      <c r="G956" s="3" t="s">
        <v>107</v>
      </c>
      <c r="H956" s="2" t="s">
        <v>62</v>
      </c>
      <c r="I956" s="2" t="s">
        <v>2389</v>
      </c>
      <c r="J956" s="3" t="str">
        <f>HYPERLINK("https://www.boe.es/gazeta/dias/1814/11/26/pdfs/GMD-1814-157.pdf#page=1","Abrir facsímil")</f>
        <v>Abrir facsímil</v>
      </c>
      <c r="K956" s="3" t="s">
        <v>64</v>
      </c>
    </row>
    <row r="957" spans="1:11" ht="42" customHeight="1">
      <c r="A957" s="2" t="s">
        <v>2390</v>
      </c>
      <c r="B957" s="2" t="s">
        <v>2391</v>
      </c>
      <c r="C957" s="2" t="s">
        <v>26</v>
      </c>
      <c r="D957" s="2" t="s">
        <v>27</v>
      </c>
      <c r="E957" s="5">
        <v>-31173</v>
      </c>
      <c r="F957" s="3" t="s">
        <v>46</v>
      </c>
      <c r="G957" s="3" t="s">
        <v>20</v>
      </c>
      <c r="H957" s="2" t="s">
        <v>62</v>
      </c>
      <c r="I957" s="2" t="s">
        <v>2392</v>
      </c>
      <c r="J957" s="3" t="str">
        <f>HYPERLINK("https://www.boe.es/gazeta/dias/1814/08/25/pdfs/GMD-1814-116.pdf#page=7","Abrir facsímil")</f>
        <v>Abrir facsímil</v>
      </c>
      <c r="K957" s="3" t="s">
        <v>64</v>
      </c>
    </row>
    <row r="958" spans="1:11" ht="42" customHeight="1">
      <c r="A958" s="2" t="s">
        <v>2393</v>
      </c>
      <c r="B958" s="2" t="s">
        <v>2394</v>
      </c>
      <c r="C958" s="2" t="s">
        <v>38</v>
      </c>
      <c r="D958" s="2" t="s">
        <v>39</v>
      </c>
      <c r="E958" s="5">
        <v>-31245</v>
      </c>
      <c r="F958" s="3" t="s">
        <v>908</v>
      </c>
      <c r="G958" s="3" t="s">
        <v>99</v>
      </c>
      <c r="H958" s="2" t="s">
        <v>62</v>
      </c>
      <c r="I958" s="2" t="s">
        <v>2395</v>
      </c>
      <c r="J958" s="3" t="str">
        <f>HYPERLINK("https://www.boe.es/gazeta/dias/1814/06/14/pdfs/GMD-1814-85.pdf#page=5","Abrir facsímil")</f>
        <v>Abrir facsímil</v>
      </c>
      <c r="K958" s="3" t="s">
        <v>64</v>
      </c>
    </row>
    <row r="959" spans="1:11" ht="42" customHeight="1">
      <c r="A959" s="2" t="s">
        <v>2393</v>
      </c>
      <c r="B959" s="2" t="s">
        <v>2394</v>
      </c>
      <c r="C959" s="2" t="s">
        <v>26</v>
      </c>
      <c r="D959" s="2" t="s">
        <v>27</v>
      </c>
      <c r="E959" s="5">
        <v>-31227</v>
      </c>
      <c r="F959" s="3" t="s">
        <v>102</v>
      </c>
      <c r="G959" s="3" t="s">
        <v>798</v>
      </c>
      <c r="H959" s="2" t="s">
        <v>62</v>
      </c>
      <c r="I959" s="2" t="s">
        <v>2396</v>
      </c>
      <c r="J959" s="3" t="str">
        <f>HYPERLINK("https://www.boe.es/gazeta/dias/1814/07/02/pdfs/GMD-1814-93.pdf#page=6","Abrir facsímil")</f>
        <v>Abrir facsímil</v>
      </c>
      <c r="K959" s="3" t="s">
        <v>64</v>
      </c>
    </row>
    <row r="960" spans="1:11" ht="42" customHeight="1">
      <c r="A960" s="2" t="s">
        <v>2397</v>
      </c>
      <c r="B960" s="2" t="s">
        <v>2398</v>
      </c>
      <c r="C960" s="2" t="s">
        <v>26</v>
      </c>
      <c r="D960" s="2" t="s">
        <v>27</v>
      </c>
      <c r="E960" s="5">
        <v>-31077</v>
      </c>
      <c r="F960" s="3" t="s">
        <v>414</v>
      </c>
      <c r="G960" s="3" t="s">
        <v>52</v>
      </c>
      <c r="H960" s="2" t="s">
        <v>62</v>
      </c>
      <c r="I960" s="2" t="s">
        <v>2399</v>
      </c>
      <c r="J960" s="3" t="str">
        <f>HYPERLINK("https://www.boe.es/gazeta/dias/1814/11/29/pdfs/GMD-1814-158.pdf#page=8","Abrir facsímil")</f>
        <v>Abrir facsímil</v>
      </c>
      <c r="K960" s="3" t="s">
        <v>64</v>
      </c>
    </row>
    <row r="961" spans="1:11" ht="42" customHeight="1">
      <c r="A961" s="2" t="s">
        <v>2400</v>
      </c>
      <c r="B961" s="2" t="s">
        <v>2401</v>
      </c>
      <c r="C961" s="2" t="s">
        <v>38</v>
      </c>
      <c r="D961" s="2" t="s">
        <v>39</v>
      </c>
      <c r="E961" s="5">
        <v>-31399</v>
      </c>
      <c r="F961" s="3" t="s">
        <v>218</v>
      </c>
      <c r="G961" s="3" t="s">
        <v>219</v>
      </c>
      <c r="H961" s="2" t="s">
        <v>62</v>
      </c>
      <c r="I961" s="2" t="s">
        <v>2402</v>
      </c>
      <c r="J961" s="3" t="str">
        <f>HYPERLINK("https://www.boe.es/gazeta/dias/1814/01/11/pdfs/GRE-1814-6.pdf#page=8","Abrir facsímil")</f>
        <v>Abrir facsímil</v>
      </c>
      <c r="K961" s="3" t="s">
        <v>64</v>
      </c>
    </row>
    <row r="962" spans="1:11" ht="42" customHeight="1">
      <c r="A962" s="2" t="s">
        <v>2403</v>
      </c>
      <c r="B962" s="2" t="s">
        <v>2404</v>
      </c>
      <c r="C962" s="2" t="s">
        <v>38</v>
      </c>
      <c r="D962" s="2" t="s">
        <v>39</v>
      </c>
      <c r="E962" s="5">
        <v>-31392</v>
      </c>
      <c r="F962" s="3" t="s">
        <v>195</v>
      </c>
      <c r="G962" s="3" t="s">
        <v>758</v>
      </c>
      <c r="H962" s="2" t="s">
        <v>62</v>
      </c>
      <c r="I962" s="2" t="s">
        <v>2405</v>
      </c>
      <c r="J962" s="3" t="str">
        <f>HYPERLINK("https://www.boe.es/gazeta/dias/1814/01/18/pdfs/GRE-1814-9.pdf#page=8","Abrir facsímil")</f>
        <v>Abrir facsímil</v>
      </c>
      <c r="K962" s="3" t="s">
        <v>64</v>
      </c>
    </row>
    <row r="963" spans="1:11" ht="42" customHeight="1">
      <c r="A963" s="2" t="s">
        <v>2406</v>
      </c>
      <c r="B963" s="2" t="s">
        <v>2407</v>
      </c>
      <c r="C963" s="2" t="s">
        <v>26</v>
      </c>
      <c r="D963" s="2" t="s">
        <v>27</v>
      </c>
      <c r="E963" s="5">
        <v>-31049</v>
      </c>
      <c r="F963" s="3" t="s">
        <v>542</v>
      </c>
      <c r="G963" s="3" t="s">
        <v>20</v>
      </c>
      <c r="H963" s="2" t="s">
        <v>62</v>
      </c>
      <c r="I963" s="2" t="s">
        <v>2408</v>
      </c>
      <c r="J963" s="3" t="str">
        <f>HYPERLINK("https://www.boe.es/gazeta/dias/1814/12/27/pdfs/GMD-1814-171.pdf#page=7","Abrir facsímil")</f>
        <v>Abrir facsímil</v>
      </c>
      <c r="K963" s="3" t="s">
        <v>64</v>
      </c>
    </row>
    <row r="964" spans="1:11" ht="42" customHeight="1">
      <c r="A964" s="2" t="s">
        <v>2409</v>
      </c>
      <c r="B964" s="2" t="s">
        <v>2410</v>
      </c>
      <c r="C964" s="2" t="s">
        <v>17</v>
      </c>
      <c r="D964" s="2" t="s">
        <v>18</v>
      </c>
      <c r="E964" s="5">
        <v>-31248</v>
      </c>
      <c r="F964" s="3" t="s">
        <v>1123</v>
      </c>
      <c r="G964" s="3" t="s">
        <v>2411</v>
      </c>
      <c r="H964" s="2" t="s">
        <v>62</v>
      </c>
      <c r="I964" s="2" t="s">
        <v>2412</v>
      </c>
      <c r="J964" s="3" t="str">
        <f>HYPERLINK("https://www.boe.es/gazeta/dias/1814/06/11/pdfs/GMD-1814-84.pdf#page=6","Abrir facsímil")</f>
        <v>Abrir facsímil</v>
      </c>
      <c r="K964" s="3" t="s">
        <v>64</v>
      </c>
    </row>
    <row r="965" spans="1:11" ht="42" customHeight="1">
      <c r="A965" s="2" t="s">
        <v>2413</v>
      </c>
      <c r="B965" s="2" t="s">
        <v>2414</v>
      </c>
      <c r="C965" s="2" t="s">
        <v>26</v>
      </c>
      <c r="D965" s="2" t="s">
        <v>27</v>
      </c>
      <c r="E965" s="5">
        <v>-31182</v>
      </c>
      <c r="F965" s="3" t="s">
        <v>19</v>
      </c>
      <c r="G965" s="3" t="s">
        <v>57</v>
      </c>
      <c r="H965" s="2" t="s">
        <v>62</v>
      </c>
      <c r="I965" s="2" t="s">
        <v>2415</v>
      </c>
      <c r="J965" s="3" t="str">
        <f>HYPERLINK("https://www.boe.es/gazeta/dias/1814/08/16/pdfs/GMD-1814-112.pdf#page=6","Abrir facsímil")</f>
        <v>Abrir facsímil</v>
      </c>
      <c r="K965" s="3" t="s">
        <v>64</v>
      </c>
    </row>
    <row r="966" spans="1:11" ht="42" customHeight="1">
      <c r="A966" s="2" t="s">
        <v>2416</v>
      </c>
      <c r="B966" s="2" t="s">
        <v>2417</v>
      </c>
      <c r="C966" s="2" t="s">
        <v>38</v>
      </c>
      <c r="D966" s="2" t="s">
        <v>39</v>
      </c>
      <c r="E966" s="5">
        <v>-31325</v>
      </c>
      <c r="F966" s="3" t="s">
        <v>67</v>
      </c>
      <c r="G966" s="3" t="s">
        <v>57</v>
      </c>
      <c r="H966" s="2" t="s">
        <v>62</v>
      </c>
      <c r="I966" s="2" t="s">
        <v>2418</v>
      </c>
      <c r="J966" s="3" t="str">
        <f>HYPERLINK("https://www.boe.es/gazeta/dias/1814/03/26/pdfs/GRE-1814-43.pdf#page=6","Abrir facsímil")</f>
        <v>Abrir facsímil</v>
      </c>
      <c r="K966" s="3" t="s">
        <v>64</v>
      </c>
    </row>
    <row r="967" spans="1:11" ht="42" customHeight="1">
      <c r="A967" s="2" t="s">
        <v>2419</v>
      </c>
      <c r="B967" s="2" t="s">
        <v>2420</v>
      </c>
      <c r="C967" s="2" t="s">
        <v>38</v>
      </c>
      <c r="D967" s="2" t="s">
        <v>314</v>
      </c>
      <c r="E967" s="5">
        <v>-31296</v>
      </c>
      <c r="F967" s="3" t="s">
        <v>315</v>
      </c>
      <c r="G967" s="3" t="s">
        <v>57</v>
      </c>
      <c r="H967" s="2" t="s">
        <v>62</v>
      </c>
      <c r="I967" s="2" t="s">
        <v>2421</v>
      </c>
      <c r="J967" s="3" t="str">
        <f>HYPERLINK("https://www.boe.es/gazeta/dias/1814/04/24/pdfs/GRE-1814-60E.pdf#page=6","Abrir facsímil")</f>
        <v>Abrir facsímil</v>
      </c>
      <c r="K967" s="3" t="s">
        <v>64</v>
      </c>
    </row>
    <row r="968" spans="1:11" ht="42" customHeight="1">
      <c r="A968" s="2" t="s">
        <v>2422</v>
      </c>
      <c r="B968" s="2" t="s">
        <v>2423</v>
      </c>
      <c r="C968" s="2" t="s">
        <v>38</v>
      </c>
      <c r="D968" s="2" t="s">
        <v>39</v>
      </c>
      <c r="E968" s="5">
        <v>-31124</v>
      </c>
      <c r="F968" s="3" t="s">
        <v>383</v>
      </c>
      <c r="G968" s="3" t="s">
        <v>574</v>
      </c>
      <c r="H968" s="2" t="s">
        <v>62</v>
      </c>
      <c r="I968" s="2" t="s">
        <v>2424</v>
      </c>
      <c r="J968" s="3" t="str">
        <f>HYPERLINK("https://www.boe.es/gazeta/dias/1814/10/13/pdfs/GMD-1814-138.pdf#page=10","Abrir facsímil")</f>
        <v>Abrir facsímil</v>
      </c>
      <c r="K968" s="3" t="s">
        <v>64</v>
      </c>
    </row>
    <row r="969" spans="1:11" ht="42" customHeight="1">
      <c r="A969" s="2" t="s">
        <v>2425</v>
      </c>
      <c r="B969" s="2" t="s">
        <v>2426</v>
      </c>
      <c r="C969" s="2" t="s">
        <v>38</v>
      </c>
      <c r="D969" s="2" t="s">
        <v>39</v>
      </c>
      <c r="E969" s="5">
        <v>-31194</v>
      </c>
      <c r="F969" s="3" t="s">
        <v>333</v>
      </c>
      <c r="G969" s="3" t="s">
        <v>57</v>
      </c>
      <c r="H969" s="2" t="s">
        <v>62</v>
      </c>
      <c r="I969" s="2" t="s">
        <v>2427</v>
      </c>
      <c r="J969" s="3" t="str">
        <f>HYPERLINK("https://www.boe.es/gazeta/dias/1814/08/04/pdfs/GMD-1814-107.pdf#page=6","Abrir facsímil")</f>
        <v>Abrir facsímil</v>
      </c>
      <c r="K969" s="3" t="s">
        <v>64</v>
      </c>
    </row>
    <row r="970" spans="1:11" ht="42" customHeight="1">
      <c r="A970" s="2" t="s">
        <v>2428</v>
      </c>
      <c r="B970" s="2" t="s">
        <v>2429</v>
      </c>
      <c r="C970" s="2" t="s">
        <v>38</v>
      </c>
      <c r="D970" s="2" t="s">
        <v>39</v>
      </c>
      <c r="E970" s="5">
        <v>-31126</v>
      </c>
      <c r="F970" s="3" t="s">
        <v>56</v>
      </c>
      <c r="G970" s="3" t="s">
        <v>52</v>
      </c>
      <c r="H970" s="2" t="s">
        <v>62</v>
      </c>
      <c r="I970" s="2" t="s">
        <v>2430</v>
      </c>
      <c r="J970" s="3" t="str">
        <f>HYPERLINK("https://www.boe.es/gazeta/dias/1814/10/11/pdfs/GMD-1814-137.pdf#page=8","Abrir facsímil")</f>
        <v>Abrir facsímil</v>
      </c>
      <c r="K970" s="3" t="s">
        <v>64</v>
      </c>
    </row>
    <row r="971" spans="1:11" ht="42" customHeight="1">
      <c r="A971" s="2" t="s">
        <v>2431</v>
      </c>
      <c r="B971" s="2" t="s">
        <v>2432</v>
      </c>
      <c r="C971" s="2" t="s">
        <v>38</v>
      </c>
      <c r="D971" s="2" t="s">
        <v>39</v>
      </c>
      <c r="E971" s="5">
        <v>-31143</v>
      </c>
      <c r="F971" s="3" t="s">
        <v>787</v>
      </c>
      <c r="G971" s="3" t="s">
        <v>52</v>
      </c>
      <c r="H971" s="2" t="s">
        <v>62</v>
      </c>
      <c r="I971" s="2" t="s">
        <v>2433</v>
      </c>
      <c r="J971" s="3" t="str">
        <f>HYPERLINK("https://www.boe.es/gazeta/dias/1814/09/24/pdfs/GMD-1814-130.pdf#page=8","Abrir facsímil")</f>
        <v>Abrir facsímil</v>
      </c>
      <c r="K971" s="3" t="s">
        <v>64</v>
      </c>
    </row>
    <row r="972" spans="1:11" ht="42" customHeight="1">
      <c r="A972" s="2" t="s">
        <v>2431</v>
      </c>
      <c r="B972" s="2" t="s">
        <v>2432</v>
      </c>
      <c r="C972" s="2" t="s">
        <v>38</v>
      </c>
      <c r="D972" s="2" t="s">
        <v>39</v>
      </c>
      <c r="E972" s="5">
        <v>-31133</v>
      </c>
      <c r="F972" s="3" t="s">
        <v>184</v>
      </c>
      <c r="G972" s="3" t="s">
        <v>57</v>
      </c>
      <c r="H972" s="2" t="s">
        <v>62</v>
      </c>
      <c r="I972" s="2" t="s">
        <v>2434</v>
      </c>
      <c r="J972" s="3" t="str">
        <f>HYPERLINK("https://www.boe.es/gazeta/dias/1814/10/04/pdfs/GMD-1814-134.pdf#page=6","Abrir facsímil")</f>
        <v>Abrir facsímil</v>
      </c>
      <c r="K972" s="3" t="s">
        <v>64</v>
      </c>
    </row>
    <row r="973" spans="1:11" ht="42" customHeight="1">
      <c r="A973" s="2" t="s">
        <v>2435</v>
      </c>
      <c r="B973" s="2" t="s">
        <v>2436</v>
      </c>
      <c r="C973" s="2" t="s">
        <v>32</v>
      </c>
      <c r="D973" s="2" t="s">
        <v>18</v>
      </c>
      <c r="E973" s="5">
        <v>-31385</v>
      </c>
      <c r="F973" s="3" t="s">
        <v>783</v>
      </c>
      <c r="G973" s="3" t="s">
        <v>52</v>
      </c>
      <c r="H973" s="2" t="s">
        <v>62</v>
      </c>
      <c r="I973" s="2" t="s">
        <v>2437</v>
      </c>
      <c r="J973" s="3" t="str">
        <f>HYPERLINK("https://www.boe.es/gazeta/dias/1814/01/25/pdfs/GRE-1814-12.pdf#page=8","Abrir facsímil")</f>
        <v>Abrir facsímil</v>
      </c>
      <c r="K973" s="3" t="s">
        <v>64</v>
      </c>
    </row>
    <row r="974" spans="1:11" ht="42" customHeight="1">
      <c r="A974" s="2" t="s">
        <v>2438</v>
      </c>
      <c r="B974" s="2" t="s">
        <v>2439</v>
      </c>
      <c r="C974" s="2" t="s">
        <v>26</v>
      </c>
      <c r="D974" s="2" t="s">
        <v>27</v>
      </c>
      <c r="E974" s="5">
        <v>-31180</v>
      </c>
      <c r="F974" s="3" t="s">
        <v>520</v>
      </c>
      <c r="G974" s="3" t="s">
        <v>20</v>
      </c>
      <c r="H974" s="2" t="s">
        <v>62</v>
      </c>
      <c r="I974" s="2" t="s">
        <v>2440</v>
      </c>
      <c r="J974" s="3" t="str">
        <f>HYPERLINK("https://www.boe.es/gazeta/dias/1814/08/18/pdfs/GMD-1814-113.pdf#page=7","Abrir facsímil")</f>
        <v>Abrir facsímil</v>
      </c>
      <c r="K974" s="3" t="s">
        <v>64</v>
      </c>
    </row>
    <row r="975" spans="1:11" ht="42" customHeight="1">
      <c r="A975" s="2" t="s">
        <v>2441</v>
      </c>
      <c r="B975" s="2" t="s">
        <v>2442</v>
      </c>
      <c r="C975" s="2" t="s">
        <v>26</v>
      </c>
      <c r="D975" s="2" t="s">
        <v>27</v>
      </c>
      <c r="E975" s="5">
        <v>-31173</v>
      </c>
      <c r="F975" s="3" t="s">
        <v>46</v>
      </c>
      <c r="G975" s="3" t="s">
        <v>1862</v>
      </c>
      <c r="H975" s="2" t="s">
        <v>62</v>
      </c>
      <c r="I975" s="2" t="s">
        <v>2443</v>
      </c>
      <c r="J975" s="3" t="str">
        <f>HYPERLINK("https://www.boe.es/gazeta/dias/1814/08/25/pdfs/GMD-1814-116.pdf#page=4","Abrir facsímil")</f>
        <v>Abrir facsímil</v>
      </c>
      <c r="K975" s="3" t="s">
        <v>64</v>
      </c>
    </row>
    <row r="976" spans="1:11" ht="42" customHeight="1">
      <c r="A976" s="2" t="s">
        <v>2444</v>
      </c>
      <c r="B976" s="2" t="s">
        <v>2445</v>
      </c>
      <c r="C976" s="2" t="s">
        <v>38</v>
      </c>
      <c r="D976" s="2" t="s">
        <v>39</v>
      </c>
      <c r="E976" s="5">
        <v>-31080</v>
      </c>
      <c r="F976" s="3" t="s">
        <v>286</v>
      </c>
      <c r="G976" s="3" t="s">
        <v>1031</v>
      </c>
      <c r="H976" s="2" t="s">
        <v>62</v>
      </c>
      <c r="I976" s="2" t="s">
        <v>2446</v>
      </c>
      <c r="J976" s="3" t="str">
        <f>HYPERLINK("https://www.boe.es/gazeta/dias/1814/11/26/pdfs/GMD-1814-157.pdf#page=8","Abrir facsímil")</f>
        <v>Abrir facsímil</v>
      </c>
      <c r="K976" s="3" t="s">
        <v>64</v>
      </c>
    </row>
    <row r="977" spans="1:11" ht="42" customHeight="1">
      <c r="A977" s="2" t="s">
        <v>2447</v>
      </c>
      <c r="B977" s="2" t="s">
        <v>2448</v>
      </c>
      <c r="C977" s="2" t="s">
        <v>26</v>
      </c>
      <c r="D977" s="2" t="s">
        <v>27</v>
      </c>
      <c r="E977" s="5">
        <v>-31192</v>
      </c>
      <c r="F977" s="3" t="s">
        <v>388</v>
      </c>
      <c r="G977" s="3" t="s">
        <v>20</v>
      </c>
      <c r="H977" s="2" t="s">
        <v>62</v>
      </c>
      <c r="I977" s="2" t="s">
        <v>2449</v>
      </c>
      <c r="J977" s="3" t="str">
        <f>HYPERLINK("https://www.boe.es/gazeta/dias/1814/08/06/pdfs/GMD-1814-108.pdf#page=7","Abrir facsímil")</f>
        <v>Abrir facsímil</v>
      </c>
      <c r="K977" s="3" t="s">
        <v>64</v>
      </c>
    </row>
    <row r="978" spans="1:11" ht="42" customHeight="1">
      <c r="A978" s="2" t="s">
        <v>2450</v>
      </c>
      <c r="B978" s="2" t="s">
        <v>2451</v>
      </c>
      <c r="C978" s="2" t="s">
        <v>26</v>
      </c>
      <c r="D978" s="2" t="s">
        <v>27</v>
      </c>
      <c r="E978" s="5">
        <v>-31262</v>
      </c>
      <c r="F978" s="3" t="s">
        <v>254</v>
      </c>
      <c r="G978" s="3" t="s">
        <v>99</v>
      </c>
      <c r="H978" s="2" t="s">
        <v>62</v>
      </c>
      <c r="I978" s="2" t="s">
        <v>2452</v>
      </c>
      <c r="J978" s="3" t="str">
        <f>HYPERLINK("https://www.boe.es/gazeta/dias/1814/05/28/pdfs/GMD-1814-78.pdf#page=5","Abrir facsímil")</f>
        <v>Abrir facsímil</v>
      </c>
      <c r="K978" s="3" t="s">
        <v>64</v>
      </c>
    </row>
    <row r="979" spans="1:11" ht="42" customHeight="1">
      <c r="A979" s="2" t="s">
        <v>2453</v>
      </c>
      <c r="B979" s="2" t="s">
        <v>2454</v>
      </c>
      <c r="C979" s="2" t="s">
        <v>144</v>
      </c>
      <c r="D979" s="2" t="s">
        <v>18</v>
      </c>
      <c r="E979" s="5">
        <v>-31054</v>
      </c>
      <c r="F979" s="3" t="s">
        <v>952</v>
      </c>
      <c r="G979" s="3" t="s">
        <v>52</v>
      </c>
      <c r="H979" s="2" t="s">
        <v>62</v>
      </c>
      <c r="I979" s="2" t="s">
        <v>2455</v>
      </c>
      <c r="J979" s="3" t="str">
        <f>HYPERLINK("https://www.boe.es/gazeta/dias/1814/12/22/pdfs/GMD-1814-169.pdf#page=8","Abrir facsímil")</f>
        <v>Abrir facsímil</v>
      </c>
      <c r="K979" s="3" t="s">
        <v>64</v>
      </c>
    </row>
    <row r="980" spans="1:11" ht="42" customHeight="1">
      <c r="A980" s="2" t="s">
        <v>2456</v>
      </c>
      <c r="B980" s="2" t="s">
        <v>2457</v>
      </c>
      <c r="C980" s="2" t="s">
        <v>45</v>
      </c>
      <c r="D980" s="2" t="s">
        <v>18</v>
      </c>
      <c r="E980" s="5">
        <v>-31117</v>
      </c>
      <c r="F980" s="3" t="s">
        <v>172</v>
      </c>
      <c r="G980" s="3" t="s">
        <v>392</v>
      </c>
      <c r="H980" s="2" t="s">
        <v>62</v>
      </c>
      <c r="I980" s="2" t="s">
        <v>2458</v>
      </c>
      <c r="J980" s="3" t="str">
        <f>HYPERLINK("https://www.boe.es/gazeta/dias/1814/10/20/pdfs/GMD-1814-141.pdf#page=8","Abrir facsímil")</f>
        <v>Abrir facsímil</v>
      </c>
      <c r="K980" s="3" t="s">
        <v>64</v>
      </c>
    </row>
    <row r="981" spans="1:11" ht="42" customHeight="1">
      <c r="A981" s="2" t="s">
        <v>2459</v>
      </c>
      <c r="B981" s="2" t="s">
        <v>2460</v>
      </c>
      <c r="C981" s="2" t="s">
        <v>45</v>
      </c>
      <c r="D981" s="2" t="s">
        <v>18</v>
      </c>
      <c r="E981" s="5">
        <v>-31082</v>
      </c>
      <c r="F981" s="3" t="s">
        <v>535</v>
      </c>
      <c r="G981" s="3" t="s">
        <v>2461</v>
      </c>
      <c r="H981" s="2" t="s">
        <v>62</v>
      </c>
      <c r="I981" s="2" t="s">
        <v>2462</v>
      </c>
      <c r="J981" s="3" t="str">
        <f>HYPERLINK("https://www.boe.es/gazeta/dias/1814/11/24/pdfs/GMD-1814-156.pdf#page=7","Abrir facsímil")</f>
        <v>Abrir facsímil</v>
      </c>
      <c r="K981" s="3" t="s">
        <v>64</v>
      </c>
    </row>
    <row r="982" spans="1:11" ht="42" customHeight="1">
      <c r="A982" s="2" t="s">
        <v>2459</v>
      </c>
      <c r="B982" s="2" t="s">
        <v>2460</v>
      </c>
      <c r="C982" s="2" t="s">
        <v>26</v>
      </c>
      <c r="D982" s="2" t="s">
        <v>27</v>
      </c>
      <c r="E982" s="5">
        <v>-31077</v>
      </c>
      <c r="F982" s="3" t="s">
        <v>414</v>
      </c>
      <c r="G982" s="3" t="s">
        <v>20</v>
      </c>
      <c r="H982" s="2" t="s">
        <v>62</v>
      </c>
      <c r="I982" s="2" t="s">
        <v>2463</v>
      </c>
      <c r="J982" s="3" t="str">
        <f>HYPERLINK("https://www.boe.es/gazeta/dias/1814/11/29/pdfs/GMD-1814-158.pdf#page=7","Abrir facsímil")</f>
        <v>Abrir facsímil</v>
      </c>
      <c r="K982" s="3" t="s">
        <v>64</v>
      </c>
    </row>
    <row r="983" spans="1:11" ht="42" customHeight="1">
      <c r="A983" s="2" t="s">
        <v>2464</v>
      </c>
      <c r="B983" s="2" t="s">
        <v>2464</v>
      </c>
      <c r="C983" s="2" t="s">
        <v>26</v>
      </c>
      <c r="D983" s="2" t="s">
        <v>27</v>
      </c>
      <c r="E983" s="5">
        <v>-31087</v>
      </c>
      <c r="F983" s="3" t="s">
        <v>118</v>
      </c>
      <c r="G983" s="3" t="s">
        <v>52</v>
      </c>
      <c r="H983" s="2" t="s">
        <v>62</v>
      </c>
      <c r="I983" s="2" t="s">
        <v>2465</v>
      </c>
      <c r="J983" s="3" t="str">
        <f>HYPERLINK("https://www.boe.es/gazeta/dias/1814/11/19/pdfs/GMD-1814-154.pdf#page=8","Abrir facsímil")</f>
        <v>Abrir facsímil</v>
      </c>
      <c r="K983" s="3" t="s">
        <v>64</v>
      </c>
    </row>
    <row r="984" spans="1:11" ht="42" customHeight="1">
      <c r="A984" s="2" t="s">
        <v>2466</v>
      </c>
      <c r="B984" s="2" t="s">
        <v>2467</v>
      </c>
      <c r="C984" s="2" t="s">
        <v>38</v>
      </c>
      <c r="D984" s="2" t="s">
        <v>39</v>
      </c>
      <c r="E984" s="5">
        <v>-31194</v>
      </c>
      <c r="F984" s="3" t="s">
        <v>333</v>
      </c>
      <c r="G984" s="3" t="s">
        <v>57</v>
      </c>
      <c r="H984" s="2" t="s">
        <v>62</v>
      </c>
      <c r="I984" s="2" t="s">
        <v>2468</v>
      </c>
      <c r="J984" s="3" t="str">
        <f>HYPERLINK("https://www.boe.es/gazeta/dias/1814/08/04/pdfs/GMD-1814-107.pdf#page=6","Abrir facsímil")</f>
        <v>Abrir facsímil</v>
      </c>
      <c r="K984" s="3" t="s">
        <v>64</v>
      </c>
    </row>
    <row r="985" spans="1:11" ht="42" customHeight="1">
      <c r="A985" s="2" t="s">
        <v>2469</v>
      </c>
      <c r="B985" s="2" t="s">
        <v>2470</v>
      </c>
      <c r="C985" s="2" t="s">
        <v>17</v>
      </c>
      <c r="D985" s="2" t="s">
        <v>18</v>
      </c>
      <c r="E985" s="5">
        <v>-31278</v>
      </c>
      <c r="F985" s="3" t="s">
        <v>773</v>
      </c>
      <c r="G985" s="3" t="s">
        <v>20</v>
      </c>
      <c r="H985" s="2" t="s">
        <v>62</v>
      </c>
      <c r="I985" s="2" t="s">
        <v>2471</v>
      </c>
      <c r="J985" s="3" t="str">
        <f>HYPERLINK("https://www.boe.es/gazeta/dias/1814/05/12/pdfs/GMD-1814-69.pdf#page=7","Abrir facsímil")</f>
        <v>Abrir facsímil</v>
      </c>
      <c r="K985" s="3" t="s">
        <v>64</v>
      </c>
    </row>
    <row r="986" spans="1:11" ht="42" customHeight="1">
      <c r="A986" s="2" t="s">
        <v>2469</v>
      </c>
      <c r="B986" s="2" t="s">
        <v>2470</v>
      </c>
      <c r="C986" s="2" t="s">
        <v>17</v>
      </c>
      <c r="D986" s="2" t="s">
        <v>18</v>
      </c>
      <c r="E986" s="5">
        <v>-31257</v>
      </c>
      <c r="F986" s="3" t="s">
        <v>437</v>
      </c>
      <c r="G986" s="3" t="s">
        <v>87</v>
      </c>
      <c r="H986" s="2" t="s">
        <v>62</v>
      </c>
      <c r="I986" s="2" t="s">
        <v>2472</v>
      </c>
      <c r="J986" s="3" t="str">
        <f>HYPERLINK("https://www.boe.es/gazeta/dias/1814/06/02/pdfs/GMD-1814-80.pdf#page=2","Abrir facsímil")</f>
        <v>Abrir facsímil</v>
      </c>
      <c r="K986" s="3" t="s">
        <v>64</v>
      </c>
    </row>
    <row r="987" spans="1:11" ht="42" customHeight="1">
      <c r="A987" s="2" t="s">
        <v>2473</v>
      </c>
      <c r="B987" s="2" t="s">
        <v>2474</v>
      </c>
      <c r="C987" s="2" t="s">
        <v>17</v>
      </c>
      <c r="D987" s="2" t="s">
        <v>18</v>
      </c>
      <c r="E987" s="5">
        <v>-31119</v>
      </c>
      <c r="F987" s="3" t="s">
        <v>136</v>
      </c>
      <c r="G987" s="3" t="s">
        <v>137</v>
      </c>
      <c r="H987" s="2" t="s">
        <v>62</v>
      </c>
      <c r="I987" s="2" t="s">
        <v>2475</v>
      </c>
      <c r="J987" s="3" t="str">
        <f>HYPERLINK("https://www.boe.es/gazeta/dias/1814/10/18/pdfs/GMD-1814-140.pdf#page=9","Abrir facsímil")</f>
        <v>Abrir facsímil</v>
      </c>
      <c r="K987" s="3" t="s">
        <v>64</v>
      </c>
    </row>
    <row r="988" spans="1:11" ht="42" customHeight="1">
      <c r="A988" s="2" t="s">
        <v>2476</v>
      </c>
      <c r="B988" s="2" t="s">
        <v>2477</v>
      </c>
      <c r="C988" s="2" t="s">
        <v>38</v>
      </c>
      <c r="D988" s="2" t="s">
        <v>39</v>
      </c>
      <c r="E988" s="5">
        <v>-31194</v>
      </c>
      <c r="F988" s="3" t="s">
        <v>333</v>
      </c>
      <c r="G988" s="3" t="s">
        <v>57</v>
      </c>
      <c r="H988" s="2" t="s">
        <v>62</v>
      </c>
      <c r="I988" s="2" t="s">
        <v>2478</v>
      </c>
      <c r="J988" s="3" t="str">
        <f>HYPERLINK("https://www.boe.es/gazeta/dias/1814/08/04/pdfs/GMD-1814-107.pdf#page=6","Abrir facsímil")</f>
        <v>Abrir facsímil</v>
      </c>
      <c r="K988" s="3" t="s">
        <v>64</v>
      </c>
    </row>
    <row r="989" spans="1:11" ht="42" customHeight="1">
      <c r="A989" s="2" t="s">
        <v>2479</v>
      </c>
      <c r="B989" s="2" t="s">
        <v>2480</v>
      </c>
      <c r="C989" s="2" t="s">
        <v>144</v>
      </c>
      <c r="D989" s="2" t="s">
        <v>18</v>
      </c>
      <c r="E989" s="5">
        <v>-31224</v>
      </c>
      <c r="F989" s="3" t="s">
        <v>609</v>
      </c>
      <c r="G989" s="3" t="s">
        <v>57</v>
      </c>
      <c r="H989" s="2" t="s">
        <v>62</v>
      </c>
      <c r="I989" s="2" t="s">
        <v>2481</v>
      </c>
      <c r="J989" s="3" t="str">
        <f>HYPERLINK("https://www.boe.es/gazeta/dias/1814/07/05/pdfs/GMD-1814-94.pdf#page=6","Abrir facsímil")</f>
        <v>Abrir facsímil</v>
      </c>
      <c r="K989" s="3" t="s">
        <v>64</v>
      </c>
    </row>
    <row r="990" spans="1:11" ht="42" customHeight="1">
      <c r="A990" s="2" t="s">
        <v>2482</v>
      </c>
      <c r="B990" s="2" t="s">
        <v>2483</v>
      </c>
      <c r="C990" s="2" t="s">
        <v>144</v>
      </c>
      <c r="D990" s="2" t="s">
        <v>18</v>
      </c>
      <c r="E990" s="5">
        <v>-31101</v>
      </c>
      <c r="F990" s="3" t="s">
        <v>2095</v>
      </c>
      <c r="G990" s="3" t="s">
        <v>20</v>
      </c>
      <c r="H990" s="2" t="s">
        <v>62</v>
      </c>
      <c r="I990" s="2" t="s">
        <v>2484</v>
      </c>
      <c r="J990" s="3" t="str">
        <f>HYPERLINK("https://www.boe.es/gazeta/dias/1814/11/05/pdfs/GMD-1814-148.pdf#page=7","Abrir facsímil")</f>
        <v>Abrir facsímil</v>
      </c>
      <c r="K990" s="3" t="s">
        <v>64</v>
      </c>
    </row>
    <row r="991" spans="1:11" ht="42" customHeight="1">
      <c r="A991" s="2" t="s">
        <v>2485</v>
      </c>
      <c r="B991" s="2" t="s">
        <v>2486</v>
      </c>
      <c r="C991" s="2" t="s">
        <v>26</v>
      </c>
      <c r="D991" s="2" t="s">
        <v>27</v>
      </c>
      <c r="E991" s="5">
        <v>-31255</v>
      </c>
      <c r="F991" s="3" t="s">
        <v>983</v>
      </c>
      <c r="G991" s="3" t="s">
        <v>41</v>
      </c>
      <c r="H991" s="2" t="s">
        <v>62</v>
      </c>
      <c r="I991" s="2" t="s">
        <v>2487</v>
      </c>
      <c r="J991" s="3" t="str">
        <f>HYPERLINK("https://www.boe.es/gazeta/dias/1814/06/04/pdfs/GMD-1814-81.pdf#page=4","Abrir facsímil")</f>
        <v>Abrir facsímil</v>
      </c>
      <c r="K991" s="3" t="s">
        <v>64</v>
      </c>
    </row>
    <row r="992" spans="1:11" ht="42" customHeight="1">
      <c r="A992" s="2" t="s">
        <v>2488</v>
      </c>
      <c r="B992" s="2" t="s">
        <v>2489</v>
      </c>
      <c r="C992" s="2" t="s">
        <v>38</v>
      </c>
      <c r="D992" s="2" t="s">
        <v>39</v>
      </c>
      <c r="E992" s="5">
        <v>-31124</v>
      </c>
      <c r="F992" s="3" t="s">
        <v>383</v>
      </c>
      <c r="G992" s="3" t="s">
        <v>574</v>
      </c>
      <c r="H992" s="2" t="s">
        <v>62</v>
      </c>
      <c r="I992" s="2" t="s">
        <v>2490</v>
      </c>
      <c r="J992" s="3" t="str">
        <f>HYPERLINK("https://www.boe.es/gazeta/dias/1814/10/13/pdfs/GMD-1814-138.pdf#page=10","Abrir facsímil")</f>
        <v>Abrir facsímil</v>
      </c>
      <c r="K992" s="3" t="s">
        <v>64</v>
      </c>
    </row>
    <row r="993" spans="1:11" ht="42" customHeight="1">
      <c r="A993" s="2" t="s">
        <v>2491</v>
      </c>
      <c r="B993" s="2" t="s">
        <v>2492</v>
      </c>
      <c r="C993" s="2" t="s">
        <v>26</v>
      </c>
      <c r="D993" s="2" t="s">
        <v>27</v>
      </c>
      <c r="E993" s="5">
        <v>-31196</v>
      </c>
      <c r="F993" s="3" t="s">
        <v>828</v>
      </c>
      <c r="G993" s="3" t="s">
        <v>41</v>
      </c>
      <c r="H993" s="2" t="s">
        <v>21</v>
      </c>
      <c r="I993" s="2" t="s">
        <v>2493</v>
      </c>
      <c r="J993" s="3" t="str">
        <f>HYPERLINK("https://www.boe.es/gazeta/dias/1814/08/02/pdfs/GMD-1814-106.pdf#page=4","Abrir facsímil")</f>
        <v>Abrir facsímil</v>
      </c>
      <c r="K993" s="3" t="s">
        <v>23</v>
      </c>
    </row>
    <row r="994" spans="1:11" ht="42" customHeight="1">
      <c r="A994" s="2" t="s">
        <v>2494</v>
      </c>
      <c r="B994" s="2" t="s">
        <v>2495</v>
      </c>
      <c r="C994" s="2" t="s">
        <v>17</v>
      </c>
      <c r="D994" s="2" t="s">
        <v>18</v>
      </c>
      <c r="E994" s="5">
        <v>-31152</v>
      </c>
      <c r="F994" s="3" t="s">
        <v>199</v>
      </c>
      <c r="G994" s="3" t="s">
        <v>20</v>
      </c>
      <c r="H994" s="2" t="s">
        <v>62</v>
      </c>
      <c r="I994" s="2" t="s">
        <v>2496</v>
      </c>
      <c r="J994" s="3" t="str">
        <f>HYPERLINK("https://www.boe.es/gazeta/dias/1814/09/15/pdfs/GMD-1814-126.pdf#page=7","Abrir facsímil")</f>
        <v>Abrir facsímil</v>
      </c>
      <c r="K994" s="3" t="s">
        <v>64</v>
      </c>
    </row>
    <row r="995" spans="1:11" ht="42" customHeight="1">
      <c r="A995" s="2" t="s">
        <v>2497</v>
      </c>
      <c r="B995" s="2" t="s">
        <v>2498</v>
      </c>
      <c r="C995" s="2" t="s">
        <v>144</v>
      </c>
      <c r="D995" s="2" t="s">
        <v>18</v>
      </c>
      <c r="E995" s="5">
        <v>-31206</v>
      </c>
      <c r="F995" s="3" t="s">
        <v>1196</v>
      </c>
      <c r="G995" s="3" t="s">
        <v>20</v>
      </c>
      <c r="H995" s="2" t="s">
        <v>21</v>
      </c>
      <c r="I995" s="2" t="s">
        <v>2499</v>
      </c>
      <c r="J995" s="3" t="str">
        <f>HYPERLINK("https://www.boe.es/gazeta/dias/1814/07/23/pdfs/GMD-1814-102.pdf#page=7","Abrir facsímil")</f>
        <v>Abrir facsímil</v>
      </c>
      <c r="K995" s="3" t="s">
        <v>23</v>
      </c>
    </row>
    <row r="996" spans="1:11" ht="42" customHeight="1">
      <c r="A996" s="2" t="s">
        <v>2500</v>
      </c>
      <c r="B996" s="2" t="s">
        <v>2501</v>
      </c>
      <c r="C996" s="2" t="s">
        <v>144</v>
      </c>
      <c r="D996" s="2" t="s">
        <v>18</v>
      </c>
      <c r="E996" s="5">
        <v>-31285</v>
      </c>
      <c r="F996" s="3" t="s">
        <v>1141</v>
      </c>
      <c r="G996" s="3" t="s">
        <v>1142</v>
      </c>
      <c r="H996" s="2" t="s">
        <v>62</v>
      </c>
      <c r="I996" s="2" t="s">
        <v>2502</v>
      </c>
      <c r="J996" s="3" t="str">
        <f>HYPERLINK("https://www.boe.es/gazeta/dias/1814/05/05/pdfs/GRE-1814-66.pdf#page=8","Abrir facsímil")</f>
        <v>Abrir facsímil</v>
      </c>
      <c r="K996" s="3" t="s">
        <v>64</v>
      </c>
    </row>
    <row r="997" spans="1:11" ht="42" customHeight="1">
      <c r="A997" s="2" t="s">
        <v>2503</v>
      </c>
      <c r="B997" s="2" t="s">
        <v>2504</v>
      </c>
      <c r="C997" s="2" t="s">
        <v>38</v>
      </c>
      <c r="D997" s="2" t="s">
        <v>314</v>
      </c>
      <c r="E997" s="5">
        <v>-31294</v>
      </c>
      <c r="F997" s="3" t="s">
        <v>2505</v>
      </c>
      <c r="G997" s="3" t="s">
        <v>107</v>
      </c>
      <c r="H997" s="2" t="s">
        <v>62</v>
      </c>
      <c r="I997" s="2" t="s">
        <v>2506</v>
      </c>
      <c r="J997" s="3" t="str">
        <f>HYPERLINK("https://www.boe.es/gazeta/dias/1814/04/26/pdfs/GRE-1814-62E.pdf#page=1","Abrir facsímil")</f>
        <v>Abrir facsímil</v>
      </c>
      <c r="K997" s="3" t="s">
        <v>64</v>
      </c>
    </row>
    <row r="998" spans="1:11" ht="42" customHeight="1">
      <c r="A998" s="2" t="s">
        <v>2503</v>
      </c>
      <c r="B998" s="2" t="s">
        <v>2504</v>
      </c>
      <c r="C998" s="2" t="s">
        <v>38</v>
      </c>
      <c r="D998" s="2" t="s">
        <v>314</v>
      </c>
      <c r="E998" s="5">
        <v>-31294</v>
      </c>
      <c r="F998" s="3" t="s">
        <v>2505</v>
      </c>
      <c r="G998" s="3" t="s">
        <v>87</v>
      </c>
      <c r="H998" s="2" t="s">
        <v>62</v>
      </c>
      <c r="I998" s="2" t="s">
        <v>2507</v>
      </c>
      <c r="J998" s="3" t="str">
        <f>HYPERLINK("https://www.boe.es/gazeta/dias/1814/04/26/pdfs/GRE-1814-62E.pdf#page=2","Abrir facsímil")</f>
        <v>Abrir facsímil</v>
      </c>
      <c r="K998" s="3" t="s">
        <v>64</v>
      </c>
    </row>
    <row r="999" spans="1:11" ht="42" customHeight="1">
      <c r="A999" s="2" t="s">
        <v>2508</v>
      </c>
      <c r="B999" s="2" t="s">
        <v>2509</v>
      </c>
      <c r="C999" s="2" t="s">
        <v>38</v>
      </c>
      <c r="D999" s="2" t="s">
        <v>39</v>
      </c>
      <c r="E999" s="5">
        <v>-31325</v>
      </c>
      <c r="F999" s="3" t="s">
        <v>67</v>
      </c>
      <c r="G999" s="3" t="s">
        <v>20</v>
      </c>
      <c r="H999" s="2" t="s">
        <v>62</v>
      </c>
      <c r="I999" s="2" t="s">
        <v>2510</v>
      </c>
      <c r="J999" s="3" t="str">
        <f>HYPERLINK("https://www.boe.es/gazeta/dias/1814/03/26/pdfs/GRE-1814-43.pdf#page=7","Abrir facsímil")</f>
        <v>Abrir facsímil</v>
      </c>
      <c r="K999" s="3" t="s">
        <v>64</v>
      </c>
    </row>
    <row r="1000" spans="1:11" ht="42" customHeight="1">
      <c r="A1000" s="2" t="s">
        <v>2511</v>
      </c>
      <c r="B1000" s="2" t="s">
        <v>2512</v>
      </c>
      <c r="C1000" s="2" t="s">
        <v>38</v>
      </c>
      <c r="D1000" s="2" t="s">
        <v>39</v>
      </c>
      <c r="E1000" s="5">
        <v>-31089</v>
      </c>
      <c r="F1000" s="3" t="s">
        <v>531</v>
      </c>
      <c r="G1000" s="3" t="s">
        <v>20</v>
      </c>
      <c r="H1000" s="2" t="s">
        <v>62</v>
      </c>
      <c r="I1000" s="2" t="s">
        <v>2513</v>
      </c>
      <c r="J1000" s="3" t="str">
        <f>HYPERLINK("https://www.boe.es/gazeta/dias/1814/11/17/pdfs/GMD-1814-153.pdf#page=7","Abrir facsímil")</f>
        <v>Abrir facsímil</v>
      </c>
      <c r="K1000" s="3" t="s">
        <v>64</v>
      </c>
    </row>
    <row r="1001" spans="1:11" ht="42" customHeight="1">
      <c r="A1001" s="2" t="s">
        <v>2514</v>
      </c>
      <c r="B1001" s="2" t="s">
        <v>2514</v>
      </c>
      <c r="C1001" s="2" t="s">
        <v>38</v>
      </c>
      <c r="D1001" s="2" t="s">
        <v>39</v>
      </c>
      <c r="E1001" s="5">
        <v>-31164</v>
      </c>
      <c r="F1001" s="3" t="s">
        <v>1423</v>
      </c>
      <c r="G1001" s="3" t="s">
        <v>41</v>
      </c>
      <c r="H1001" s="2" t="s">
        <v>62</v>
      </c>
      <c r="I1001" s="2" t="s">
        <v>2515</v>
      </c>
      <c r="J1001" s="3" t="str">
        <f>HYPERLINK("https://www.boe.es/gazeta/dias/1814/09/03/pdfs/GMD-1814-121.pdf#page=4","Abrir facsímil")</f>
        <v>Abrir facsímil</v>
      </c>
      <c r="K1001" s="3" t="s">
        <v>64</v>
      </c>
    </row>
    <row r="1002" spans="1:11" ht="42" customHeight="1">
      <c r="A1002" s="2" t="s">
        <v>2514</v>
      </c>
      <c r="B1002" s="2" t="s">
        <v>2514</v>
      </c>
      <c r="C1002" s="2" t="s">
        <v>38</v>
      </c>
      <c r="D1002" s="2" t="s">
        <v>39</v>
      </c>
      <c r="E1002" s="5">
        <v>-31164</v>
      </c>
      <c r="F1002" s="3" t="s">
        <v>1423</v>
      </c>
      <c r="G1002" s="3" t="s">
        <v>99</v>
      </c>
      <c r="H1002" s="2" t="s">
        <v>62</v>
      </c>
      <c r="I1002" s="2" t="s">
        <v>2516</v>
      </c>
      <c r="J1002" s="3" t="str">
        <f>HYPERLINK("https://www.boe.es/gazeta/dias/1814/09/03/pdfs/GMD-1814-121.pdf#page=5","Abrir facsímil")</f>
        <v>Abrir facsímil</v>
      </c>
      <c r="K1002" s="3" t="s">
        <v>64</v>
      </c>
    </row>
    <row r="1003" spans="1:11" ht="42" customHeight="1">
      <c r="A1003" s="2" t="s">
        <v>2517</v>
      </c>
      <c r="B1003" s="2" t="s">
        <v>2518</v>
      </c>
      <c r="C1003" s="2" t="s">
        <v>26</v>
      </c>
      <c r="D1003" s="2" t="s">
        <v>27</v>
      </c>
      <c r="E1003" s="5">
        <v>-31082</v>
      </c>
      <c r="F1003" s="3" t="s">
        <v>535</v>
      </c>
      <c r="G1003" s="3" t="s">
        <v>52</v>
      </c>
      <c r="H1003" s="2" t="s">
        <v>62</v>
      </c>
      <c r="I1003" s="2" t="s">
        <v>2519</v>
      </c>
      <c r="J1003" s="3" t="str">
        <f>HYPERLINK("https://www.boe.es/gazeta/dias/1814/11/24/pdfs/GMD-1814-156.pdf#page=8","Abrir facsímil")</f>
        <v>Abrir facsímil</v>
      </c>
      <c r="K1003" s="3" t="s">
        <v>64</v>
      </c>
    </row>
    <row r="1004" spans="1:11" ht="42" customHeight="1">
      <c r="A1004" s="2" t="s">
        <v>2520</v>
      </c>
      <c r="B1004" s="2" t="s">
        <v>2521</v>
      </c>
      <c r="C1004" s="2" t="s">
        <v>38</v>
      </c>
      <c r="D1004" s="2" t="s">
        <v>39</v>
      </c>
      <c r="E1004" s="5">
        <v>-31173</v>
      </c>
      <c r="F1004" s="3" t="s">
        <v>46</v>
      </c>
      <c r="G1004" s="3" t="s">
        <v>57</v>
      </c>
      <c r="H1004" s="2" t="s">
        <v>62</v>
      </c>
      <c r="I1004" s="2" t="s">
        <v>2522</v>
      </c>
      <c r="J1004" s="3" t="str">
        <f>HYPERLINK("https://www.boe.es/gazeta/dias/1814/08/25/pdfs/GMD-1814-116.pdf#page=6","Abrir facsímil")</f>
        <v>Abrir facsímil</v>
      </c>
      <c r="K1004" s="3" t="s">
        <v>64</v>
      </c>
    </row>
    <row r="1005" spans="1:11" ht="42" customHeight="1">
      <c r="A1005" s="2" t="s">
        <v>2523</v>
      </c>
      <c r="B1005" s="2" t="s">
        <v>2524</v>
      </c>
      <c r="C1005" s="2" t="s">
        <v>17</v>
      </c>
      <c r="D1005" s="2" t="s">
        <v>18</v>
      </c>
      <c r="E1005" s="5">
        <v>-31385</v>
      </c>
      <c r="F1005" s="3" t="s">
        <v>783</v>
      </c>
      <c r="G1005" s="3" t="s">
        <v>2135</v>
      </c>
      <c r="H1005" s="2" t="s">
        <v>62</v>
      </c>
      <c r="I1005" s="2" t="s">
        <v>2525</v>
      </c>
      <c r="J1005" s="3" t="str">
        <f>HYPERLINK("https://www.boe.es/gazeta/dias/1814/01/25/pdfs/GRE-1814-12.pdf#page=5","Abrir facsímil")</f>
        <v>Abrir facsímil</v>
      </c>
      <c r="K1005" s="3" t="s">
        <v>64</v>
      </c>
    </row>
    <row r="1006" spans="1:11" ht="42" customHeight="1">
      <c r="A1006" s="2" t="s">
        <v>2526</v>
      </c>
      <c r="B1006" s="2" t="s">
        <v>2527</v>
      </c>
      <c r="C1006" s="2" t="s">
        <v>26</v>
      </c>
      <c r="D1006" s="2" t="s">
        <v>27</v>
      </c>
      <c r="E1006" s="5">
        <v>-31133</v>
      </c>
      <c r="F1006" s="3" t="s">
        <v>184</v>
      </c>
      <c r="G1006" s="3" t="s">
        <v>1241</v>
      </c>
      <c r="H1006" s="2" t="s">
        <v>62</v>
      </c>
      <c r="I1006" s="2" t="s">
        <v>2528</v>
      </c>
      <c r="J1006" s="3" t="str">
        <f>HYPERLINK("https://www.boe.es/gazeta/dias/1814/10/04/pdfs/GMD-1814-134.pdf#page=3","Abrir facsímil")</f>
        <v>Abrir facsímil</v>
      </c>
      <c r="K1006" s="3" t="s">
        <v>64</v>
      </c>
    </row>
    <row r="1007" spans="1:11" ht="42" customHeight="1">
      <c r="A1007" s="2" t="s">
        <v>2529</v>
      </c>
      <c r="B1007" s="2" t="s">
        <v>2530</v>
      </c>
      <c r="C1007" s="2" t="s">
        <v>32</v>
      </c>
      <c r="D1007" s="2" t="s">
        <v>18</v>
      </c>
      <c r="E1007" s="5">
        <v>-31192</v>
      </c>
      <c r="F1007" s="3" t="s">
        <v>388</v>
      </c>
      <c r="G1007" s="3" t="s">
        <v>1397</v>
      </c>
      <c r="H1007" s="2" t="s">
        <v>62</v>
      </c>
      <c r="I1007" s="2" t="s">
        <v>2531</v>
      </c>
      <c r="J1007" s="3" t="str">
        <f>HYPERLINK("https://www.boe.es/gazeta/dias/1814/08/06/pdfs/GMD-1814-108.pdf#page=8","Abrir facsímil")</f>
        <v>Abrir facsímil</v>
      </c>
      <c r="K1007" s="3" t="s">
        <v>64</v>
      </c>
    </row>
    <row r="1008" spans="1:11" ht="42" customHeight="1">
      <c r="A1008" s="2" t="s">
        <v>2532</v>
      </c>
      <c r="B1008" s="2" t="s">
        <v>2533</v>
      </c>
      <c r="C1008" s="2" t="s">
        <v>38</v>
      </c>
      <c r="D1008" s="2" t="s">
        <v>39</v>
      </c>
      <c r="E1008" s="5">
        <v>-31220</v>
      </c>
      <c r="F1008" s="3" t="s">
        <v>122</v>
      </c>
      <c r="G1008" s="3" t="s">
        <v>57</v>
      </c>
      <c r="H1008" s="2" t="s">
        <v>62</v>
      </c>
      <c r="I1008" s="2" t="s">
        <v>2534</v>
      </c>
      <c r="J1008" s="3" t="str">
        <f>HYPERLINK("https://www.boe.es/gazeta/dias/1814/07/09/pdfs/GMD-1814-96.pdf#page=6","Abrir facsímil")</f>
        <v>Abrir facsímil</v>
      </c>
      <c r="K1008" s="3" t="s">
        <v>64</v>
      </c>
    </row>
    <row r="1009" spans="1:11" ht="42" customHeight="1">
      <c r="A1009" s="2" t="s">
        <v>2535</v>
      </c>
      <c r="B1009" s="2" t="s">
        <v>2536</v>
      </c>
      <c r="C1009" s="2" t="s">
        <v>38</v>
      </c>
      <c r="D1009" s="2" t="s">
        <v>314</v>
      </c>
      <c r="E1009" s="5">
        <v>-31296</v>
      </c>
      <c r="F1009" s="3" t="s">
        <v>315</v>
      </c>
      <c r="G1009" s="3" t="s">
        <v>20</v>
      </c>
      <c r="H1009" s="2" t="s">
        <v>62</v>
      </c>
      <c r="I1009" s="2" t="s">
        <v>2537</v>
      </c>
      <c r="J1009" s="3" t="str">
        <f>HYPERLINK("https://www.boe.es/gazeta/dias/1814/04/24/pdfs/GRE-1814-60E.pdf#page=7","Abrir facsímil")</f>
        <v>Abrir facsímil</v>
      </c>
      <c r="K1009" s="3" t="s">
        <v>64</v>
      </c>
    </row>
    <row r="1010" spans="1:11" ht="42" customHeight="1">
      <c r="A1010" s="2" t="s">
        <v>2538</v>
      </c>
      <c r="B1010" s="2" t="s">
        <v>2539</v>
      </c>
      <c r="C1010" s="2" t="s">
        <v>26</v>
      </c>
      <c r="D1010" s="2" t="s">
        <v>27</v>
      </c>
      <c r="E1010" s="5">
        <v>-31138</v>
      </c>
      <c r="F1010" s="3" t="s">
        <v>1363</v>
      </c>
      <c r="G1010" s="3" t="s">
        <v>99</v>
      </c>
      <c r="H1010" s="2" t="s">
        <v>62</v>
      </c>
      <c r="I1010" s="2" t="s">
        <v>2540</v>
      </c>
      <c r="J1010" s="3" t="str">
        <f>HYPERLINK("https://www.boe.es/gazeta/dias/1814/09/29/pdfs/GMD-1814-132.pdf#page=5","Abrir facsímil")</f>
        <v>Abrir facsímil</v>
      </c>
      <c r="K1010" s="3" t="s">
        <v>64</v>
      </c>
    </row>
    <row r="1011" spans="1:11" ht="42" customHeight="1">
      <c r="A1011" s="2" t="s">
        <v>2541</v>
      </c>
      <c r="B1011" s="2" t="s">
        <v>2542</v>
      </c>
      <c r="C1011" s="2" t="s">
        <v>32</v>
      </c>
      <c r="D1011" s="2" t="s">
        <v>18</v>
      </c>
      <c r="E1011" s="5">
        <v>-31150</v>
      </c>
      <c r="F1011" s="3" t="s">
        <v>106</v>
      </c>
      <c r="G1011" s="3" t="s">
        <v>82</v>
      </c>
      <c r="H1011" s="2" t="s">
        <v>62</v>
      </c>
      <c r="I1011" s="2" t="s">
        <v>2543</v>
      </c>
      <c r="J1011" s="3" t="str">
        <f>HYPERLINK("https://www.boe.es/gazeta/dias/1814/09/17/pdfs/GMD-1814-127.pdf#page=3","Abrir facsímil")</f>
        <v>Abrir facsímil</v>
      </c>
      <c r="K1011" s="3" t="s">
        <v>64</v>
      </c>
    </row>
    <row r="1012" spans="1:11" ht="42" customHeight="1">
      <c r="A1012" s="2" t="s">
        <v>2544</v>
      </c>
      <c r="B1012" s="2" t="s">
        <v>2545</v>
      </c>
      <c r="C1012" s="2" t="s">
        <v>38</v>
      </c>
      <c r="D1012" s="2" t="s">
        <v>39</v>
      </c>
      <c r="E1012" s="5">
        <v>-31376</v>
      </c>
      <c r="F1012" s="3" t="s">
        <v>1954</v>
      </c>
      <c r="G1012" s="3" t="s">
        <v>2546</v>
      </c>
      <c r="H1012" s="2" t="s">
        <v>62</v>
      </c>
      <c r="I1012" s="2" t="s">
        <v>2547</v>
      </c>
      <c r="J1012" s="3" t="str">
        <f>HYPERLINK("https://www.boe.es/gazeta/dias/1814/02/03/pdfs/GRE-1814-16.pdf#page=5","Abrir facsímil")</f>
        <v>Abrir facsímil</v>
      </c>
      <c r="K1012" s="3" t="s">
        <v>64</v>
      </c>
    </row>
    <row r="1013" spans="1:11" ht="42" customHeight="1">
      <c r="A1013" s="2" t="s">
        <v>2548</v>
      </c>
      <c r="B1013" s="2" t="s">
        <v>2549</v>
      </c>
      <c r="C1013" s="2" t="s">
        <v>38</v>
      </c>
      <c r="D1013" s="2" t="s">
        <v>39</v>
      </c>
      <c r="E1013" s="5">
        <v>-31215</v>
      </c>
      <c r="F1013" s="3" t="s">
        <v>372</v>
      </c>
      <c r="G1013" s="3" t="s">
        <v>373</v>
      </c>
      <c r="H1013" s="2" t="s">
        <v>21</v>
      </c>
      <c r="I1013" s="2" t="s">
        <v>2550</v>
      </c>
      <c r="J1013" s="3" t="str">
        <f>HYPERLINK("https://www.boe.es/gazeta/dias/1814/07/14/pdfs/GMD-1814-98.pdf#page=7","Abrir facsímil")</f>
        <v>Abrir facsímil</v>
      </c>
      <c r="K1013" s="3" t="s">
        <v>23</v>
      </c>
    </row>
    <row r="1014" spans="1:11" ht="42" customHeight="1">
      <c r="A1014" s="2" t="s">
        <v>2548</v>
      </c>
      <c r="B1014" s="2" t="s">
        <v>2549</v>
      </c>
      <c r="C1014" s="2" t="s">
        <v>38</v>
      </c>
      <c r="D1014" s="2" t="s">
        <v>39</v>
      </c>
      <c r="E1014" s="5">
        <v>-31210</v>
      </c>
      <c r="F1014" s="3" t="s">
        <v>141</v>
      </c>
      <c r="G1014" s="3" t="s">
        <v>57</v>
      </c>
      <c r="H1014" s="2" t="s">
        <v>21</v>
      </c>
      <c r="I1014" s="2" t="s">
        <v>2551</v>
      </c>
      <c r="J1014" s="3" t="str">
        <f>HYPERLINK("https://www.boe.es/gazeta/dias/1814/07/19/pdfs/GMD-1814-100.pdf#page=6","Abrir facsímil")</f>
        <v>Abrir facsímil</v>
      </c>
      <c r="K1014" s="3" t="s">
        <v>23</v>
      </c>
    </row>
    <row r="1015" spans="1:11" ht="42" customHeight="1">
      <c r="A1015" s="2" t="s">
        <v>2552</v>
      </c>
      <c r="B1015" s="2" t="s">
        <v>2553</v>
      </c>
      <c r="C1015" s="2" t="s">
        <v>38</v>
      </c>
      <c r="D1015" s="2" t="s">
        <v>39</v>
      </c>
      <c r="E1015" s="5">
        <v>-31325</v>
      </c>
      <c r="F1015" s="3" t="s">
        <v>67</v>
      </c>
      <c r="G1015" s="3" t="s">
        <v>57</v>
      </c>
      <c r="H1015" s="2" t="s">
        <v>62</v>
      </c>
      <c r="I1015" s="2" t="s">
        <v>2554</v>
      </c>
      <c r="J1015" s="3" t="str">
        <f>HYPERLINK("https://www.boe.es/gazeta/dias/1814/03/26/pdfs/GRE-1814-43.pdf#page=6","Abrir facsímil")</f>
        <v>Abrir facsímil</v>
      </c>
      <c r="K1015" s="3" t="s">
        <v>64</v>
      </c>
    </row>
    <row r="1016" spans="1:11" ht="42" customHeight="1">
      <c r="A1016" s="2" t="s">
        <v>2555</v>
      </c>
      <c r="B1016" s="2" t="s">
        <v>2556</v>
      </c>
      <c r="C1016" s="2" t="s">
        <v>38</v>
      </c>
      <c r="D1016" s="2" t="s">
        <v>39</v>
      </c>
      <c r="E1016" s="5">
        <v>-31313</v>
      </c>
      <c r="F1016" s="3" t="s">
        <v>239</v>
      </c>
      <c r="G1016" s="3" t="s">
        <v>590</v>
      </c>
      <c r="H1016" s="2" t="s">
        <v>62</v>
      </c>
      <c r="I1016" s="2" t="s">
        <v>2557</v>
      </c>
      <c r="J1016" s="3" t="str">
        <f>HYPERLINK("https://www.boe.es/gazeta/dias/1814/04/07/pdfs/GRE-1814-50.pdf#page=8","Abrir facsímil")</f>
        <v>Abrir facsímil</v>
      </c>
      <c r="K1016" s="3" t="s">
        <v>64</v>
      </c>
    </row>
    <row r="1017" spans="1:11" ht="42" customHeight="1">
      <c r="A1017" s="2" t="s">
        <v>2558</v>
      </c>
      <c r="B1017" s="2" t="s">
        <v>2559</v>
      </c>
      <c r="C1017" s="2" t="s">
        <v>38</v>
      </c>
      <c r="D1017" s="2" t="s">
        <v>39</v>
      </c>
      <c r="E1017" s="5">
        <v>-31266</v>
      </c>
      <c r="F1017" s="3" t="s">
        <v>191</v>
      </c>
      <c r="G1017" s="3" t="s">
        <v>2560</v>
      </c>
      <c r="H1017" s="2" t="s">
        <v>62</v>
      </c>
      <c r="I1017" s="2" t="s">
        <v>2561</v>
      </c>
      <c r="J1017" s="3" t="str">
        <f>HYPERLINK("https://www.boe.es/gazeta/dias/1814/05/24/pdfs/GMD-1814-76.pdf#page=4","Abrir facsímil")</f>
        <v>Abrir facsímil</v>
      </c>
      <c r="K1017" s="3" t="s">
        <v>64</v>
      </c>
    </row>
    <row r="1018" spans="1:11" ht="42" customHeight="1">
      <c r="A1018" s="2" t="s">
        <v>2558</v>
      </c>
      <c r="B1018" s="2" t="s">
        <v>2559</v>
      </c>
      <c r="C1018" s="2" t="s">
        <v>38</v>
      </c>
      <c r="D1018" s="2" t="s">
        <v>39</v>
      </c>
      <c r="E1018" s="5">
        <v>-31133</v>
      </c>
      <c r="F1018" s="3" t="s">
        <v>184</v>
      </c>
      <c r="G1018" s="3" t="s">
        <v>20</v>
      </c>
      <c r="H1018" s="2" t="s">
        <v>62</v>
      </c>
      <c r="I1018" s="2" t="s">
        <v>2562</v>
      </c>
      <c r="J1018" s="3" t="str">
        <f>HYPERLINK("https://www.boe.es/gazeta/dias/1814/10/04/pdfs/GMD-1814-134.pdf#page=7","Abrir facsímil")</f>
        <v>Abrir facsímil</v>
      </c>
      <c r="K1018" s="3" t="s">
        <v>64</v>
      </c>
    </row>
    <row r="1019" spans="1:11" ht="42" customHeight="1">
      <c r="A1019" s="2" t="s">
        <v>2563</v>
      </c>
      <c r="B1019" s="2" t="s">
        <v>2564</v>
      </c>
      <c r="C1019" s="2" t="s">
        <v>38</v>
      </c>
      <c r="D1019" s="2" t="s">
        <v>39</v>
      </c>
      <c r="E1019" s="5">
        <v>-31376</v>
      </c>
      <c r="F1019" s="3" t="s">
        <v>1954</v>
      </c>
      <c r="G1019" s="3" t="s">
        <v>2565</v>
      </c>
      <c r="H1019" s="2" t="s">
        <v>62</v>
      </c>
      <c r="I1019" s="2" t="s">
        <v>2566</v>
      </c>
      <c r="J1019" s="3" t="str">
        <f>HYPERLINK("https://www.boe.es/gazeta/dias/1814/02/03/pdfs/GRE-1814-16.pdf#page=6","Abrir facsímil")</f>
        <v>Abrir facsímil</v>
      </c>
      <c r="K1019" s="3" t="s">
        <v>64</v>
      </c>
    </row>
    <row r="1020" spans="1:11" ht="42" customHeight="1">
      <c r="A1020" s="2" t="s">
        <v>2563</v>
      </c>
      <c r="B1020" s="2" t="s">
        <v>2564</v>
      </c>
      <c r="C1020" s="2" t="s">
        <v>38</v>
      </c>
      <c r="D1020" s="2" t="s">
        <v>39</v>
      </c>
      <c r="E1020" s="5">
        <v>-31374</v>
      </c>
      <c r="F1020" s="3" t="s">
        <v>474</v>
      </c>
      <c r="G1020" s="3" t="s">
        <v>57</v>
      </c>
      <c r="H1020" s="2" t="s">
        <v>62</v>
      </c>
      <c r="I1020" s="2" t="s">
        <v>2567</v>
      </c>
      <c r="J1020" s="3" t="str">
        <f>HYPERLINK("https://www.boe.es/gazeta/dias/1814/02/05/pdfs/GRE-1814-17.pdf#page=6","Abrir facsímil")</f>
        <v>Abrir facsímil</v>
      </c>
      <c r="K1020" s="3" t="s">
        <v>64</v>
      </c>
    </row>
    <row r="1021" spans="1:11" ht="42" customHeight="1">
      <c r="A1021" s="2" t="s">
        <v>2563</v>
      </c>
      <c r="B1021" s="2" t="s">
        <v>2564</v>
      </c>
      <c r="C1021" s="2" t="s">
        <v>38</v>
      </c>
      <c r="D1021" s="2" t="s">
        <v>39</v>
      </c>
      <c r="E1021" s="5">
        <v>-31271</v>
      </c>
      <c r="F1021" s="3" t="s">
        <v>243</v>
      </c>
      <c r="G1021" s="3" t="s">
        <v>41</v>
      </c>
      <c r="H1021" s="2" t="s">
        <v>62</v>
      </c>
      <c r="I1021" s="2" t="s">
        <v>2568</v>
      </c>
      <c r="J1021" s="3" t="str">
        <f>HYPERLINK("https://www.boe.es/gazeta/dias/1814/05/19/pdfs/GMD-1814-74.pdf#page=4","Abrir facsímil")</f>
        <v>Abrir facsímil</v>
      </c>
      <c r="K1021" s="3" t="s">
        <v>64</v>
      </c>
    </row>
    <row r="1022" spans="1:11" ht="42" customHeight="1">
      <c r="A1022" s="2" t="s">
        <v>2563</v>
      </c>
      <c r="B1022" s="2" t="s">
        <v>2564</v>
      </c>
      <c r="C1022" s="2" t="s">
        <v>38</v>
      </c>
      <c r="D1022" s="2" t="s">
        <v>39</v>
      </c>
      <c r="E1022" s="5">
        <v>-31252</v>
      </c>
      <c r="F1022" s="3" t="s">
        <v>364</v>
      </c>
      <c r="G1022" s="3" t="s">
        <v>2569</v>
      </c>
      <c r="H1022" s="2" t="s">
        <v>62</v>
      </c>
      <c r="I1022" s="2" t="s">
        <v>2570</v>
      </c>
      <c r="J1022" s="3" t="str">
        <f>HYPERLINK("https://www.boe.es/gazeta/dias/1814/06/07/pdfs/GMD-1814-82.pdf#page=4","Abrir facsímil")</f>
        <v>Abrir facsímil</v>
      </c>
      <c r="K1022" s="3" t="s">
        <v>64</v>
      </c>
    </row>
    <row r="1023" spans="1:11" ht="42" customHeight="1">
      <c r="A1023" s="2" t="s">
        <v>2563</v>
      </c>
      <c r="B1023" s="2" t="s">
        <v>2564</v>
      </c>
      <c r="C1023" s="2" t="s">
        <v>38</v>
      </c>
      <c r="D1023" s="2" t="s">
        <v>39</v>
      </c>
      <c r="E1023" s="5">
        <v>-31252</v>
      </c>
      <c r="F1023" s="3" t="s">
        <v>364</v>
      </c>
      <c r="G1023" s="3" t="s">
        <v>82</v>
      </c>
      <c r="H1023" s="2" t="s">
        <v>62</v>
      </c>
      <c r="I1023" s="2" t="s">
        <v>2571</v>
      </c>
      <c r="J1023" s="3" t="str">
        <f>HYPERLINK("https://www.boe.es/gazeta/dias/1814/06/07/pdfs/GMD-1814-82.pdf#page=3","Abrir facsímil")</f>
        <v>Abrir facsímil</v>
      </c>
      <c r="K1023" s="3" t="s">
        <v>64</v>
      </c>
    </row>
    <row r="1024" spans="1:11" ht="42" customHeight="1">
      <c r="A1024" s="2" t="s">
        <v>2563</v>
      </c>
      <c r="B1024" s="2" t="s">
        <v>2564</v>
      </c>
      <c r="C1024" s="2" t="s">
        <v>17</v>
      </c>
      <c r="D1024" s="2" t="s">
        <v>18</v>
      </c>
      <c r="E1024" s="5">
        <v>-31215</v>
      </c>
      <c r="F1024" s="3" t="s">
        <v>372</v>
      </c>
      <c r="G1024" s="3" t="s">
        <v>57</v>
      </c>
      <c r="H1024" s="2" t="s">
        <v>62</v>
      </c>
      <c r="I1024" s="2" t="s">
        <v>2572</v>
      </c>
      <c r="J1024" s="3" t="str">
        <f>HYPERLINK("https://www.boe.es/gazeta/dias/1814/07/14/pdfs/GMD-1814-98.pdf#page=6","Abrir facsímil")</f>
        <v>Abrir facsímil</v>
      </c>
      <c r="K1024" s="3" t="s">
        <v>64</v>
      </c>
    </row>
    <row r="1025" spans="1:11" ht="42" customHeight="1">
      <c r="A1025" s="2" t="s">
        <v>2573</v>
      </c>
      <c r="B1025" s="2" t="s">
        <v>2573</v>
      </c>
      <c r="C1025" s="2" t="s">
        <v>38</v>
      </c>
      <c r="D1025" s="2" t="s">
        <v>39</v>
      </c>
      <c r="E1025" s="5">
        <v>-31252</v>
      </c>
      <c r="F1025" s="3" t="s">
        <v>364</v>
      </c>
      <c r="G1025" s="3" t="s">
        <v>82</v>
      </c>
      <c r="H1025" s="2" t="s">
        <v>62</v>
      </c>
      <c r="I1025" s="2" t="s">
        <v>2574</v>
      </c>
      <c r="J1025" s="3" t="str">
        <f>HYPERLINK("https://www.boe.es/gazeta/dias/1814/06/07/pdfs/GMD-1814-82.pdf#page=3","Abrir facsímil")</f>
        <v>Abrir facsímil</v>
      </c>
      <c r="K1025" s="3" t="s">
        <v>64</v>
      </c>
    </row>
    <row r="1026" spans="1:11" ht="42" customHeight="1">
      <c r="A1026" s="2" t="s">
        <v>2575</v>
      </c>
      <c r="B1026" s="2" t="s">
        <v>2576</v>
      </c>
      <c r="C1026" s="2" t="s">
        <v>38</v>
      </c>
      <c r="D1026" s="2" t="s">
        <v>39</v>
      </c>
      <c r="E1026" s="5">
        <v>-31252</v>
      </c>
      <c r="F1026" s="3" t="s">
        <v>364</v>
      </c>
      <c r="G1026" s="3" t="s">
        <v>82</v>
      </c>
      <c r="H1026" s="2" t="s">
        <v>62</v>
      </c>
      <c r="I1026" s="2" t="s">
        <v>2577</v>
      </c>
      <c r="J1026" s="3" t="str">
        <f>HYPERLINK("https://www.boe.es/gazeta/dias/1814/06/07/pdfs/GMD-1814-82.pdf#page=3","Abrir facsímil")</f>
        <v>Abrir facsímil</v>
      </c>
      <c r="K1026" s="3" t="s">
        <v>64</v>
      </c>
    </row>
    <row r="1027" spans="1:11" ht="42" customHeight="1">
      <c r="A1027" s="2" t="s">
        <v>2578</v>
      </c>
      <c r="B1027" s="2" t="s">
        <v>2579</v>
      </c>
      <c r="C1027" s="2" t="s">
        <v>38</v>
      </c>
      <c r="D1027" s="2" t="s">
        <v>39</v>
      </c>
      <c r="E1027" s="5">
        <v>-31054</v>
      </c>
      <c r="F1027" s="3" t="s">
        <v>952</v>
      </c>
      <c r="G1027" s="3" t="s">
        <v>20</v>
      </c>
      <c r="H1027" s="2" t="s">
        <v>62</v>
      </c>
      <c r="I1027" s="2" t="s">
        <v>2580</v>
      </c>
      <c r="J1027" s="3" t="str">
        <f>HYPERLINK("https://www.boe.es/gazeta/dias/1814/12/22/pdfs/GMD-1814-169.pdf#page=7","Abrir facsímil")</f>
        <v>Abrir facsímil</v>
      </c>
      <c r="K1027" s="3" t="s">
        <v>64</v>
      </c>
    </row>
    <row r="1028" spans="1:11" ht="42" customHeight="1">
      <c r="A1028" s="2" t="s">
        <v>2581</v>
      </c>
      <c r="B1028" s="2" t="s">
        <v>2582</v>
      </c>
      <c r="C1028" s="2" t="s">
        <v>38</v>
      </c>
      <c r="D1028" s="2" t="s">
        <v>39</v>
      </c>
      <c r="E1028" s="5">
        <v>-31192</v>
      </c>
      <c r="F1028" s="3" t="s">
        <v>388</v>
      </c>
      <c r="G1028" s="3" t="s">
        <v>1397</v>
      </c>
      <c r="H1028" s="2" t="s">
        <v>62</v>
      </c>
      <c r="I1028" s="2" t="s">
        <v>2583</v>
      </c>
      <c r="J1028" s="3" t="str">
        <f>HYPERLINK("https://www.boe.es/gazeta/dias/1814/08/06/pdfs/GMD-1814-108.pdf#page=8","Abrir facsímil")</f>
        <v>Abrir facsímil</v>
      </c>
      <c r="K1028" s="3" t="s">
        <v>64</v>
      </c>
    </row>
    <row r="1029" spans="1:11" ht="42" customHeight="1">
      <c r="A1029" s="2" t="s">
        <v>2584</v>
      </c>
      <c r="B1029" s="2" t="s">
        <v>2585</v>
      </c>
      <c r="C1029" s="2" t="s">
        <v>26</v>
      </c>
      <c r="D1029" s="2" t="s">
        <v>27</v>
      </c>
      <c r="E1029" s="5">
        <v>-31297</v>
      </c>
      <c r="F1029" s="3" t="s">
        <v>737</v>
      </c>
      <c r="G1029" s="3" t="s">
        <v>52</v>
      </c>
      <c r="H1029" s="2" t="s">
        <v>62</v>
      </c>
      <c r="I1029" s="2" t="s">
        <v>2586</v>
      </c>
      <c r="J1029" s="3" t="str">
        <f>HYPERLINK("https://www.boe.es/gazeta/dias/1814/04/23/pdfs/GRE-1814-59.pdf#page=8","Abrir facsímil")</f>
        <v>Abrir facsímil</v>
      </c>
      <c r="K1029" s="3" t="s">
        <v>64</v>
      </c>
    </row>
    <row r="1030" spans="1:11" ht="42" customHeight="1">
      <c r="A1030" s="2" t="s">
        <v>2584</v>
      </c>
      <c r="B1030" s="2" t="s">
        <v>2585</v>
      </c>
      <c r="C1030" s="2" t="s">
        <v>38</v>
      </c>
      <c r="D1030" s="2" t="s">
        <v>39</v>
      </c>
      <c r="E1030" s="5">
        <v>-31080</v>
      </c>
      <c r="F1030" s="3" t="s">
        <v>286</v>
      </c>
      <c r="G1030" s="3" t="s">
        <v>677</v>
      </c>
      <c r="H1030" s="2" t="s">
        <v>62</v>
      </c>
      <c r="I1030" s="2" t="s">
        <v>2587</v>
      </c>
      <c r="J1030" s="3" t="str">
        <f>HYPERLINK("https://www.boe.es/gazeta/dias/1814/11/26/pdfs/GMD-1814-157.pdf#page=7","Abrir facsímil")</f>
        <v>Abrir facsímil</v>
      </c>
      <c r="K1030" s="3" t="s">
        <v>64</v>
      </c>
    </row>
    <row r="1031" spans="1:11" ht="42" customHeight="1">
      <c r="A1031" s="2" t="s">
        <v>2588</v>
      </c>
      <c r="B1031" s="2" t="s">
        <v>2589</v>
      </c>
      <c r="C1031" s="2" t="s">
        <v>38</v>
      </c>
      <c r="D1031" s="2" t="s">
        <v>39</v>
      </c>
      <c r="E1031" s="5">
        <v>-31140</v>
      </c>
      <c r="F1031" s="3" t="s">
        <v>525</v>
      </c>
      <c r="G1031" s="3" t="s">
        <v>52</v>
      </c>
      <c r="H1031" s="2" t="s">
        <v>62</v>
      </c>
      <c r="I1031" s="2" t="s">
        <v>2590</v>
      </c>
      <c r="J1031" s="3" t="str">
        <f>HYPERLINK("https://www.boe.es/gazeta/dias/1814/09/27/pdfs/GMD-1814-131.pdf#page=8","Abrir facsímil")</f>
        <v>Abrir facsímil</v>
      </c>
      <c r="K1031" s="3" t="s">
        <v>64</v>
      </c>
    </row>
    <row r="1032" spans="1:11" ht="42" customHeight="1">
      <c r="A1032" s="2" t="s">
        <v>2591</v>
      </c>
      <c r="B1032" s="2" t="s">
        <v>2592</v>
      </c>
      <c r="C1032" s="2" t="s">
        <v>26</v>
      </c>
      <c r="D1032" s="2" t="s">
        <v>27</v>
      </c>
      <c r="E1032" s="5">
        <v>-31157</v>
      </c>
      <c r="F1032" s="3" t="s">
        <v>206</v>
      </c>
      <c r="G1032" s="3" t="s">
        <v>99</v>
      </c>
      <c r="H1032" s="2" t="s">
        <v>62</v>
      </c>
      <c r="I1032" s="2" t="s">
        <v>2593</v>
      </c>
      <c r="J1032" s="3" t="str">
        <f>HYPERLINK("https://www.boe.es/gazeta/dias/1814/09/10/pdfs/GMD-1814-124.pdf#page=5","Abrir facsímil")</f>
        <v>Abrir facsímil</v>
      </c>
      <c r="K1032" s="3" t="s">
        <v>64</v>
      </c>
    </row>
    <row r="1033" spans="1:11" ht="42" customHeight="1">
      <c r="A1033" s="2" t="s">
        <v>2594</v>
      </c>
      <c r="B1033" s="2" t="s">
        <v>2595</v>
      </c>
      <c r="C1033" s="2" t="s">
        <v>26</v>
      </c>
      <c r="D1033" s="2" t="s">
        <v>27</v>
      </c>
      <c r="E1033" s="5">
        <v>-31147</v>
      </c>
      <c r="F1033" s="3" t="s">
        <v>86</v>
      </c>
      <c r="G1033" s="3" t="s">
        <v>57</v>
      </c>
      <c r="H1033" s="2" t="s">
        <v>62</v>
      </c>
      <c r="I1033" s="2" t="s">
        <v>2596</v>
      </c>
      <c r="J1033" s="3" t="str">
        <f>HYPERLINK("https://www.boe.es/gazeta/dias/1814/09/20/pdfs/GMD-1814-128.pdf#page=6","Abrir facsímil")</f>
        <v>Abrir facsímil</v>
      </c>
      <c r="K1033" s="3" t="s">
        <v>64</v>
      </c>
    </row>
    <row r="1034" spans="1:11" ht="42" customHeight="1">
      <c r="A1034" s="2" t="s">
        <v>2597</v>
      </c>
      <c r="B1034" s="2" t="s">
        <v>2597</v>
      </c>
      <c r="C1034" s="2" t="s">
        <v>38</v>
      </c>
      <c r="D1034" s="2" t="s">
        <v>39</v>
      </c>
      <c r="E1034" s="5">
        <v>-31350</v>
      </c>
      <c r="F1034" s="3" t="s">
        <v>377</v>
      </c>
      <c r="G1034" s="3" t="s">
        <v>52</v>
      </c>
      <c r="H1034" s="2" t="s">
        <v>62</v>
      </c>
      <c r="I1034" s="2" t="s">
        <v>2598</v>
      </c>
      <c r="J1034" s="3" t="str">
        <f>HYPERLINK("https://www.boe.es/gazeta/dias/1814/03/01/pdfs/GRE-1814-28.pdf#page=8","Abrir facsímil")</f>
        <v>Abrir facsímil</v>
      </c>
      <c r="K1034" s="3" t="s">
        <v>64</v>
      </c>
    </row>
    <row r="1035" spans="1:11" ht="42" customHeight="1">
      <c r="A1035" s="2" t="s">
        <v>2597</v>
      </c>
      <c r="B1035" s="2" t="s">
        <v>2597</v>
      </c>
      <c r="C1035" s="2" t="s">
        <v>38</v>
      </c>
      <c r="D1035" s="2" t="s">
        <v>39</v>
      </c>
      <c r="E1035" s="5">
        <v>-31341</v>
      </c>
      <c r="F1035" s="3" t="s">
        <v>360</v>
      </c>
      <c r="G1035" s="3" t="s">
        <v>41</v>
      </c>
      <c r="H1035" s="2" t="s">
        <v>62</v>
      </c>
      <c r="I1035" s="2" t="s">
        <v>2599</v>
      </c>
      <c r="J1035" s="3" t="str">
        <f>HYPERLINK("https://www.boe.es/gazeta/dias/1814/03/10/pdfs/GRE-1814-33.pdf#page=4","Abrir facsímil")</f>
        <v>Abrir facsímil</v>
      </c>
      <c r="K1035" s="3" t="s">
        <v>64</v>
      </c>
    </row>
    <row r="1036" spans="1:11" ht="42" customHeight="1">
      <c r="A1036" s="2" t="s">
        <v>2600</v>
      </c>
      <c r="B1036" s="2" t="s">
        <v>2601</v>
      </c>
      <c r="C1036" s="2" t="s">
        <v>105</v>
      </c>
      <c r="D1036" s="2" t="s">
        <v>18</v>
      </c>
      <c r="E1036" s="5">
        <v>-31185</v>
      </c>
      <c r="F1036" s="3" t="s">
        <v>1238</v>
      </c>
      <c r="G1036" s="3" t="s">
        <v>52</v>
      </c>
      <c r="H1036" s="2" t="s">
        <v>62</v>
      </c>
      <c r="I1036" s="2" t="s">
        <v>2602</v>
      </c>
      <c r="J1036" s="3" t="str">
        <f>HYPERLINK("https://www.boe.es/gazeta/dias/1814/08/13/pdfs/GMD-1814-111.pdf#page=8","Abrir facsímil")</f>
        <v>Abrir facsímil</v>
      </c>
      <c r="K1036" s="3" t="s">
        <v>64</v>
      </c>
    </row>
    <row r="1037" spans="1:11" ht="42" customHeight="1">
      <c r="A1037" s="2" t="s">
        <v>2603</v>
      </c>
      <c r="B1037" s="2" t="s">
        <v>2604</v>
      </c>
      <c r="C1037" s="2" t="s">
        <v>26</v>
      </c>
      <c r="D1037" s="2" t="s">
        <v>27</v>
      </c>
      <c r="E1037" s="5">
        <v>-31075</v>
      </c>
      <c r="F1037" s="3" t="s">
        <v>537</v>
      </c>
      <c r="G1037" s="3" t="s">
        <v>57</v>
      </c>
      <c r="H1037" s="2" t="s">
        <v>62</v>
      </c>
      <c r="I1037" s="2" t="s">
        <v>2605</v>
      </c>
      <c r="J1037" s="3" t="str">
        <f>HYPERLINK("https://www.boe.es/gazeta/dias/1814/12/01/pdfs/GMD-1814-159.pdf#page=6","Abrir facsímil")</f>
        <v>Abrir facsímil</v>
      </c>
      <c r="K1037" s="3" t="s">
        <v>64</v>
      </c>
    </row>
    <row r="1038" spans="1:11" ht="42" customHeight="1">
      <c r="A1038" s="2" t="s">
        <v>2606</v>
      </c>
      <c r="B1038" s="2" t="s">
        <v>2606</v>
      </c>
      <c r="C1038" s="2" t="s">
        <v>38</v>
      </c>
      <c r="D1038" s="2" t="s">
        <v>39</v>
      </c>
      <c r="E1038" s="5">
        <v>-31404</v>
      </c>
      <c r="F1038" s="3" t="s">
        <v>630</v>
      </c>
      <c r="G1038" s="3" t="s">
        <v>99</v>
      </c>
      <c r="H1038" s="2" t="s">
        <v>62</v>
      </c>
      <c r="I1038" s="2" t="s">
        <v>2607</v>
      </c>
      <c r="J1038" s="3" t="str">
        <f>HYPERLINK("https://www.boe.es/gazeta/dias/1814/01/06/pdfs/GRE-1814-3.pdf#page=5","Abrir facsímil")</f>
        <v>Abrir facsímil</v>
      </c>
      <c r="K1038" s="3" t="s">
        <v>64</v>
      </c>
    </row>
    <row r="1039" spans="1:11" ht="42" customHeight="1">
      <c r="A1039" s="2" t="s">
        <v>2606</v>
      </c>
      <c r="B1039" s="2" t="s">
        <v>2606</v>
      </c>
      <c r="C1039" s="2" t="s">
        <v>38</v>
      </c>
      <c r="D1039" s="2" t="s">
        <v>39</v>
      </c>
      <c r="E1039" s="5">
        <v>-31313</v>
      </c>
      <c r="F1039" s="3" t="s">
        <v>239</v>
      </c>
      <c r="G1039" s="3" t="s">
        <v>590</v>
      </c>
      <c r="H1039" s="2" t="s">
        <v>62</v>
      </c>
      <c r="I1039" s="2" t="s">
        <v>2608</v>
      </c>
      <c r="J1039" s="3" t="str">
        <f>HYPERLINK("https://www.boe.es/gazeta/dias/1814/04/07/pdfs/GRE-1814-50.pdf#page=8","Abrir facsímil")</f>
        <v>Abrir facsímil</v>
      </c>
      <c r="K1039" s="3" t="s">
        <v>64</v>
      </c>
    </row>
    <row r="1040" spans="1:11" ht="42" customHeight="1">
      <c r="A1040" s="2" t="s">
        <v>2606</v>
      </c>
      <c r="B1040" s="2" t="s">
        <v>2606</v>
      </c>
      <c r="C1040" s="2" t="s">
        <v>38</v>
      </c>
      <c r="D1040" s="2" t="s">
        <v>39</v>
      </c>
      <c r="E1040" s="5">
        <v>-31290</v>
      </c>
      <c r="F1040" s="3" t="s">
        <v>488</v>
      </c>
      <c r="G1040" s="3" t="s">
        <v>20</v>
      </c>
      <c r="H1040" s="2" t="s">
        <v>62</v>
      </c>
      <c r="I1040" s="2" t="s">
        <v>2609</v>
      </c>
      <c r="J1040" s="3" t="str">
        <f>HYPERLINK("https://www.boe.es/gazeta/dias/1814/04/30/pdfs/GRE-1814-64.pdf#page=7","Abrir facsímil")</f>
        <v>Abrir facsímil</v>
      </c>
      <c r="K1040" s="3" t="s">
        <v>64</v>
      </c>
    </row>
    <row r="1041" spans="1:11" ht="42" customHeight="1">
      <c r="A1041" s="2" t="s">
        <v>2606</v>
      </c>
      <c r="B1041" s="2" t="s">
        <v>2606</v>
      </c>
      <c r="C1041" s="2" t="s">
        <v>38</v>
      </c>
      <c r="D1041" s="2" t="s">
        <v>39</v>
      </c>
      <c r="E1041" s="5">
        <v>-31194</v>
      </c>
      <c r="F1041" s="3" t="s">
        <v>333</v>
      </c>
      <c r="G1041" s="3" t="s">
        <v>107</v>
      </c>
      <c r="H1041" s="2" t="s">
        <v>62</v>
      </c>
      <c r="I1041" s="2" t="s">
        <v>2610</v>
      </c>
      <c r="J1041" s="3" t="str">
        <f>HYPERLINK("https://www.boe.es/gazeta/dias/1814/08/04/pdfs/GMD-1814-107.pdf#page=1","Abrir facsímil")</f>
        <v>Abrir facsímil</v>
      </c>
      <c r="K1041" s="3" t="s">
        <v>64</v>
      </c>
    </row>
    <row r="1042" spans="1:11" ht="42" customHeight="1">
      <c r="A1042" s="2" t="s">
        <v>2611</v>
      </c>
      <c r="B1042" s="2" t="s">
        <v>2612</v>
      </c>
      <c r="C1042" s="2" t="s">
        <v>38</v>
      </c>
      <c r="D1042" s="2" t="s">
        <v>39</v>
      </c>
      <c r="E1042" s="5">
        <v>-31404</v>
      </c>
      <c r="F1042" s="3" t="s">
        <v>630</v>
      </c>
      <c r="G1042" s="3" t="s">
        <v>99</v>
      </c>
      <c r="H1042" s="2" t="s">
        <v>62</v>
      </c>
      <c r="I1042" s="2" t="s">
        <v>2613</v>
      </c>
      <c r="J1042" s="3" t="str">
        <f>HYPERLINK("https://www.boe.es/gazeta/dias/1814/01/06/pdfs/GRE-1814-3.pdf#page=5","Abrir facsímil")</f>
        <v>Abrir facsímil</v>
      </c>
      <c r="K1042" s="3" t="s">
        <v>64</v>
      </c>
    </row>
    <row r="1043" spans="1:11" ht="42" customHeight="1">
      <c r="A1043" s="2" t="s">
        <v>2614</v>
      </c>
      <c r="B1043" s="2" t="s">
        <v>2615</v>
      </c>
      <c r="C1043" s="2" t="s">
        <v>26</v>
      </c>
      <c r="D1043" s="2" t="s">
        <v>27</v>
      </c>
      <c r="E1043" s="5">
        <v>-31126</v>
      </c>
      <c r="F1043" s="3" t="s">
        <v>56</v>
      </c>
      <c r="G1043" s="3" t="s">
        <v>2616</v>
      </c>
      <c r="H1043" s="2" t="s">
        <v>62</v>
      </c>
      <c r="I1043" s="2" t="s">
        <v>2617</v>
      </c>
      <c r="J1043" s="3" t="str">
        <f>HYPERLINK("https://www.boe.es/gazeta/dias/1814/10/11/pdfs/GMD-1814-137.pdf#page=7","Abrir facsímil")</f>
        <v>Abrir facsímil</v>
      </c>
      <c r="K1043" s="3" t="s">
        <v>64</v>
      </c>
    </row>
    <row r="1044" spans="1:11" ht="42" customHeight="1">
      <c r="A1044" s="2" t="s">
        <v>2618</v>
      </c>
      <c r="B1044" s="2" t="s">
        <v>2619</v>
      </c>
      <c r="C1044" s="2" t="s">
        <v>38</v>
      </c>
      <c r="D1044" s="2" t="s">
        <v>39</v>
      </c>
      <c r="E1044" s="5">
        <v>-31112</v>
      </c>
      <c r="F1044" s="3" t="s">
        <v>707</v>
      </c>
      <c r="G1044" s="3" t="s">
        <v>41</v>
      </c>
      <c r="H1044" s="2" t="s">
        <v>21</v>
      </c>
      <c r="I1044" s="2" t="s">
        <v>2620</v>
      </c>
      <c r="J1044" s="3" t="str">
        <f>HYPERLINK("https://www.boe.es/gazeta/dias/1814/10/25/pdfs/GMD-1814-143.pdf#page=4","Abrir facsímil")</f>
        <v>Abrir facsímil</v>
      </c>
      <c r="K1044" s="3" t="s">
        <v>23</v>
      </c>
    </row>
    <row r="1045" spans="1:11" ht="42" customHeight="1">
      <c r="A1045" s="2" t="s">
        <v>2621</v>
      </c>
      <c r="B1045" s="2" t="s">
        <v>2622</v>
      </c>
      <c r="C1045" s="2" t="s">
        <v>38</v>
      </c>
      <c r="D1045" s="2" t="s">
        <v>39</v>
      </c>
      <c r="E1045" s="5">
        <v>-31325</v>
      </c>
      <c r="F1045" s="3" t="s">
        <v>67</v>
      </c>
      <c r="G1045" s="3" t="s">
        <v>20</v>
      </c>
      <c r="H1045" s="2" t="s">
        <v>62</v>
      </c>
      <c r="I1045" s="2" t="s">
        <v>2623</v>
      </c>
      <c r="J1045" s="3" t="str">
        <f>HYPERLINK("https://www.boe.es/gazeta/dias/1814/03/26/pdfs/GRE-1814-43.pdf#page=7","Abrir facsímil")</f>
        <v>Abrir facsímil</v>
      </c>
      <c r="K1045" s="3" t="s">
        <v>64</v>
      </c>
    </row>
    <row r="1046" spans="1:11" ht="42" customHeight="1">
      <c r="A1046" s="2" t="s">
        <v>2624</v>
      </c>
      <c r="B1046" s="2" t="s">
        <v>2625</v>
      </c>
      <c r="C1046" s="2" t="s">
        <v>309</v>
      </c>
      <c r="D1046" s="2" t="s">
        <v>18</v>
      </c>
      <c r="E1046" s="5">
        <v>-31355</v>
      </c>
      <c r="F1046" s="3" t="s">
        <v>50</v>
      </c>
      <c r="G1046" s="3" t="s">
        <v>20</v>
      </c>
      <c r="H1046" s="2" t="s">
        <v>62</v>
      </c>
      <c r="I1046" s="2" t="s">
        <v>2626</v>
      </c>
      <c r="J1046" s="3" t="str">
        <f>HYPERLINK("https://www.boe.es/gazeta/dias/1814/02/24/pdfs/GRE-1814-26.pdf#page=7","Abrir facsímil")</f>
        <v>Abrir facsímil</v>
      </c>
      <c r="K1046" s="3" t="s">
        <v>64</v>
      </c>
    </row>
    <row r="1047" spans="1:11" ht="42" customHeight="1">
      <c r="A1047" s="2" t="s">
        <v>2627</v>
      </c>
      <c r="B1047" s="2" t="s">
        <v>2628</v>
      </c>
      <c r="C1047" s="2" t="s">
        <v>38</v>
      </c>
      <c r="D1047" s="2" t="s">
        <v>39</v>
      </c>
      <c r="E1047" s="5">
        <v>-31164</v>
      </c>
      <c r="F1047" s="3" t="s">
        <v>1423</v>
      </c>
      <c r="G1047" s="3" t="s">
        <v>52</v>
      </c>
      <c r="H1047" s="2" t="s">
        <v>62</v>
      </c>
      <c r="I1047" s="2" t="s">
        <v>2629</v>
      </c>
      <c r="J1047" s="3" t="str">
        <f>HYPERLINK("https://www.boe.es/gazeta/dias/1814/09/03/pdfs/GMD-1814-121.pdf#page=8","Abrir facsímil")</f>
        <v>Abrir facsímil</v>
      </c>
      <c r="K1047" s="3" t="s">
        <v>64</v>
      </c>
    </row>
    <row r="1048" spans="1:11" ht="42" customHeight="1">
      <c r="A1048" s="2" t="s">
        <v>2630</v>
      </c>
      <c r="B1048" s="2" t="s">
        <v>2631</v>
      </c>
      <c r="C1048" s="2" t="s">
        <v>38</v>
      </c>
      <c r="D1048" s="2" t="s">
        <v>39</v>
      </c>
      <c r="E1048" s="5">
        <v>-31124</v>
      </c>
      <c r="F1048" s="3" t="s">
        <v>383</v>
      </c>
      <c r="G1048" s="3" t="s">
        <v>574</v>
      </c>
      <c r="H1048" s="2" t="s">
        <v>62</v>
      </c>
      <c r="I1048" s="2" t="s">
        <v>2632</v>
      </c>
      <c r="J1048" s="3" t="str">
        <f>HYPERLINK("https://www.boe.es/gazeta/dias/1814/10/13/pdfs/GMD-1814-138.pdf#page=10","Abrir facsímil")</f>
        <v>Abrir facsímil</v>
      </c>
      <c r="K1048" s="3" t="s">
        <v>64</v>
      </c>
    </row>
    <row r="1049" spans="1:11" ht="42" customHeight="1">
      <c r="A1049" s="2" t="s">
        <v>2633</v>
      </c>
      <c r="B1049" s="2" t="s">
        <v>2634</v>
      </c>
      <c r="C1049" s="2" t="s">
        <v>17</v>
      </c>
      <c r="D1049" s="2" t="s">
        <v>18</v>
      </c>
      <c r="E1049" s="5">
        <v>-31182</v>
      </c>
      <c r="F1049" s="3" t="s">
        <v>19</v>
      </c>
      <c r="G1049" s="3" t="s">
        <v>20</v>
      </c>
      <c r="H1049" s="2" t="s">
        <v>62</v>
      </c>
      <c r="I1049" s="2" t="s">
        <v>2635</v>
      </c>
      <c r="J1049" s="3" t="str">
        <f>HYPERLINK("https://www.boe.es/gazeta/dias/1814/08/16/pdfs/GMD-1814-112.pdf#page=7","Abrir facsímil")</f>
        <v>Abrir facsímil</v>
      </c>
      <c r="K1049" s="3" t="s">
        <v>64</v>
      </c>
    </row>
    <row r="1050" spans="1:11" ht="42" customHeight="1">
      <c r="A1050" s="2" t="s">
        <v>2636</v>
      </c>
      <c r="B1050" s="2" t="s">
        <v>2637</v>
      </c>
      <c r="C1050" s="2" t="s">
        <v>38</v>
      </c>
      <c r="D1050" s="2" t="s">
        <v>39</v>
      </c>
      <c r="E1050" s="5">
        <v>-31252</v>
      </c>
      <c r="F1050" s="3" t="s">
        <v>364</v>
      </c>
      <c r="G1050" s="3" t="s">
        <v>82</v>
      </c>
      <c r="H1050" s="2" t="s">
        <v>62</v>
      </c>
      <c r="I1050" s="2" t="s">
        <v>2638</v>
      </c>
      <c r="J1050" s="3" t="str">
        <f>HYPERLINK("https://www.boe.es/gazeta/dias/1814/06/07/pdfs/GMD-1814-82.pdf#page=3","Abrir facsímil")</f>
        <v>Abrir facsímil</v>
      </c>
      <c r="K1050" s="3" t="s">
        <v>64</v>
      </c>
    </row>
    <row r="1051" spans="1:11" ht="42" customHeight="1">
      <c r="A1051" s="2" t="s">
        <v>2639</v>
      </c>
      <c r="B1051" s="2" t="s">
        <v>2640</v>
      </c>
      <c r="C1051" s="2" t="s">
        <v>26</v>
      </c>
      <c r="D1051" s="2" t="s">
        <v>27</v>
      </c>
      <c r="E1051" s="5">
        <v>-31287</v>
      </c>
      <c r="F1051" s="3" t="s">
        <v>491</v>
      </c>
      <c r="G1051" s="3" t="s">
        <v>57</v>
      </c>
      <c r="H1051" s="2" t="s">
        <v>62</v>
      </c>
      <c r="I1051" s="2" t="s">
        <v>2641</v>
      </c>
      <c r="J1051" s="3" t="str">
        <f>HYPERLINK("https://www.boe.es/gazeta/dias/1814/05/03/pdfs/GRE-1814-65.pdf#page=6","Abrir facsímil")</f>
        <v>Abrir facsímil</v>
      </c>
      <c r="K1051" s="3" t="s">
        <v>64</v>
      </c>
    </row>
    <row r="1052" spans="1:11" ht="42" customHeight="1">
      <c r="A1052" s="2" t="s">
        <v>2642</v>
      </c>
      <c r="B1052" s="2" t="s">
        <v>2643</v>
      </c>
      <c r="C1052" s="2" t="s">
        <v>38</v>
      </c>
      <c r="D1052" s="2" t="s">
        <v>39</v>
      </c>
      <c r="E1052" s="5">
        <v>-31103</v>
      </c>
      <c r="F1052" s="3" t="s">
        <v>1260</v>
      </c>
      <c r="G1052" s="3" t="s">
        <v>20</v>
      </c>
      <c r="H1052" s="2" t="s">
        <v>62</v>
      </c>
      <c r="I1052" s="2" t="s">
        <v>2644</v>
      </c>
      <c r="J1052" s="3" t="str">
        <f>HYPERLINK("https://www.boe.es/gazeta/dias/1814/11/03/pdfs/GMD-1814-147.pdf#page=7","Abrir facsímil")</f>
        <v>Abrir facsímil</v>
      </c>
      <c r="K1052" s="3" t="s">
        <v>64</v>
      </c>
    </row>
    <row r="1053" spans="1:11" ht="42" customHeight="1">
      <c r="A1053" s="2" t="s">
        <v>2645</v>
      </c>
      <c r="B1053" s="2" t="s">
        <v>2646</v>
      </c>
      <c r="C1053" s="2" t="s">
        <v>26</v>
      </c>
      <c r="D1053" s="2" t="s">
        <v>27</v>
      </c>
      <c r="E1053" s="5">
        <v>-31094</v>
      </c>
      <c r="F1053" s="3" t="s">
        <v>761</v>
      </c>
      <c r="G1053" s="3" t="s">
        <v>20</v>
      </c>
      <c r="H1053" s="2" t="s">
        <v>62</v>
      </c>
      <c r="I1053" s="2" t="s">
        <v>2647</v>
      </c>
      <c r="J1053" s="3" t="str">
        <f>HYPERLINK("https://www.boe.es/gazeta/dias/1814/11/12/pdfs/GMD-1814-151.pdf#page=7","Abrir facsímil")</f>
        <v>Abrir facsímil</v>
      </c>
      <c r="K1053" s="3" t="s">
        <v>64</v>
      </c>
    </row>
    <row r="1054" spans="1:11" ht="42" customHeight="1">
      <c r="A1054" s="2" t="s">
        <v>2648</v>
      </c>
      <c r="B1054" s="2" t="s">
        <v>2649</v>
      </c>
      <c r="C1054" s="2" t="s">
        <v>17</v>
      </c>
      <c r="D1054" s="2" t="s">
        <v>18</v>
      </c>
      <c r="E1054" s="5">
        <v>-31087</v>
      </c>
      <c r="F1054" s="3" t="s">
        <v>118</v>
      </c>
      <c r="G1054" s="3" t="s">
        <v>2650</v>
      </c>
      <c r="H1054" s="2" t="s">
        <v>21</v>
      </c>
      <c r="I1054" s="2" t="s">
        <v>2651</v>
      </c>
      <c r="J1054" s="3" t="str">
        <f>HYPERLINK("https://www.boe.es/gazeta/dias/1814/11/19/pdfs/GMD-1814-154.pdf#page=4","Abrir facsímil")</f>
        <v>Abrir facsímil</v>
      </c>
      <c r="K1054" s="3" t="s">
        <v>23</v>
      </c>
    </row>
    <row r="1055" spans="1:11" ht="42" customHeight="1">
      <c r="A1055" s="2" t="s">
        <v>2652</v>
      </c>
      <c r="B1055" s="2" t="s">
        <v>2653</v>
      </c>
      <c r="C1055" s="2" t="s">
        <v>26</v>
      </c>
      <c r="D1055" s="2" t="s">
        <v>27</v>
      </c>
      <c r="E1055" s="5">
        <v>-31171</v>
      </c>
      <c r="F1055" s="3" t="s">
        <v>157</v>
      </c>
      <c r="G1055" s="3" t="s">
        <v>158</v>
      </c>
      <c r="H1055" s="2" t="s">
        <v>62</v>
      </c>
      <c r="I1055" s="2" t="s">
        <v>2654</v>
      </c>
      <c r="J1055" s="3" t="str">
        <f>HYPERLINK("https://www.boe.es/gazeta/dias/1814/08/27/pdfs/GMD-1814-117.pdf#page=7","Abrir facsímil")</f>
        <v>Abrir facsímil</v>
      </c>
      <c r="K1055" s="3" t="s">
        <v>64</v>
      </c>
    </row>
    <row r="1056" spans="1:11" ht="42" customHeight="1">
      <c r="A1056" s="2" t="s">
        <v>2652</v>
      </c>
      <c r="B1056" s="2" t="s">
        <v>2653</v>
      </c>
      <c r="C1056" s="2" t="s">
        <v>45</v>
      </c>
      <c r="D1056" s="2" t="s">
        <v>18</v>
      </c>
      <c r="E1056" s="5">
        <v>-31143</v>
      </c>
      <c r="F1056" s="3" t="s">
        <v>787</v>
      </c>
      <c r="G1056" s="3" t="s">
        <v>20</v>
      </c>
      <c r="H1056" s="2" t="s">
        <v>62</v>
      </c>
      <c r="I1056" s="2" t="s">
        <v>2655</v>
      </c>
      <c r="J1056" s="3" t="str">
        <f>HYPERLINK("https://www.boe.es/gazeta/dias/1814/09/24/pdfs/GMD-1814-130.pdf#page=7","Abrir facsímil")</f>
        <v>Abrir facsímil</v>
      </c>
      <c r="K1056" s="3" t="s">
        <v>64</v>
      </c>
    </row>
    <row r="1057" spans="1:11" ht="42" customHeight="1">
      <c r="A1057" s="2" t="s">
        <v>2656</v>
      </c>
      <c r="B1057" s="2" t="s">
        <v>2657</v>
      </c>
      <c r="C1057" s="2" t="s">
        <v>38</v>
      </c>
      <c r="D1057" s="2" t="s">
        <v>39</v>
      </c>
      <c r="E1057" s="5">
        <v>-31325</v>
      </c>
      <c r="F1057" s="3" t="s">
        <v>67</v>
      </c>
      <c r="G1057" s="3" t="s">
        <v>20</v>
      </c>
      <c r="H1057" s="2" t="s">
        <v>62</v>
      </c>
      <c r="I1057" s="2" t="s">
        <v>2658</v>
      </c>
      <c r="J1057" s="3" t="str">
        <f>HYPERLINK("https://www.boe.es/gazeta/dias/1814/03/26/pdfs/GRE-1814-43.pdf#page=7","Abrir facsímil")</f>
        <v>Abrir facsímil</v>
      </c>
      <c r="K1057" s="3" t="s">
        <v>64</v>
      </c>
    </row>
    <row r="1058" spans="1:11" ht="42" customHeight="1">
      <c r="A1058" s="2" t="s">
        <v>2659</v>
      </c>
      <c r="B1058" s="2" t="s">
        <v>2660</v>
      </c>
      <c r="C1058" s="2" t="s">
        <v>38</v>
      </c>
      <c r="D1058" s="2" t="s">
        <v>39</v>
      </c>
      <c r="E1058" s="5">
        <v>-31234</v>
      </c>
      <c r="F1058" s="3" t="s">
        <v>462</v>
      </c>
      <c r="G1058" s="3" t="s">
        <v>41</v>
      </c>
      <c r="H1058" s="2" t="s">
        <v>62</v>
      </c>
      <c r="I1058" s="2" t="s">
        <v>2661</v>
      </c>
      <c r="J1058" s="3" t="str">
        <f>HYPERLINK("https://www.boe.es/gazeta/dias/1814/06/25/pdfs/GMD-1814-90.pdf#page=4","Abrir facsímil")</f>
        <v>Abrir facsímil</v>
      </c>
      <c r="K1058" s="3" t="s">
        <v>64</v>
      </c>
    </row>
    <row r="1059" spans="1:11" ht="42" customHeight="1">
      <c r="A1059" s="2" t="s">
        <v>2662</v>
      </c>
      <c r="B1059" s="2" t="s">
        <v>2663</v>
      </c>
      <c r="C1059" s="2" t="s">
        <v>17</v>
      </c>
      <c r="D1059" s="2" t="s">
        <v>18</v>
      </c>
      <c r="E1059" s="5">
        <v>-31110</v>
      </c>
      <c r="F1059" s="3" t="s">
        <v>149</v>
      </c>
      <c r="G1059" s="3" t="s">
        <v>99</v>
      </c>
      <c r="H1059" s="2" t="s">
        <v>62</v>
      </c>
      <c r="I1059" s="2" t="s">
        <v>2664</v>
      </c>
      <c r="J1059" s="3" t="str">
        <f>HYPERLINK("https://www.boe.es/gazeta/dias/1814/10/27/pdfs/GMD-1814-144.pdf#page=5","Abrir facsímil")</f>
        <v>Abrir facsímil</v>
      </c>
      <c r="K1059" s="3" t="s">
        <v>64</v>
      </c>
    </row>
    <row r="1060" spans="1:11" ht="42" customHeight="1">
      <c r="A1060" s="2" t="s">
        <v>2665</v>
      </c>
      <c r="B1060" s="2" t="s">
        <v>2666</v>
      </c>
      <c r="C1060" s="2" t="s">
        <v>38</v>
      </c>
      <c r="D1060" s="2" t="s">
        <v>314</v>
      </c>
      <c r="E1060" s="5">
        <v>-31296</v>
      </c>
      <c r="F1060" s="3" t="s">
        <v>315</v>
      </c>
      <c r="G1060" s="3" t="s">
        <v>52</v>
      </c>
      <c r="H1060" s="2" t="s">
        <v>62</v>
      </c>
      <c r="I1060" s="2" t="s">
        <v>2667</v>
      </c>
      <c r="J1060" s="3" t="str">
        <f>HYPERLINK("https://www.boe.es/gazeta/dias/1814/04/24/pdfs/GRE-1814-60E.pdf#page=8","Abrir facsímil")</f>
        <v>Abrir facsímil</v>
      </c>
      <c r="K1060" s="3" t="s">
        <v>64</v>
      </c>
    </row>
    <row r="1061" spans="1:11" ht="42" customHeight="1">
      <c r="A1061" s="2" t="s">
        <v>2668</v>
      </c>
      <c r="B1061" s="2" t="s">
        <v>2669</v>
      </c>
      <c r="C1061" s="2" t="s">
        <v>38</v>
      </c>
      <c r="D1061" s="2" t="s">
        <v>314</v>
      </c>
      <c r="E1061" s="5">
        <v>-31296</v>
      </c>
      <c r="F1061" s="3" t="s">
        <v>315</v>
      </c>
      <c r="G1061" s="3" t="s">
        <v>52</v>
      </c>
      <c r="H1061" s="2" t="s">
        <v>62</v>
      </c>
      <c r="I1061" s="2" t="s">
        <v>2670</v>
      </c>
      <c r="J1061" s="3" t="str">
        <f>HYPERLINK("https://www.boe.es/gazeta/dias/1814/04/24/pdfs/GRE-1814-60E.pdf#page=8","Abrir facsímil")</f>
        <v>Abrir facsímil</v>
      </c>
      <c r="K1061" s="3" t="s">
        <v>64</v>
      </c>
    </row>
    <row r="1062" spans="1:11" ht="42" customHeight="1">
      <c r="A1062" s="2" t="s">
        <v>2671</v>
      </c>
      <c r="B1062" s="2" t="s">
        <v>2672</v>
      </c>
      <c r="C1062" s="2" t="s">
        <v>38</v>
      </c>
      <c r="D1062" s="2" t="s">
        <v>314</v>
      </c>
      <c r="E1062" s="5">
        <v>-31296</v>
      </c>
      <c r="F1062" s="3" t="s">
        <v>315</v>
      </c>
      <c r="G1062" s="3" t="s">
        <v>52</v>
      </c>
      <c r="H1062" s="2" t="s">
        <v>62</v>
      </c>
      <c r="I1062" s="2" t="s">
        <v>2673</v>
      </c>
      <c r="J1062" s="3" t="str">
        <f>HYPERLINK("https://www.boe.es/gazeta/dias/1814/04/24/pdfs/GRE-1814-60E.pdf#page=8","Abrir facsímil")</f>
        <v>Abrir facsímil</v>
      </c>
      <c r="K1062" s="3" t="s">
        <v>64</v>
      </c>
    </row>
    <row r="1063" spans="1:11" ht="42" customHeight="1">
      <c r="A1063" s="2" t="s">
        <v>2674</v>
      </c>
      <c r="B1063" s="2" t="s">
        <v>2675</v>
      </c>
      <c r="C1063" s="2" t="s">
        <v>144</v>
      </c>
      <c r="D1063" s="2" t="s">
        <v>18</v>
      </c>
      <c r="E1063" s="5">
        <v>-31231</v>
      </c>
      <c r="F1063" s="3" t="s">
        <v>861</v>
      </c>
      <c r="G1063" s="3" t="s">
        <v>322</v>
      </c>
      <c r="H1063" s="2" t="s">
        <v>62</v>
      </c>
      <c r="I1063" s="2" t="s">
        <v>2676</v>
      </c>
      <c r="J1063" s="3" t="str">
        <f>HYPERLINK("https://www.boe.es/gazeta/dias/1814/06/28/pdfs/GMD-1814-91.pdf#page=12","Abrir facsímil")</f>
        <v>Abrir facsímil</v>
      </c>
      <c r="K1063" s="3" t="s">
        <v>64</v>
      </c>
    </row>
    <row r="1064" spans="1:11" ht="42" customHeight="1">
      <c r="A1064" s="2" t="s">
        <v>2677</v>
      </c>
      <c r="B1064" s="2" t="s">
        <v>2678</v>
      </c>
      <c r="C1064" s="2" t="s">
        <v>26</v>
      </c>
      <c r="D1064" s="2" t="s">
        <v>27</v>
      </c>
      <c r="E1064" s="5">
        <v>-31241</v>
      </c>
      <c r="F1064" s="3" t="s">
        <v>703</v>
      </c>
      <c r="G1064" s="3" t="s">
        <v>704</v>
      </c>
      <c r="H1064" s="2" t="s">
        <v>62</v>
      </c>
      <c r="I1064" s="2" t="s">
        <v>2679</v>
      </c>
      <c r="J1064" s="3" t="str">
        <f>HYPERLINK("https://www.boe.es/gazeta/dias/1814/06/18/pdfs/GMD-1814-87.pdf#page=10","Abrir facsímil")</f>
        <v>Abrir facsímil</v>
      </c>
      <c r="K1064" s="3" t="s">
        <v>64</v>
      </c>
    </row>
    <row r="1065" spans="1:11" ht="42" customHeight="1">
      <c r="A1065" s="2" t="s">
        <v>2680</v>
      </c>
      <c r="B1065" s="2" t="s">
        <v>2681</v>
      </c>
      <c r="C1065" s="2" t="s">
        <v>26</v>
      </c>
      <c r="D1065" s="2" t="s">
        <v>27</v>
      </c>
      <c r="E1065" s="5">
        <v>-31243</v>
      </c>
      <c r="F1065" s="3" t="s">
        <v>500</v>
      </c>
      <c r="G1065" s="3" t="s">
        <v>57</v>
      </c>
      <c r="H1065" s="2" t="s">
        <v>62</v>
      </c>
      <c r="I1065" s="2" t="s">
        <v>2682</v>
      </c>
      <c r="J1065" s="3" t="str">
        <f>HYPERLINK("https://www.boe.es/gazeta/dias/1814/06/16/pdfs/GMD-1814-86.pdf#page=6","Abrir facsímil")</f>
        <v>Abrir facsímil</v>
      </c>
      <c r="K1065" s="3" t="s">
        <v>64</v>
      </c>
    </row>
    <row r="1066" spans="1:11" ht="42" customHeight="1">
      <c r="A1066" s="2" t="s">
        <v>2680</v>
      </c>
      <c r="B1066" s="2" t="s">
        <v>2681</v>
      </c>
      <c r="C1066" s="2" t="s">
        <v>17</v>
      </c>
      <c r="D1066" s="2" t="s">
        <v>18</v>
      </c>
      <c r="E1066" s="5">
        <v>-31243</v>
      </c>
      <c r="F1066" s="3" t="s">
        <v>500</v>
      </c>
      <c r="G1066" s="3" t="s">
        <v>20</v>
      </c>
      <c r="H1066" s="2" t="s">
        <v>62</v>
      </c>
      <c r="I1066" s="2" t="s">
        <v>2683</v>
      </c>
      <c r="J1066" s="3" t="str">
        <f>HYPERLINK("https://www.boe.es/gazeta/dias/1814/06/16/pdfs/GMD-1814-86.pdf#page=7","Abrir facsímil")</f>
        <v>Abrir facsímil</v>
      </c>
      <c r="K1066" s="3" t="s">
        <v>64</v>
      </c>
    </row>
    <row r="1067" spans="1:11" ht="42" customHeight="1">
      <c r="A1067" s="2" t="s">
        <v>2680</v>
      </c>
      <c r="B1067" s="2" t="s">
        <v>2681</v>
      </c>
      <c r="C1067" s="2" t="s">
        <v>26</v>
      </c>
      <c r="D1067" s="2" t="s">
        <v>27</v>
      </c>
      <c r="E1067" s="5">
        <v>-31096</v>
      </c>
      <c r="F1067" s="3" t="s">
        <v>223</v>
      </c>
      <c r="G1067" s="3" t="s">
        <v>99</v>
      </c>
      <c r="H1067" s="2" t="s">
        <v>62</v>
      </c>
      <c r="I1067" s="2" t="s">
        <v>2684</v>
      </c>
      <c r="J1067" s="3" t="str">
        <f>HYPERLINK("https://www.boe.es/gazeta/dias/1814/11/10/pdfs/GMD-1814-150.pdf#page=5","Abrir facsímil")</f>
        <v>Abrir facsímil</v>
      </c>
      <c r="K1067" s="3" t="s">
        <v>64</v>
      </c>
    </row>
    <row r="1068" spans="1:11" ht="42" customHeight="1">
      <c r="A1068" s="2" t="s">
        <v>2685</v>
      </c>
      <c r="B1068" s="2" t="s">
        <v>2686</v>
      </c>
      <c r="C1068" s="2" t="s">
        <v>38</v>
      </c>
      <c r="D1068" s="2" t="s">
        <v>39</v>
      </c>
      <c r="E1068" s="5">
        <v>-31399</v>
      </c>
      <c r="F1068" s="3" t="s">
        <v>218</v>
      </c>
      <c r="G1068" s="3" t="s">
        <v>219</v>
      </c>
      <c r="H1068" s="2" t="s">
        <v>62</v>
      </c>
      <c r="I1068" s="2" t="s">
        <v>2687</v>
      </c>
      <c r="J1068" s="3" t="str">
        <f>HYPERLINK("https://www.boe.es/gazeta/dias/1814/01/11/pdfs/GRE-1814-6.pdf#page=8","Abrir facsímil")</f>
        <v>Abrir facsímil</v>
      </c>
      <c r="K1068" s="3" t="s">
        <v>64</v>
      </c>
    </row>
    <row r="1069" spans="1:11" ht="42" customHeight="1">
      <c r="A1069" s="2" t="s">
        <v>2688</v>
      </c>
      <c r="B1069" s="2" t="s">
        <v>2688</v>
      </c>
      <c r="C1069" s="2" t="s">
        <v>26</v>
      </c>
      <c r="D1069" s="2" t="s">
        <v>27</v>
      </c>
      <c r="E1069" s="5">
        <v>-31068</v>
      </c>
      <c r="F1069" s="3" t="s">
        <v>548</v>
      </c>
      <c r="G1069" s="3" t="s">
        <v>107</v>
      </c>
      <c r="H1069" s="2" t="s">
        <v>62</v>
      </c>
      <c r="I1069" s="2" t="s">
        <v>2689</v>
      </c>
      <c r="J1069" s="3" t="str">
        <f>HYPERLINK("https://www.boe.es/gazeta/dias/1814/12/08/pdfs/GMD-1814-162.pdf#page=1","Abrir facsímil")</f>
        <v>Abrir facsímil</v>
      </c>
      <c r="K1069" s="3" t="s">
        <v>64</v>
      </c>
    </row>
    <row r="1070" spans="1:11" ht="42" customHeight="1">
      <c r="A1070" s="2" t="s">
        <v>2690</v>
      </c>
      <c r="B1070" s="2" t="s">
        <v>2691</v>
      </c>
      <c r="C1070" s="2" t="s">
        <v>38</v>
      </c>
      <c r="D1070" s="2" t="s">
        <v>39</v>
      </c>
      <c r="E1070" s="5">
        <v>-31390</v>
      </c>
      <c r="F1070" s="3" t="s">
        <v>349</v>
      </c>
      <c r="G1070" s="3" t="s">
        <v>20</v>
      </c>
      <c r="H1070" s="2" t="s">
        <v>62</v>
      </c>
      <c r="I1070" s="2" t="s">
        <v>2692</v>
      </c>
      <c r="J1070" s="3" t="str">
        <f>HYPERLINK("https://www.boe.es/gazeta/dias/1814/01/20/pdfs/GRE-1814-10.pdf#page=7","Abrir facsímil")</f>
        <v>Abrir facsímil</v>
      </c>
      <c r="K1070" s="3" t="s">
        <v>64</v>
      </c>
    </row>
    <row r="1071" spans="1:11" ht="42" customHeight="1">
      <c r="A1071" s="2" t="s">
        <v>2690</v>
      </c>
      <c r="B1071" s="2" t="s">
        <v>2691</v>
      </c>
      <c r="C1071" s="2" t="s">
        <v>38</v>
      </c>
      <c r="D1071" s="2" t="s">
        <v>39</v>
      </c>
      <c r="E1071" s="5">
        <v>-31390</v>
      </c>
      <c r="F1071" s="3" t="s">
        <v>349</v>
      </c>
      <c r="G1071" s="3" t="s">
        <v>52</v>
      </c>
      <c r="H1071" s="2" t="s">
        <v>62</v>
      </c>
      <c r="I1071" s="2" t="s">
        <v>2693</v>
      </c>
      <c r="J1071" s="3" t="str">
        <f>HYPERLINK("https://www.boe.es/gazeta/dias/1814/01/20/pdfs/GRE-1814-10.pdf#page=8","Abrir facsímil")</f>
        <v>Abrir facsímil</v>
      </c>
      <c r="K1071" s="3" t="s">
        <v>64</v>
      </c>
    </row>
    <row r="1072" spans="1:11" ht="42" customHeight="1">
      <c r="A1072" s="2" t="s">
        <v>2694</v>
      </c>
      <c r="B1072" s="2" t="s">
        <v>2695</v>
      </c>
      <c r="C1072" s="2" t="s">
        <v>38</v>
      </c>
      <c r="D1072" s="2" t="s">
        <v>39</v>
      </c>
      <c r="E1072" s="5">
        <v>-31056</v>
      </c>
      <c r="F1072" s="3" t="s">
        <v>540</v>
      </c>
      <c r="G1072" s="3" t="s">
        <v>20</v>
      </c>
      <c r="H1072" s="2" t="s">
        <v>62</v>
      </c>
      <c r="I1072" s="2" t="s">
        <v>2696</v>
      </c>
      <c r="J1072" s="3" t="str">
        <f>HYPERLINK("https://www.boe.es/gazeta/dias/1814/12/20/pdfs/GMD-1814-168.pdf#page=7","Abrir facsímil")</f>
        <v>Abrir facsímil</v>
      </c>
      <c r="K1072" s="3" t="s">
        <v>64</v>
      </c>
    </row>
    <row r="1073" spans="1:11" ht="42" customHeight="1">
      <c r="A1073" s="2" t="s">
        <v>2697</v>
      </c>
      <c r="B1073" s="2" t="s">
        <v>2698</v>
      </c>
      <c r="C1073" s="2" t="s">
        <v>26</v>
      </c>
      <c r="D1073" s="2" t="s">
        <v>27</v>
      </c>
      <c r="E1073" s="5">
        <v>-31171</v>
      </c>
      <c r="F1073" s="3" t="s">
        <v>157</v>
      </c>
      <c r="G1073" s="3" t="s">
        <v>158</v>
      </c>
      <c r="H1073" s="2" t="s">
        <v>62</v>
      </c>
      <c r="I1073" s="2" t="s">
        <v>2699</v>
      </c>
      <c r="J1073" s="3" t="str">
        <f>HYPERLINK("https://www.boe.es/gazeta/dias/1814/08/27/pdfs/GMD-1814-117.pdf#page=7","Abrir facsímil")</f>
        <v>Abrir facsímil</v>
      </c>
      <c r="K1073" s="3" t="s">
        <v>64</v>
      </c>
    </row>
    <row r="1074" spans="1:11" ht="42" customHeight="1">
      <c r="A1074" s="2" t="s">
        <v>2700</v>
      </c>
      <c r="B1074" s="2" t="s">
        <v>2701</v>
      </c>
      <c r="C1074" s="2" t="s">
        <v>26</v>
      </c>
      <c r="D1074" s="2" t="s">
        <v>27</v>
      </c>
      <c r="E1074" s="5">
        <v>-31145</v>
      </c>
      <c r="F1074" s="3" t="s">
        <v>523</v>
      </c>
      <c r="G1074" s="3" t="s">
        <v>20</v>
      </c>
      <c r="H1074" s="2" t="s">
        <v>21</v>
      </c>
      <c r="I1074" s="2" t="s">
        <v>2702</v>
      </c>
      <c r="J1074" s="3" t="str">
        <f>HYPERLINK("https://www.boe.es/gazeta/dias/1814/09/22/pdfs/GMD-1814-129.pdf#page=7","Abrir facsímil")</f>
        <v>Abrir facsímil</v>
      </c>
      <c r="K1074" s="3" t="s">
        <v>23</v>
      </c>
    </row>
    <row r="1075" spans="1:11" ht="42" customHeight="1">
      <c r="A1075" s="2" t="s">
        <v>2700</v>
      </c>
      <c r="B1075" s="2" t="s">
        <v>2701</v>
      </c>
      <c r="C1075" s="2" t="s">
        <v>26</v>
      </c>
      <c r="D1075" s="2" t="s">
        <v>27</v>
      </c>
      <c r="E1075" s="5">
        <v>-31126</v>
      </c>
      <c r="F1075" s="3" t="s">
        <v>56</v>
      </c>
      <c r="G1075" s="3" t="s">
        <v>87</v>
      </c>
      <c r="H1075" s="2" t="s">
        <v>21</v>
      </c>
      <c r="I1075" s="2" t="s">
        <v>2703</v>
      </c>
      <c r="J1075" s="3" t="str">
        <f>HYPERLINK("https://www.boe.es/gazeta/dias/1814/10/11/pdfs/GMD-1814-137.pdf#page=2","Abrir facsímil")</f>
        <v>Abrir facsímil</v>
      </c>
      <c r="K1075" s="3" t="s">
        <v>23</v>
      </c>
    </row>
    <row r="1076" spans="1:11" ht="42" customHeight="1">
      <c r="A1076" s="2" t="s">
        <v>2704</v>
      </c>
      <c r="B1076" s="2" t="s">
        <v>2705</v>
      </c>
      <c r="C1076" s="2" t="s">
        <v>26</v>
      </c>
      <c r="D1076" s="2" t="s">
        <v>27</v>
      </c>
      <c r="E1076" s="5">
        <v>-31243</v>
      </c>
      <c r="F1076" s="3" t="s">
        <v>500</v>
      </c>
      <c r="G1076" s="3" t="s">
        <v>137</v>
      </c>
      <c r="H1076" s="2" t="s">
        <v>21</v>
      </c>
      <c r="I1076" s="2" t="s">
        <v>2706</v>
      </c>
      <c r="J1076" s="3" t="str">
        <f>HYPERLINK("https://www.boe.es/gazeta/dias/1814/06/16/pdfs/GMD-1814-86.pdf#page=9","Abrir facsímil")</f>
        <v>Abrir facsímil</v>
      </c>
      <c r="K1076" s="3" t="s">
        <v>23</v>
      </c>
    </row>
    <row r="1077" spans="1:11" ht="42" customHeight="1">
      <c r="A1077" s="2" t="s">
        <v>2707</v>
      </c>
      <c r="B1077" s="2" t="s">
        <v>2708</v>
      </c>
      <c r="C1077" s="2" t="s">
        <v>38</v>
      </c>
      <c r="D1077" s="2" t="s">
        <v>39</v>
      </c>
      <c r="E1077" s="5">
        <v>-31341</v>
      </c>
      <c r="F1077" s="3" t="s">
        <v>360</v>
      </c>
      <c r="G1077" s="3" t="s">
        <v>52</v>
      </c>
      <c r="H1077" s="2" t="s">
        <v>62</v>
      </c>
      <c r="I1077" s="2" t="s">
        <v>2709</v>
      </c>
      <c r="J1077" s="3" t="str">
        <f>HYPERLINK("https://www.boe.es/gazeta/dias/1814/03/10/pdfs/GRE-1814-33.pdf#page=8","Abrir facsímil")</f>
        <v>Abrir facsímil</v>
      </c>
      <c r="K1077" s="3" t="s">
        <v>64</v>
      </c>
    </row>
    <row r="1078" spans="1:11" ht="42" customHeight="1">
      <c r="A1078" s="2" t="s">
        <v>2710</v>
      </c>
      <c r="B1078" s="2" t="s">
        <v>2711</v>
      </c>
      <c r="C1078" s="2" t="s">
        <v>17</v>
      </c>
      <c r="D1078" s="2" t="s">
        <v>18</v>
      </c>
      <c r="E1078" s="5">
        <v>-31138</v>
      </c>
      <c r="F1078" s="3" t="s">
        <v>1363</v>
      </c>
      <c r="G1078" s="3" t="s">
        <v>41</v>
      </c>
      <c r="H1078" s="2" t="s">
        <v>62</v>
      </c>
      <c r="I1078" s="2" t="s">
        <v>2712</v>
      </c>
      <c r="J1078" s="3" t="str">
        <f>HYPERLINK("https://www.boe.es/gazeta/dias/1814/09/29/pdfs/GMD-1814-132.pdf#page=4","Abrir facsímil")</f>
        <v>Abrir facsímil</v>
      </c>
      <c r="K1078" s="3" t="s">
        <v>64</v>
      </c>
    </row>
    <row r="1079" spans="1:11" ht="42" customHeight="1">
      <c r="A1079" s="2" t="s">
        <v>2713</v>
      </c>
      <c r="B1079" s="2" t="s">
        <v>2714</v>
      </c>
      <c r="C1079" s="2" t="s">
        <v>38</v>
      </c>
      <c r="D1079" s="2" t="s">
        <v>39</v>
      </c>
      <c r="E1079" s="5">
        <v>-31325</v>
      </c>
      <c r="F1079" s="3" t="s">
        <v>67</v>
      </c>
      <c r="G1079" s="3" t="s">
        <v>57</v>
      </c>
      <c r="H1079" s="2" t="s">
        <v>62</v>
      </c>
      <c r="I1079" s="2" t="s">
        <v>2715</v>
      </c>
      <c r="J1079" s="3" t="str">
        <f>HYPERLINK("https://www.boe.es/gazeta/dias/1814/03/26/pdfs/GRE-1814-43.pdf#page=6","Abrir facsímil")</f>
        <v>Abrir facsímil</v>
      </c>
      <c r="K1079" s="3" t="s">
        <v>64</v>
      </c>
    </row>
    <row r="1080" spans="1:11" ht="42" customHeight="1">
      <c r="A1080" s="2" t="s">
        <v>2716</v>
      </c>
      <c r="B1080" s="2" t="s">
        <v>2717</v>
      </c>
      <c r="C1080" s="2" t="s">
        <v>38</v>
      </c>
      <c r="D1080" s="2" t="s">
        <v>39</v>
      </c>
      <c r="E1080" s="5">
        <v>-31325</v>
      </c>
      <c r="F1080" s="3" t="s">
        <v>67</v>
      </c>
      <c r="G1080" s="3" t="s">
        <v>57</v>
      </c>
      <c r="H1080" s="2" t="s">
        <v>62</v>
      </c>
      <c r="I1080" s="2" t="s">
        <v>2718</v>
      </c>
      <c r="J1080" s="3" t="str">
        <f>HYPERLINK("https://www.boe.es/gazeta/dias/1814/03/26/pdfs/GRE-1814-43.pdf#page=6","Abrir facsímil")</f>
        <v>Abrir facsímil</v>
      </c>
      <c r="K1080" s="3" t="s">
        <v>64</v>
      </c>
    </row>
    <row r="1081" spans="1:11" ht="42" customHeight="1">
      <c r="A1081" s="2" t="s">
        <v>2719</v>
      </c>
      <c r="B1081" s="2" t="s">
        <v>2720</v>
      </c>
      <c r="C1081" s="2" t="s">
        <v>38</v>
      </c>
      <c r="D1081" s="2" t="s">
        <v>39</v>
      </c>
      <c r="E1081" s="5">
        <v>-31094</v>
      </c>
      <c r="F1081" s="3" t="s">
        <v>761</v>
      </c>
      <c r="G1081" s="3" t="s">
        <v>20</v>
      </c>
      <c r="H1081" s="2" t="s">
        <v>62</v>
      </c>
      <c r="I1081" s="2" t="s">
        <v>2721</v>
      </c>
      <c r="J1081" s="3" t="str">
        <f>HYPERLINK("https://www.boe.es/gazeta/dias/1814/11/12/pdfs/GMD-1814-151.pdf#page=7","Abrir facsímil")</f>
        <v>Abrir facsímil</v>
      </c>
      <c r="K1081" s="3" t="s">
        <v>64</v>
      </c>
    </row>
    <row r="1082" spans="1:11" ht="42" customHeight="1">
      <c r="A1082" s="2" t="s">
        <v>2722</v>
      </c>
      <c r="B1082" s="2" t="s">
        <v>2723</v>
      </c>
      <c r="C1082" s="2" t="s">
        <v>38</v>
      </c>
      <c r="D1082" s="2" t="s">
        <v>39</v>
      </c>
      <c r="E1082" s="5">
        <v>-31089</v>
      </c>
      <c r="F1082" s="3" t="s">
        <v>531</v>
      </c>
      <c r="G1082" s="3" t="s">
        <v>20</v>
      </c>
      <c r="H1082" s="2" t="s">
        <v>62</v>
      </c>
      <c r="I1082" s="2" t="s">
        <v>2724</v>
      </c>
      <c r="J1082" s="3" t="str">
        <f>HYPERLINK("https://www.boe.es/gazeta/dias/1814/11/17/pdfs/GMD-1814-153.pdf#page=7","Abrir facsímil")</f>
        <v>Abrir facsímil</v>
      </c>
      <c r="K1082" s="3" t="s">
        <v>64</v>
      </c>
    </row>
    <row r="1083" spans="1:11" ht="42" customHeight="1">
      <c r="A1083" s="2" t="s">
        <v>2725</v>
      </c>
      <c r="B1083" s="2" t="s">
        <v>2726</v>
      </c>
      <c r="C1083" s="2" t="s">
        <v>38</v>
      </c>
      <c r="D1083" s="2" t="s">
        <v>39</v>
      </c>
      <c r="E1083" s="5">
        <v>-31383</v>
      </c>
      <c r="F1083" s="3" t="s">
        <v>715</v>
      </c>
      <c r="G1083" s="3" t="s">
        <v>2727</v>
      </c>
      <c r="H1083" s="2" t="s">
        <v>62</v>
      </c>
      <c r="I1083" s="2" t="s">
        <v>2728</v>
      </c>
      <c r="J1083" s="3" t="str">
        <f>HYPERLINK("https://www.boe.es/gazeta/dias/1814/01/27/pdfs/GRE-1814-13.pdf#page=4","Abrir facsímil")</f>
        <v>Abrir facsímil</v>
      </c>
      <c r="K1083" s="3" t="s">
        <v>64</v>
      </c>
    </row>
    <row r="1084" spans="1:11" ht="42" customHeight="1">
      <c r="A1084" s="2" t="s">
        <v>2729</v>
      </c>
      <c r="B1084" s="2" t="s">
        <v>2729</v>
      </c>
      <c r="C1084" s="2" t="s">
        <v>38</v>
      </c>
      <c r="D1084" s="2" t="s">
        <v>39</v>
      </c>
      <c r="E1084" s="5">
        <v>-31383</v>
      </c>
      <c r="F1084" s="3" t="s">
        <v>715</v>
      </c>
      <c r="G1084" s="3" t="s">
        <v>87</v>
      </c>
      <c r="H1084" s="2" t="s">
        <v>62</v>
      </c>
      <c r="I1084" s="2" t="s">
        <v>2730</v>
      </c>
      <c r="J1084" s="3" t="str">
        <f>HYPERLINK("https://www.boe.es/gazeta/dias/1814/01/27/pdfs/GRE-1814-13.pdf#page=2","Abrir facsímil")</f>
        <v>Abrir facsímil</v>
      </c>
      <c r="K1084" s="3" t="s">
        <v>64</v>
      </c>
    </row>
    <row r="1085" spans="1:11" ht="42" customHeight="1">
      <c r="A1085" s="2" t="s">
        <v>2731</v>
      </c>
      <c r="B1085" s="2" t="s">
        <v>2732</v>
      </c>
      <c r="C1085" s="2" t="s">
        <v>26</v>
      </c>
      <c r="D1085" s="2" t="s">
        <v>27</v>
      </c>
      <c r="E1085" s="5">
        <v>-31115</v>
      </c>
      <c r="F1085" s="3" t="s">
        <v>805</v>
      </c>
      <c r="G1085" s="3" t="s">
        <v>82</v>
      </c>
      <c r="H1085" s="2" t="s">
        <v>62</v>
      </c>
      <c r="I1085" s="2" t="s">
        <v>2733</v>
      </c>
      <c r="J1085" s="3" t="str">
        <f>HYPERLINK("https://www.boe.es/gazeta/dias/1814/10/22/pdfs/GMD-1814-142.pdf#page=3","Abrir facsímil")</f>
        <v>Abrir facsímil</v>
      </c>
      <c r="K1085" s="3" t="s">
        <v>64</v>
      </c>
    </row>
    <row r="1086" spans="1:11" ht="42" customHeight="1">
      <c r="A1086" s="2" t="s">
        <v>2734</v>
      </c>
      <c r="B1086" s="2" t="s">
        <v>2735</v>
      </c>
      <c r="C1086" s="2" t="s">
        <v>38</v>
      </c>
      <c r="D1086" s="2" t="s">
        <v>39</v>
      </c>
      <c r="E1086" s="5">
        <v>-31199</v>
      </c>
      <c r="F1086" s="3" t="s">
        <v>453</v>
      </c>
      <c r="G1086" s="3" t="s">
        <v>1027</v>
      </c>
      <c r="H1086" s="2" t="s">
        <v>62</v>
      </c>
      <c r="I1086" s="2" t="s">
        <v>2736</v>
      </c>
      <c r="J1086" s="3" t="str">
        <f>HYPERLINK("https://www.boe.es/gazeta/dias/1814/07/30/pdfs/GMD-1814-105.pdf#page=8","Abrir facsímil")</f>
        <v>Abrir facsímil</v>
      </c>
      <c r="K1086" s="3" t="s">
        <v>64</v>
      </c>
    </row>
    <row r="1087" spans="1:11" ht="42" customHeight="1">
      <c r="A1087" s="2" t="s">
        <v>2737</v>
      </c>
      <c r="B1087" s="2" t="s">
        <v>2737</v>
      </c>
      <c r="C1087" s="2" t="s">
        <v>38</v>
      </c>
      <c r="D1087" s="2" t="s">
        <v>39</v>
      </c>
      <c r="E1087" s="5">
        <v>-31108</v>
      </c>
      <c r="F1087" s="3" t="s">
        <v>528</v>
      </c>
      <c r="G1087" s="3" t="s">
        <v>529</v>
      </c>
      <c r="H1087" s="2" t="s">
        <v>62</v>
      </c>
      <c r="I1087" s="2" t="s">
        <v>2738</v>
      </c>
      <c r="J1087" s="3" t="str">
        <f>HYPERLINK("https://www.boe.es/gazeta/dias/1814/10/29/pdfs/GMD-1814-145.pdf#page=2","Abrir facsímil")</f>
        <v>Abrir facsímil</v>
      </c>
      <c r="K1087" s="3" t="s">
        <v>64</v>
      </c>
    </row>
    <row r="1088" spans="1:11" ht="42" customHeight="1">
      <c r="A1088" s="2" t="s">
        <v>2739</v>
      </c>
      <c r="B1088" s="2" t="s">
        <v>2739</v>
      </c>
      <c r="C1088" s="2" t="s">
        <v>32</v>
      </c>
      <c r="D1088" s="2" t="s">
        <v>18</v>
      </c>
      <c r="E1088" s="5">
        <v>-31355</v>
      </c>
      <c r="F1088" s="3" t="s">
        <v>50</v>
      </c>
      <c r="G1088" s="3" t="s">
        <v>2740</v>
      </c>
      <c r="H1088" s="2" t="s">
        <v>62</v>
      </c>
      <c r="I1088" s="2" t="s">
        <v>2741</v>
      </c>
      <c r="J1088" s="3" t="str">
        <f>HYPERLINK("https://www.boe.es/gazeta/dias/1814/02/24/pdfs/GRE-1814-26.pdf#page=6","Abrir facsímil")</f>
        <v>Abrir facsímil</v>
      </c>
      <c r="K1088" s="3" t="s">
        <v>64</v>
      </c>
    </row>
    <row r="1089" spans="1:11" ht="42" customHeight="1">
      <c r="A1089" s="2" t="s">
        <v>2739</v>
      </c>
      <c r="B1089" s="2" t="s">
        <v>2739</v>
      </c>
      <c r="C1089" s="2" t="s">
        <v>17</v>
      </c>
      <c r="D1089" s="2" t="s">
        <v>18</v>
      </c>
      <c r="E1089" s="5">
        <v>-31119</v>
      </c>
      <c r="F1089" s="3" t="s">
        <v>136</v>
      </c>
      <c r="G1089" s="3" t="s">
        <v>137</v>
      </c>
      <c r="H1089" s="2" t="s">
        <v>62</v>
      </c>
      <c r="I1089" s="2" t="s">
        <v>2742</v>
      </c>
      <c r="J1089" s="3" t="str">
        <f>HYPERLINK("https://www.boe.es/gazeta/dias/1814/10/18/pdfs/GMD-1814-140.pdf#page=9","Abrir facsímil")</f>
        <v>Abrir facsímil</v>
      </c>
      <c r="K1089" s="3" t="s">
        <v>64</v>
      </c>
    </row>
    <row r="1090" spans="1:11" ht="42" customHeight="1">
      <c r="A1090" s="2" t="s">
        <v>2739</v>
      </c>
      <c r="B1090" s="2" t="s">
        <v>2739</v>
      </c>
      <c r="C1090" s="2" t="s">
        <v>26</v>
      </c>
      <c r="D1090" s="2" t="s">
        <v>27</v>
      </c>
      <c r="E1090" s="5">
        <v>-31061</v>
      </c>
      <c r="F1090" s="3" t="s">
        <v>329</v>
      </c>
      <c r="G1090" s="3" t="s">
        <v>873</v>
      </c>
      <c r="H1090" s="2" t="s">
        <v>62</v>
      </c>
      <c r="I1090" s="2" t="s">
        <v>2743</v>
      </c>
      <c r="J1090" s="3" t="str">
        <f>HYPERLINK("https://www.boe.es/gazeta/dias/1814/12/15/pdfs/GMD-1814-165.pdf#page=6","Abrir facsímil")</f>
        <v>Abrir facsímil</v>
      </c>
      <c r="K1090" s="3" t="s">
        <v>64</v>
      </c>
    </row>
    <row r="1091" spans="1:11" ht="42" customHeight="1">
      <c r="A1091" s="2" t="s">
        <v>2744</v>
      </c>
      <c r="B1091" s="2" t="s">
        <v>2745</v>
      </c>
      <c r="C1091" s="2" t="s">
        <v>17</v>
      </c>
      <c r="D1091" s="2" t="s">
        <v>18</v>
      </c>
      <c r="E1091" s="5">
        <v>-31110</v>
      </c>
      <c r="F1091" s="3" t="s">
        <v>149</v>
      </c>
      <c r="G1091" s="3" t="s">
        <v>82</v>
      </c>
      <c r="H1091" s="2" t="s">
        <v>21</v>
      </c>
      <c r="I1091" s="2" t="s">
        <v>2746</v>
      </c>
      <c r="J1091" s="3" t="str">
        <f>HYPERLINK("https://www.boe.es/gazeta/dias/1814/10/27/pdfs/GMD-1814-144.pdf#page=3","Abrir facsímil")</f>
        <v>Abrir facsímil</v>
      </c>
      <c r="K1091" s="3" t="s">
        <v>23</v>
      </c>
    </row>
    <row r="1092" spans="1:11" ht="42" customHeight="1">
      <c r="A1092" s="2" t="s">
        <v>2747</v>
      </c>
      <c r="B1092" s="2" t="s">
        <v>2748</v>
      </c>
      <c r="C1092" s="2" t="s">
        <v>38</v>
      </c>
      <c r="D1092" s="2" t="s">
        <v>39</v>
      </c>
      <c r="E1092" s="5">
        <v>-31124</v>
      </c>
      <c r="F1092" s="3" t="s">
        <v>383</v>
      </c>
      <c r="G1092" s="3" t="s">
        <v>574</v>
      </c>
      <c r="H1092" s="2" t="s">
        <v>62</v>
      </c>
      <c r="I1092" s="2" t="s">
        <v>2749</v>
      </c>
      <c r="J1092" s="3" t="str">
        <f>HYPERLINK("https://www.boe.es/gazeta/dias/1814/10/13/pdfs/GMD-1814-138.pdf#page=10","Abrir facsímil")</f>
        <v>Abrir facsímil</v>
      </c>
      <c r="K1092" s="3" t="s">
        <v>64</v>
      </c>
    </row>
    <row r="1093" spans="1:11" ht="42" customHeight="1">
      <c r="A1093" s="2" t="s">
        <v>2750</v>
      </c>
      <c r="B1093" s="2" t="s">
        <v>2751</v>
      </c>
      <c r="C1093" s="2" t="s">
        <v>38</v>
      </c>
      <c r="D1093" s="2" t="s">
        <v>39</v>
      </c>
      <c r="E1093" s="5">
        <v>-31224</v>
      </c>
      <c r="F1093" s="3" t="s">
        <v>609</v>
      </c>
      <c r="G1093" s="3" t="s">
        <v>99</v>
      </c>
      <c r="H1093" s="2" t="s">
        <v>62</v>
      </c>
      <c r="I1093" s="2" t="s">
        <v>2752</v>
      </c>
      <c r="J1093" s="3" t="str">
        <f>HYPERLINK("https://www.boe.es/gazeta/dias/1814/07/05/pdfs/GMD-1814-94.pdf#page=5","Abrir facsímil")</f>
        <v>Abrir facsímil</v>
      </c>
      <c r="K1093" s="3" t="s">
        <v>64</v>
      </c>
    </row>
    <row r="1094" spans="1:11" ht="42" customHeight="1">
      <c r="A1094" s="2" t="s">
        <v>2753</v>
      </c>
      <c r="B1094" s="2" t="s">
        <v>2754</v>
      </c>
      <c r="C1094" s="2" t="s">
        <v>38</v>
      </c>
      <c r="D1094" s="2" t="s">
        <v>39</v>
      </c>
      <c r="E1094" s="5">
        <v>-31329</v>
      </c>
      <c r="F1094" s="3" t="s">
        <v>621</v>
      </c>
      <c r="G1094" s="3" t="s">
        <v>2755</v>
      </c>
      <c r="H1094" s="2" t="s">
        <v>62</v>
      </c>
      <c r="I1094" s="2" t="s">
        <v>2756</v>
      </c>
      <c r="J1094" s="3" t="str">
        <f>HYPERLINK("https://www.boe.es/gazeta/dias/1814/03/22/pdfs/GRE-1814-39.pdf#page=8","Abrir facsímil")</f>
        <v>Abrir facsímil</v>
      </c>
      <c r="K1094" s="3" t="s">
        <v>64</v>
      </c>
    </row>
    <row r="1095" spans="1:11" ht="42" customHeight="1">
      <c r="A1095" s="2" t="s">
        <v>2757</v>
      </c>
      <c r="B1095" s="2" t="s">
        <v>2758</v>
      </c>
      <c r="C1095" s="2" t="s">
        <v>26</v>
      </c>
      <c r="D1095" s="2" t="s">
        <v>27</v>
      </c>
      <c r="E1095" s="5">
        <v>-31056</v>
      </c>
      <c r="F1095" s="3" t="s">
        <v>540</v>
      </c>
      <c r="G1095" s="3" t="s">
        <v>41</v>
      </c>
      <c r="H1095" s="2" t="s">
        <v>62</v>
      </c>
      <c r="I1095" s="2" t="s">
        <v>2759</v>
      </c>
      <c r="J1095" s="3" t="str">
        <f>HYPERLINK("https://www.boe.es/gazeta/dias/1814/12/20/pdfs/GMD-1814-168.pdf#page=4","Abrir facsímil")</f>
        <v>Abrir facsímil</v>
      </c>
      <c r="K1095" s="3" t="s">
        <v>64</v>
      </c>
    </row>
    <row r="1096" spans="1:11" ht="42" customHeight="1">
      <c r="A1096" s="2" t="s">
        <v>2760</v>
      </c>
      <c r="B1096" s="2" t="s">
        <v>2761</v>
      </c>
      <c r="C1096" s="2" t="s">
        <v>38</v>
      </c>
      <c r="D1096" s="2" t="s">
        <v>39</v>
      </c>
      <c r="E1096" s="5">
        <v>-31194</v>
      </c>
      <c r="F1096" s="3" t="s">
        <v>333</v>
      </c>
      <c r="G1096" s="3" t="s">
        <v>57</v>
      </c>
      <c r="H1096" s="2" t="s">
        <v>62</v>
      </c>
      <c r="I1096" s="2" t="s">
        <v>2762</v>
      </c>
      <c r="J1096" s="3" t="str">
        <f>HYPERLINK("https://www.boe.es/gazeta/dias/1814/08/04/pdfs/GMD-1814-107.pdf#page=6","Abrir facsímil")</f>
        <v>Abrir facsímil</v>
      </c>
      <c r="K1096" s="3" t="s">
        <v>64</v>
      </c>
    </row>
    <row r="1097" spans="1:11" ht="42" customHeight="1">
      <c r="A1097" s="2" t="s">
        <v>2763</v>
      </c>
      <c r="B1097" s="2" t="s">
        <v>2764</v>
      </c>
      <c r="C1097" s="2" t="s">
        <v>38</v>
      </c>
      <c r="D1097" s="2" t="s">
        <v>39</v>
      </c>
      <c r="E1097" s="5">
        <v>-31173</v>
      </c>
      <c r="F1097" s="3" t="s">
        <v>46</v>
      </c>
      <c r="G1097" s="3" t="s">
        <v>1862</v>
      </c>
      <c r="H1097" s="2" t="s">
        <v>62</v>
      </c>
      <c r="I1097" s="2" t="s">
        <v>2765</v>
      </c>
      <c r="J1097" s="3" t="str">
        <f>HYPERLINK("https://www.boe.es/gazeta/dias/1814/08/25/pdfs/GMD-1814-116.pdf#page=4","Abrir facsímil")</f>
        <v>Abrir facsímil</v>
      </c>
      <c r="K1097" s="3" t="s">
        <v>64</v>
      </c>
    </row>
    <row r="1098" spans="1:11" ht="42" customHeight="1">
      <c r="A1098" s="2" t="s">
        <v>2766</v>
      </c>
      <c r="B1098" s="2" t="s">
        <v>2766</v>
      </c>
      <c r="C1098" s="2" t="s">
        <v>26</v>
      </c>
      <c r="D1098" s="2" t="s">
        <v>27</v>
      </c>
      <c r="E1098" s="5">
        <v>-31052</v>
      </c>
      <c r="F1098" s="3" t="s">
        <v>1407</v>
      </c>
      <c r="G1098" s="3" t="s">
        <v>57</v>
      </c>
      <c r="H1098" s="2" t="s">
        <v>62</v>
      </c>
      <c r="I1098" s="2" t="s">
        <v>2767</v>
      </c>
      <c r="J1098" s="3" t="str">
        <f>HYPERLINK("https://www.boe.es/gazeta/dias/1814/12/24/pdfs/GMD-1814-170.pdf#page=6","Abrir facsímil")</f>
        <v>Abrir facsímil</v>
      </c>
      <c r="K1098" s="3" t="s">
        <v>64</v>
      </c>
    </row>
    <row r="1099" spans="1:11" ht="42" customHeight="1">
      <c r="A1099" s="2" t="s">
        <v>2768</v>
      </c>
      <c r="B1099" s="2" t="s">
        <v>2768</v>
      </c>
      <c r="C1099" s="2" t="s">
        <v>38</v>
      </c>
      <c r="D1099" s="2" t="s">
        <v>39</v>
      </c>
      <c r="E1099" s="5">
        <v>-31301</v>
      </c>
      <c r="F1099" s="3" t="s">
        <v>81</v>
      </c>
      <c r="G1099" s="3" t="s">
        <v>107</v>
      </c>
      <c r="H1099" s="2" t="s">
        <v>62</v>
      </c>
      <c r="I1099" s="2" t="s">
        <v>2769</v>
      </c>
      <c r="J1099" s="3" t="str">
        <f>HYPERLINK("https://www.boe.es/gazeta/dias/1814/04/19/pdfs/GRE-1814-56.pdf#page=1","Abrir facsímil")</f>
        <v>Abrir facsímil</v>
      </c>
      <c r="K1099" s="3" t="s">
        <v>64</v>
      </c>
    </row>
    <row r="1100" spans="1:11" ht="42" customHeight="1">
      <c r="A1100" s="2" t="s">
        <v>2770</v>
      </c>
      <c r="B1100" s="2" t="s">
        <v>2770</v>
      </c>
      <c r="C1100" s="2" t="s">
        <v>38</v>
      </c>
      <c r="D1100" s="2" t="s">
        <v>39</v>
      </c>
      <c r="E1100" s="5">
        <v>-31301</v>
      </c>
      <c r="F1100" s="3" t="s">
        <v>81</v>
      </c>
      <c r="G1100" s="3" t="s">
        <v>87</v>
      </c>
      <c r="H1100" s="2" t="s">
        <v>62</v>
      </c>
      <c r="I1100" s="2" t="s">
        <v>2771</v>
      </c>
      <c r="J1100" s="3" t="str">
        <f>HYPERLINK("https://www.boe.es/gazeta/dias/1814/04/19/pdfs/GRE-1814-56.pdf#page=2","Abrir facsímil")</f>
        <v>Abrir facsímil</v>
      </c>
      <c r="K1100" s="3" t="s">
        <v>64</v>
      </c>
    </row>
    <row r="1101" spans="1:11" ht="42" customHeight="1">
      <c r="A1101" s="2" t="s">
        <v>2770</v>
      </c>
      <c r="B1101" s="2" t="s">
        <v>2770</v>
      </c>
      <c r="C1101" s="2" t="s">
        <v>38</v>
      </c>
      <c r="D1101" s="2" t="s">
        <v>39</v>
      </c>
      <c r="E1101" s="5">
        <v>-31301</v>
      </c>
      <c r="F1101" s="3" t="s">
        <v>81</v>
      </c>
      <c r="G1101" s="3" t="s">
        <v>82</v>
      </c>
      <c r="H1101" s="2" t="s">
        <v>62</v>
      </c>
      <c r="I1101" s="2" t="s">
        <v>2772</v>
      </c>
      <c r="J1101" s="3" t="str">
        <f>HYPERLINK("https://www.boe.es/gazeta/dias/1814/04/19/pdfs/GRE-1814-56.pdf#page=3","Abrir facsímil")</f>
        <v>Abrir facsímil</v>
      </c>
      <c r="K1101" s="3" t="s">
        <v>64</v>
      </c>
    </row>
    <row r="1102" spans="1:11" ht="42" customHeight="1">
      <c r="A1102" s="2" t="s">
        <v>2770</v>
      </c>
      <c r="B1102" s="2" t="s">
        <v>2770</v>
      </c>
      <c r="C1102" s="2" t="s">
        <v>38</v>
      </c>
      <c r="D1102" s="2" t="s">
        <v>39</v>
      </c>
      <c r="E1102" s="5">
        <v>-31301</v>
      </c>
      <c r="F1102" s="3" t="s">
        <v>81</v>
      </c>
      <c r="G1102" s="3" t="s">
        <v>41</v>
      </c>
      <c r="H1102" s="2" t="s">
        <v>62</v>
      </c>
      <c r="I1102" s="2" t="s">
        <v>2773</v>
      </c>
      <c r="J1102" s="3" t="str">
        <f>HYPERLINK("https://www.boe.es/gazeta/dias/1814/04/19/pdfs/GRE-1814-56.pdf#page=4","Abrir facsímil")</f>
        <v>Abrir facsímil</v>
      </c>
      <c r="K1102" s="3" t="s">
        <v>64</v>
      </c>
    </row>
    <row r="1103" spans="1:11" ht="42" customHeight="1">
      <c r="A1103" s="2" t="s">
        <v>2774</v>
      </c>
      <c r="B1103" s="2" t="s">
        <v>2775</v>
      </c>
      <c r="C1103" s="2" t="s">
        <v>38</v>
      </c>
      <c r="D1103" s="2" t="s">
        <v>39</v>
      </c>
      <c r="E1103" s="5">
        <v>-31301</v>
      </c>
      <c r="F1103" s="3" t="s">
        <v>81</v>
      </c>
      <c r="G1103" s="3" t="s">
        <v>87</v>
      </c>
      <c r="H1103" s="2" t="s">
        <v>62</v>
      </c>
      <c r="I1103" s="2" t="s">
        <v>2776</v>
      </c>
      <c r="J1103" s="3" t="str">
        <f>HYPERLINK("https://www.boe.es/gazeta/dias/1814/04/19/pdfs/GRE-1814-56.pdf#page=2","Abrir facsímil")</f>
        <v>Abrir facsímil</v>
      </c>
      <c r="K1103" s="3" t="s">
        <v>64</v>
      </c>
    </row>
    <row r="1104" spans="1:11" ht="42" customHeight="1">
      <c r="A1104" s="2" t="s">
        <v>2777</v>
      </c>
      <c r="B1104" s="2" t="s">
        <v>2777</v>
      </c>
      <c r="C1104" s="2" t="s">
        <v>38</v>
      </c>
      <c r="D1104" s="2" t="s">
        <v>39</v>
      </c>
      <c r="E1104" s="5">
        <v>-31376</v>
      </c>
      <c r="F1104" s="3" t="s">
        <v>1954</v>
      </c>
      <c r="G1104" s="3" t="s">
        <v>2778</v>
      </c>
      <c r="H1104" s="2" t="s">
        <v>62</v>
      </c>
      <c r="I1104" s="2" t="s">
        <v>2779</v>
      </c>
      <c r="J1104" s="3" t="str">
        <f>HYPERLINK("https://www.boe.es/gazeta/dias/1814/02/03/pdfs/GRE-1814-16.pdf#page=7","Abrir facsímil")</f>
        <v>Abrir facsímil</v>
      </c>
      <c r="K1104" s="3" t="s">
        <v>64</v>
      </c>
    </row>
    <row r="1105" spans="1:11" ht="42" customHeight="1">
      <c r="A1105" s="2" t="s">
        <v>2777</v>
      </c>
      <c r="B1105" s="2" t="s">
        <v>2777</v>
      </c>
      <c r="C1105" s="2" t="s">
        <v>38</v>
      </c>
      <c r="D1105" s="2" t="s">
        <v>314</v>
      </c>
      <c r="E1105" s="5">
        <v>-31317</v>
      </c>
      <c r="F1105" s="3" t="s">
        <v>2780</v>
      </c>
      <c r="G1105" s="3" t="s">
        <v>87</v>
      </c>
      <c r="H1105" s="2" t="s">
        <v>62</v>
      </c>
      <c r="I1105" s="2" t="s">
        <v>2781</v>
      </c>
      <c r="J1105" s="3" t="str">
        <f>HYPERLINK("https://www.boe.es/gazeta/dias/1814/04/03/pdfs/GRE-1814-48E.pdf#page=2","Abrir facsímil")</f>
        <v>Abrir facsímil</v>
      </c>
      <c r="K1105" s="3" t="s">
        <v>64</v>
      </c>
    </row>
    <row r="1106" spans="1:11" ht="42" customHeight="1">
      <c r="A1106" s="2" t="s">
        <v>2782</v>
      </c>
      <c r="B1106" s="2" t="s">
        <v>2782</v>
      </c>
      <c r="C1106" s="2" t="s">
        <v>38</v>
      </c>
      <c r="D1106" s="2" t="s">
        <v>39</v>
      </c>
      <c r="E1106" s="5">
        <v>-31306</v>
      </c>
      <c r="F1106" s="3" t="s">
        <v>670</v>
      </c>
      <c r="G1106" s="3" t="s">
        <v>99</v>
      </c>
      <c r="H1106" s="2" t="s">
        <v>62</v>
      </c>
      <c r="I1106" s="2" t="s">
        <v>2783</v>
      </c>
      <c r="J1106" s="3" t="str">
        <f>HYPERLINK("https://www.boe.es/gazeta/dias/1814/04/14/pdfs/GRE-1814-53.pdf#page=5","Abrir facsímil")</f>
        <v>Abrir facsímil</v>
      </c>
      <c r="K1106" s="3" t="s">
        <v>64</v>
      </c>
    </row>
    <row r="1107" spans="1:11" ht="42" customHeight="1">
      <c r="A1107" s="2" t="s">
        <v>2777</v>
      </c>
      <c r="B1107" s="2" t="s">
        <v>2777</v>
      </c>
      <c r="C1107" s="2" t="s">
        <v>38</v>
      </c>
      <c r="D1107" s="2" t="s">
        <v>39</v>
      </c>
      <c r="E1107" s="5">
        <v>-31304</v>
      </c>
      <c r="F1107" s="3" t="s">
        <v>1964</v>
      </c>
      <c r="G1107" s="3" t="s">
        <v>41</v>
      </c>
      <c r="H1107" s="2" t="s">
        <v>62</v>
      </c>
      <c r="I1107" s="2" t="s">
        <v>2784</v>
      </c>
      <c r="J1107" s="3" t="str">
        <f>HYPERLINK("https://www.boe.es/gazeta/dias/1814/04/16/pdfs/GRE-1814-55.pdf#page=4","Abrir facsímil")</f>
        <v>Abrir facsímil</v>
      </c>
      <c r="K1107" s="3" t="s">
        <v>64</v>
      </c>
    </row>
    <row r="1108" spans="1:11" ht="42" customHeight="1">
      <c r="A1108" s="2" t="s">
        <v>2777</v>
      </c>
      <c r="B1108" s="2" t="s">
        <v>2777</v>
      </c>
      <c r="C1108" s="2" t="s">
        <v>38</v>
      </c>
      <c r="D1108" s="2" t="s">
        <v>39</v>
      </c>
      <c r="E1108" s="5">
        <v>-31299</v>
      </c>
      <c r="F1108" s="3" t="s">
        <v>71</v>
      </c>
      <c r="G1108" s="3" t="s">
        <v>99</v>
      </c>
      <c r="H1108" s="2" t="s">
        <v>62</v>
      </c>
      <c r="I1108" s="2" t="s">
        <v>2785</v>
      </c>
      <c r="J1108" s="3" t="str">
        <f>HYPERLINK("https://www.boe.es/gazeta/dias/1814/04/21/pdfs/GRE-1814-57.pdf#page=5","Abrir facsímil")</f>
        <v>Abrir facsímil</v>
      </c>
      <c r="K1108" s="3" t="s">
        <v>64</v>
      </c>
    </row>
    <row r="1109" spans="1:11" ht="42" customHeight="1">
      <c r="A1109" s="2" t="s">
        <v>2777</v>
      </c>
      <c r="B1109" s="2" t="s">
        <v>2777</v>
      </c>
      <c r="C1109" s="2" t="s">
        <v>17</v>
      </c>
      <c r="D1109" s="2" t="s">
        <v>18</v>
      </c>
      <c r="E1109" s="5">
        <v>-31297</v>
      </c>
      <c r="F1109" s="3" t="s">
        <v>737</v>
      </c>
      <c r="G1109" s="3" t="s">
        <v>52</v>
      </c>
      <c r="H1109" s="2" t="s">
        <v>62</v>
      </c>
      <c r="I1109" s="2" t="s">
        <v>2786</v>
      </c>
      <c r="J1109" s="3" t="str">
        <f>HYPERLINK("https://www.boe.es/gazeta/dias/1814/04/23/pdfs/GRE-1814-59.pdf#page=8","Abrir facsímil")</f>
        <v>Abrir facsímil</v>
      </c>
      <c r="K1109" s="3" t="s">
        <v>64</v>
      </c>
    </row>
    <row r="1110" spans="1:11" ht="42" customHeight="1">
      <c r="A1110" s="2" t="s">
        <v>2777</v>
      </c>
      <c r="B1110" s="2" t="s">
        <v>2777</v>
      </c>
      <c r="C1110" s="2" t="s">
        <v>38</v>
      </c>
      <c r="D1110" s="2" t="s">
        <v>39</v>
      </c>
      <c r="E1110" s="5">
        <v>-31287</v>
      </c>
      <c r="F1110" s="3" t="s">
        <v>491</v>
      </c>
      <c r="G1110" s="3" t="s">
        <v>20</v>
      </c>
      <c r="H1110" s="2" t="s">
        <v>62</v>
      </c>
      <c r="I1110" s="2" t="s">
        <v>2787</v>
      </c>
      <c r="J1110" s="3" t="str">
        <f>HYPERLINK("https://www.boe.es/gazeta/dias/1814/05/03/pdfs/GRE-1814-65.pdf#page=7","Abrir facsímil")</f>
        <v>Abrir facsímil</v>
      </c>
      <c r="K1110" s="3" t="s">
        <v>64</v>
      </c>
    </row>
    <row r="1111" spans="1:11" ht="42" customHeight="1">
      <c r="A1111" s="2" t="s">
        <v>2777</v>
      </c>
      <c r="B1111" s="2" t="s">
        <v>2777</v>
      </c>
      <c r="C1111" s="2" t="s">
        <v>38</v>
      </c>
      <c r="D1111" s="2" t="s">
        <v>39</v>
      </c>
      <c r="E1111" s="5">
        <v>-31248</v>
      </c>
      <c r="F1111" s="3" t="s">
        <v>1123</v>
      </c>
      <c r="G1111" s="3" t="s">
        <v>2411</v>
      </c>
      <c r="H1111" s="2" t="s">
        <v>62</v>
      </c>
      <c r="I1111" s="2" t="s">
        <v>2788</v>
      </c>
      <c r="J1111" s="3" t="str">
        <f>HYPERLINK("https://www.boe.es/gazeta/dias/1814/06/11/pdfs/GMD-1814-84.pdf#page=6","Abrir facsímil")</f>
        <v>Abrir facsímil</v>
      </c>
      <c r="K1111" s="3" t="s">
        <v>64</v>
      </c>
    </row>
    <row r="1112" spans="1:11" ht="42" customHeight="1">
      <c r="A1112" s="2" t="s">
        <v>2782</v>
      </c>
      <c r="B1112" s="2" t="s">
        <v>2782</v>
      </c>
      <c r="C1112" s="2" t="s">
        <v>17</v>
      </c>
      <c r="D1112" s="2" t="s">
        <v>18</v>
      </c>
      <c r="E1112" s="5">
        <v>-31241</v>
      </c>
      <c r="F1112" s="3" t="s">
        <v>703</v>
      </c>
      <c r="G1112" s="3" t="s">
        <v>704</v>
      </c>
      <c r="H1112" s="2" t="s">
        <v>62</v>
      </c>
      <c r="I1112" s="2" t="s">
        <v>2789</v>
      </c>
      <c r="J1112" s="3" t="str">
        <f>HYPERLINK("https://www.boe.es/gazeta/dias/1814/06/18/pdfs/GMD-1814-87.pdf#page=10","Abrir facsímil")</f>
        <v>Abrir facsímil</v>
      </c>
      <c r="K1112" s="3" t="s">
        <v>64</v>
      </c>
    </row>
    <row r="1113" spans="1:11" ht="42" customHeight="1">
      <c r="A1113" s="2" t="s">
        <v>2790</v>
      </c>
      <c r="B1113" s="2" t="s">
        <v>2790</v>
      </c>
      <c r="C1113" s="2" t="s">
        <v>105</v>
      </c>
      <c r="D1113" s="2" t="s">
        <v>18</v>
      </c>
      <c r="E1113" s="5">
        <v>-31241</v>
      </c>
      <c r="F1113" s="3" t="s">
        <v>703</v>
      </c>
      <c r="G1113" s="3" t="s">
        <v>384</v>
      </c>
      <c r="H1113" s="2" t="s">
        <v>62</v>
      </c>
      <c r="I1113" s="2" t="s">
        <v>2791</v>
      </c>
      <c r="J1113" s="3" t="str">
        <f>HYPERLINK("https://www.boe.es/gazeta/dias/1814/06/18/pdfs/GMD-1814-87.pdf#page=11","Abrir facsímil")</f>
        <v>Abrir facsímil</v>
      </c>
      <c r="K1113" s="3" t="s">
        <v>64</v>
      </c>
    </row>
    <row r="1114" spans="1:11" ht="42" customHeight="1">
      <c r="A1114" s="2" t="s">
        <v>2777</v>
      </c>
      <c r="B1114" s="2" t="s">
        <v>2777</v>
      </c>
      <c r="C1114" s="2" t="s">
        <v>38</v>
      </c>
      <c r="D1114" s="2" t="s">
        <v>39</v>
      </c>
      <c r="E1114" s="5">
        <v>-31238</v>
      </c>
      <c r="F1114" s="3" t="s">
        <v>127</v>
      </c>
      <c r="G1114" s="3" t="s">
        <v>704</v>
      </c>
      <c r="H1114" s="2" t="s">
        <v>62</v>
      </c>
      <c r="I1114" s="2" t="s">
        <v>2792</v>
      </c>
      <c r="J1114" s="3" t="str">
        <f>HYPERLINK("https://www.boe.es/gazeta/dias/1814/06/21/pdfs/GMD-1814-88.pdf#page=10","Abrir facsímil")</f>
        <v>Abrir facsímil</v>
      </c>
      <c r="K1114" s="3" t="s">
        <v>64</v>
      </c>
    </row>
    <row r="1115" spans="1:11" ht="42" customHeight="1">
      <c r="A1115" s="2" t="s">
        <v>2777</v>
      </c>
      <c r="B1115" s="2" t="s">
        <v>2777</v>
      </c>
      <c r="C1115" s="2" t="s">
        <v>38</v>
      </c>
      <c r="D1115" s="2" t="s">
        <v>39</v>
      </c>
      <c r="E1115" s="5">
        <v>-31236</v>
      </c>
      <c r="F1115" s="3" t="s">
        <v>33</v>
      </c>
      <c r="G1115" s="3" t="s">
        <v>20</v>
      </c>
      <c r="H1115" s="2" t="s">
        <v>62</v>
      </c>
      <c r="I1115" s="2" t="s">
        <v>2793</v>
      </c>
      <c r="J1115" s="3" t="str">
        <f>HYPERLINK("https://www.boe.es/gazeta/dias/1814/06/23/pdfs/GMD-1814-89.pdf#page=7","Abrir facsímil")</f>
        <v>Abrir facsímil</v>
      </c>
      <c r="K1115" s="3" t="s">
        <v>64</v>
      </c>
    </row>
    <row r="1116" spans="1:11" ht="42" customHeight="1">
      <c r="A1116" s="2" t="s">
        <v>2782</v>
      </c>
      <c r="B1116" s="2" t="s">
        <v>2782</v>
      </c>
      <c r="C1116" s="2" t="s">
        <v>32</v>
      </c>
      <c r="D1116" s="2" t="s">
        <v>18</v>
      </c>
      <c r="E1116" s="5">
        <v>-31220</v>
      </c>
      <c r="F1116" s="3" t="s">
        <v>122</v>
      </c>
      <c r="G1116" s="3" t="s">
        <v>20</v>
      </c>
      <c r="H1116" s="2" t="s">
        <v>62</v>
      </c>
      <c r="I1116" s="2" t="s">
        <v>2794</v>
      </c>
      <c r="J1116" s="3" t="str">
        <f>HYPERLINK("https://www.boe.es/gazeta/dias/1814/07/09/pdfs/GMD-1814-96.pdf#page=7","Abrir facsímil")</f>
        <v>Abrir facsímil</v>
      </c>
      <c r="K1116" s="3" t="s">
        <v>64</v>
      </c>
    </row>
    <row r="1117" spans="1:11" ht="42" customHeight="1">
      <c r="A1117" s="2" t="s">
        <v>2782</v>
      </c>
      <c r="B1117" s="2" t="s">
        <v>2782</v>
      </c>
      <c r="C1117" s="2" t="s">
        <v>38</v>
      </c>
      <c r="D1117" s="2" t="s">
        <v>39</v>
      </c>
      <c r="E1117" s="5">
        <v>-31208</v>
      </c>
      <c r="F1117" s="3" t="s">
        <v>509</v>
      </c>
      <c r="G1117" s="3" t="s">
        <v>20</v>
      </c>
      <c r="H1117" s="2" t="s">
        <v>62</v>
      </c>
      <c r="I1117" s="2" t="s">
        <v>2795</v>
      </c>
      <c r="J1117" s="3" t="str">
        <f>HYPERLINK("https://www.boe.es/gazeta/dias/1814/07/21/pdfs/GMD-1814-101.pdf#page=7","Abrir facsímil")</f>
        <v>Abrir facsímil</v>
      </c>
      <c r="K1117" s="3" t="s">
        <v>64</v>
      </c>
    </row>
    <row r="1118" spans="1:11" ht="42" customHeight="1">
      <c r="A1118" s="2" t="s">
        <v>2777</v>
      </c>
      <c r="B1118" s="2" t="s">
        <v>2777</v>
      </c>
      <c r="C1118" s="2" t="s">
        <v>17</v>
      </c>
      <c r="D1118" s="2" t="s">
        <v>18</v>
      </c>
      <c r="E1118" s="5">
        <v>-31168</v>
      </c>
      <c r="F1118" s="3" t="s">
        <v>893</v>
      </c>
      <c r="G1118" s="3" t="s">
        <v>2796</v>
      </c>
      <c r="H1118" s="2" t="s">
        <v>62</v>
      </c>
      <c r="I1118" s="2" t="s">
        <v>2797</v>
      </c>
      <c r="J1118" s="3" t="str">
        <f>HYPERLINK("https://www.boe.es/gazeta/dias/1814/08/30/pdfs/GMD-1814-118.pdf#page=4","Abrir facsímil")</f>
        <v>Abrir facsímil</v>
      </c>
      <c r="K1118" s="3" t="s">
        <v>64</v>
      </c>
    </row>
    <row r="1119" spans="1:11" ht="42" customHeight="1">
      <c r="A1119" s="2" t="s">
        <v>2777</v>
      </c>
      <c r="B1119" s="2" t="s">
        <v>2777</v>
      </c>
      <c r="C1119" s="2" t="s">
        <v>17</v>
      </c>
      <c r="D1119" s="2" t="s">
        <v>18</v>
      </c>
      <c r="E1119" s="5">
        <v>-31168</v>
      </c>
      <c r="F1119" s="3" t="s">
        <v>893</v>
      </c>
      <c r="G1119" s="3" t="s">
        <v>1981</v>
      </c>
      <c r="H1119" s="2" t="s">
        <v>62</v>
      </c>
      <c r="I1119" s="2" t="s">
        <v>2798</v>
      </c>
      <c r="J1119" s="3" t="str">
        <f>HYPERLINK("https://www.boe.es/gazeta/dias/1814/08/30/pdfs/GMD-1814-118.pdf#page=8","Abrir facsímil")</f>
        <v>Abrir facsímil</v>
      </c>
      <c r="K1119" s="3" t="s">
        <v>64</v>
      </c>
    </row>
    <row r="1120" spans="1:11" ht="42" customHeight="1">
      <c r="A1120" s="2" t="s">
        <v>2777</v>
      </c>
      <c r="B1120" s="2" t="s">
        <v>2777</v>
      </c>
      <c r="C1120" s="2" t="s">
        <v>38</v>
      </c>
      <c r="D1120" s="2" t="s">
        <v>39</v>
      </c>
      <c r="E1120" s="5">
        <v>-31166</v>
      </c>
      <c r="F1120" s="3" t="s">
        <v>2799</v>
      </c>
      <c r="G1120" s="3" t="s">
        <v>2800</v>
      </c>
      <c r="H1120" s="2" t="s">
        <v>62</v>
      </c>
      <c r="I1120" s="2" t="s">
        <v>2801</v>
      </c>
      <c r="J1120" s="3" t="str">
        <f>HYPERLINK("https://www.boe.es/gazeta/dias/1814/09/01/pdfs/GMD-1814-119.pdf#page=3","Abrir facsímil")</f>
        <v>Abrir facsímil</v>
      </c>
      <c r="K1120" s="3" t="s">
        <v>64</v>
      </c>
    </row>
    <row r="1121" spans="1:11" ht="42" customHeight="1">
      <c r="A1121" s="2" t="s">
        <v>2777</v>
      </c>
      <c r="B1121" s="2" t="s">
        <v>2777</v>
      </c>
      <c r="C1121" s="2" t="s">
        <v>26</v>
      </c>
      <c r="D1121" s="2" t="s">
        <v>27</v>
      </c>
      <c r="E1121" s="5">
        <v>-31161</v>
      </c>
      <c r="F1121" s="3" t="s">
        <v>407</v>
      </c>
      <c r="G1121" s="3" t="s">
        <v>2802</v>
      </c>
      <c r="H1121" s="2" t="s">
        <v>62</v>
      </c>
      <c r="I1121" s="2" t="s">
        <v>2803</v>
      </c>
      <c r="J1121" s="3" t="str">
        <f>HYPERLINK("https://www.boe.es/gazeta/dias/1814/09/06/pdfs/GMD-1814-122.pdf#page=5","Abrir facsímil")</f>
        <v>Abrir facsímil</v>
      </c>
      <c r="K1121" s="3" t="s">
        <v>64</v>
      </c>
    </row>
    <row r="1122" spans="1:11" ht="42" customHeight="1">
      <c r="A1122" s="2" t="s">
        <v>2777</v>
      </c>
      <c r="B1122" s="2" t="s">
        <v>2777</v>
      </c>
      <c r="C1122" s="2" t="s">
        <v>17</v>
      </c>
      <c r="D1122" s="2" t="s">
        <v>18</v>
      </c>
      <c r="E1122" s="5">
        <v>-31154</v>
      </c>
      <c r="F1122" s="3" t="s">
        <v>688</v>
      </c>
      <c r="G1122" s="3" t="s">
        <v>87</v>
      </c>
      <c r="H1122" s="2" t="s">
        <v>62</v>
      </c>
      <c r="I1122" s="2" t="s">
        <v>2804</v>
      </c>
      <c r="J1122" s="3" t="str">
        <f>HYPERLINK("https://www.boe.es/gazeta/dias/1814/09/13/pdfs/GMD-1814-125.pdf#page=2","Abrir facsímil")</f>
        <v>Abrir facsímil</v>
      </c>
      <c r="K1122" s="3" t="s">
        <v>64</v>
      </c>
    </row>
    <row r="1123" spans="1:11" ht="42" customHeight="1">
      <c r="A1123" s="2" t="s">
        <v>2777</v>
      </c>
      <c r="B1123" s="2" t="s">
        <v>2777</v>
      </c>
      <c r="C1123" s="2" t="s">
        <v>309</v>
      </c>
      <c r="D1123" s="2" t="s">
        <v>18</v>
      </c>
      <c r="E1123" s="5">
        <v>-31154</v>
      </c>
      <c r="F1123" s="3" t="s">
        <v>688</v>
      </c>
      <c r="G1123" s="3" t="s">
        <v>41</v>
      </c>
      <c r="H1123" s="2" t="s">
        <v>62</v>
      </c>
      <c r="I1123" s="2" t="s">
        <v>2805</v>
      </c>
      <c r="J1123" s="3" t="str">
        <f>HYPERLINK("https://www.boe.es/gazeta/dias/1814/09/13/pdfs/GMD-1814-125.pdf#page=4","Abrir facsímil")</f>
        <v>Abrir facsímil</v>
      </c>
      <c r="K1123" s="3" t="s">
        <v>64</v>
      </c>
    </row>
    <row r="1124" spans="1:11" ht="42" customHeight="1">
      <c r="A1124" s="2" t="s">
        <v>2777</v>
      </c>
      <c r="B1124" s="2" t="s">
        <v>2777</v>
      </c>
      <c r="C1124" s="2" t="s">
        <v>17</v>
      </c>
      <c r="D1124" s="2" t="s">
        <v>18</v>
      </c>
      <c r="E1124" s="5">
        <v>-31138</v>
      </c>
      <c r="F1124" s="3" t="s">
        <v>1363</v>
      </c>
      <c r="G1124" s="3" t="s">
        <v>41</v>
      </c>
      <c r="H1124" s="2" t="s">
        <v>62</v>
      </c>
      <c r="I1124" s="2" t="s">
        <v>2806</v>
      </c>
      <c r="J1124" s="3" t="str">
        <f>HYPERLINK("https://www.boe.es/gazeta/dias/1814/09/29/pdfs/GMD-1814-132.pdf#page=4","Abrir facsímil")</f>
        <v>Abrir facsímil</v>
      </c>
      <c r="K1124" s="3" t="s">
        <v>64</v>
      </c>
    </row>
    <row r="1125" spans="1:11" ht="42" customHeight="1">
      <c r="A1125" s="2" t="s">
        <v>2777</v>
      </c>
      <c r="B1125" s="2" t="s">
        <v>2777</v>
      </c>
      <c r="C1125" s="2" t="s">
        <v>26</v>
      </c>
      <c r="D1125" s="2" t="s">
        <v>27</v>
      </c>
      <c r="E1125" s="5">
        <v>-31136</v>
      </c>
      <c r="F1125" s="3" t="s">
        <v>956</v>
      </c>
      <c r="G1125" s="3" t="s">
        <v>57</v>
      </c>
      <c r="H1125" s="2" t="s">
        <v>62</v>
      </c>
      <c r="I1125" s="2" t="s">
        <v>2807</v>
      </c>
      <c r="J1125" s="3" t="str">
        <f>HYPERLINK("https://www.boe.es/gazeta/dias/1814/10/01/pdfs/GMD-1814-133.pdf#page=6","Abrir facsímil")</f>
        <v>Abrir facsímil</v>
      </c>
      <c r="K1125" s="3" t="s">
        <v>64</v>
      </c>
    </row>
    <row r="1126" spans="1:11" ht="42" customHeight="1">
      <c r="A1126" s="2" t="s">
        <v>2777</v>
      </c>
      <c r="B1126" s="2" t="s">
        <v>2777</v>
      </c>
      <c r="C1126" s="2" t="s">
        <v>38</v>
      </c>
      <c r="D1126" s="2" t="s">
        <v>39</v>
      </c>
      <c r="E1126" s="5">
        <v>-31133</v>
      </c>
      <c r="F1126" s="3" t="s">
        <v>184</v>
      </c>
      <c r="G1126" s="3" t="s">
        <v>41</v>
      </c>
      <c r="H1126" s="2" t="s">
        <v>62</v>
      </c>
      <c r="I1126" s="2" t="s">
        <v>2808</v>
      </c>
      <c r="J1126" s="3" t="str">
        <f>HYPERLINK("https://www.boe.es/gazeta/dias/1814/10/04/pdfs/GMD-1814-134.pdf#page=4","Abrir facsímil")</f>
        <v>Abrir facsímil</v>
      </c>
      <c r="K1126" s="3" t="s">
        <v>64</v>
      </c>
    </row>
    <row r="1127" spans="1:11" ht="42" customHeight="1">
      <c r="A1127" s="2" t="s">
        <v>2782</v>
      </c>
      <c r="B1127" s="2" t="s">
        <v>2782</v>
      </c>
      <c r="C1127" s="2" t="s">
        <v>309</v>
      </c>
      <c r="D1127" s="2" t="s">
        <v>18</v>
      </c>
      <c r="E1127" s="5">
        <v>-31129</v>
      </c>
      <c r="F1127" s="3" t="s">
        <v>418</v>
      </c>
      <c r="G1127" s="3" t="s">
        <v>87</v>
      </c>
      <c r="H1127" s="2" t="s">
        <v>62</v>
      </c>
      <c r="I1127" s="2" t="s">
        <v>2809</v>
      </c>
      <c r="J1127" s="3" t="str">
        <f>HYPERLINK("https://www.boe.es/gazeta/dias/1814/10/08/pdfs/GMD-1814-136.pdf#page=2","Abrir facsímil")</f>
        <v>Abrir facsímil</v>
      </c>
      <c r="K1127" s="3" t="s">
        <v>64</v>
      </c>
    </row>
    <row r="1128" spans="1:11" ht="42" customHeight="1">
      <c r="A1128" s="2" t="s">
        <v>2777</v>
      </c>
      <c r="B1128" s="2" t="s">
        <v>2777</v>
      </c>
      <c r="C1128" s="2" t="s">
        <v>26</v>
      </c>
      <c r="D1128" s="2" t="s">
        <v>27</v>
      </c>
      <c r="E1128" s="5">
        <v>-31124</v>
      </c>
      <c r="F1128" s="3" t="s">
        <v>383</v>
      </c>
      <c r="G1128" s="3" t="s">
        <v>574</v>
      </c>
      <c r="H1128" s="2" t="s">
        <v>62</v>
      </c>
      <c r="I1128" s="2" t="s">
        <v>2810</v>
      </c>
      <c r="J1128" s="3" t="str">
        <f>HYPERLINK("https://www.boe.es/gazeta/dias/1814/10/13/pdfs/GMD-1814-138.pdf#page=10","Abrir facsímil")</f>
        <v>Abrir facsímil</v>
      </c>
      <c r="K1128" s="3" t="s">
        <v>64</v>
      </c>
    </row>
    <row r="1129" spans="1:11" ht="42" customHeight="1">
      <c r="A1129" s="2" t="s">
        <v>2777</v>
      </c>
      <c r="B1129" s="2" t="s">
        <v>2777</v>
      </c>
      <c r="C1129" s="2" t="s">
        <v>26</v>
      </c>
      <c r="D1129" s="2" t="s">
        <v>27</v>
      </c>
      <c r="E1129" s="5">
        <v>-31122</v>
      </c>
      <c r="F1129" s="3" t="s">
        <v>28</v>
      </c>
      <c r="G1129" s="3" t="s">
        <v>2811</v>
      </c>
      <c r="H1129" s="2" t="s">
        <v>62</v>
      </c>
      <c r="I1129" s="2" t="s">
        <v>2812</v>
      </c>
      <c r="J1129" s="3" t="str">
        <f>HYPERLINK("https://www.boe.es/gazeta/dias/1814/10/15/pdfs/GMD-1814-139.pdf#page=5","Abrir facsímil")</f>
        <v>Abrir facsímil</v>
      </c>
      <c r="K1129" s="3" t="s">
        <v>64</v>
      </c>
    </row>
    <row r="1130" spans="1:11" ht="42" customHeight="1">
      <c r="A1130" s="2" t="s">
        <v>2777</v>
      </c>
      <c r="B1130" s="2" t="s">
        <v>2777</v>
      </c>
      <c r="C1130" s="2" t="s">
        <v>45</v>
      </c>
      <c r="D1130" s="2" t="s">
        <v>18</v>
      </c>
      <c r="E1130" s="5">
        <v>-31115</v>
      </c>
      <c r="F1130" s="3" t="s">
        <v>805</v>
      </c>
      <c r="G1130" s="3" t="s">
        <v>87</v>
      </c>
      <c r="H1130" s="2" t="s">
        <v>62</v>
      </c>
      <c r="I1130" s="2" t="s">
        <v>2813</v>
      </c>
      <c r="J1130" s="3" t="str">
        <f>HYPERLINK("https://www.boe.es/gazeta/dias/1814/10/22/pdfs/GMD-1814-142.pdf#page=2","Abrir facsímil")</f>
        <v>Abrir facsímil</v>
      </c>
      <c r="K1130" s="3" t="s">
        <v>64</v>
      </c>
    </row>
    <row r="1131" spans="1:11" ht="42" customHeight="1">
      <c r="A1131" s="2" t="s">
        <v>2777</v>
      </c>
      <c r="B1131" s="2" t="s">
        <v>2777</v>
      </c>
      <c r="C1131" s="2" t="s">
        <v>17</v>
      </c>
      <c r="D1131" s="2" t="s">
        <v>18</v>
      </c>
      <c r="E1131" s="5">
        <v>-31110</v>
      </c>
      <c r="F1131" s="3" t="s">
        <v>149</v>
      </c>
      <c r="G1131" s="3" t="s">
        <v>82</v>
      </c>
      <c r="H1131" s="2" t="s">
        <v>62</v>
      </c>
      <c r="I1131" s="2" t="s">
        <v>2814</v>
      </c>
      <c r="J1131" s="3" t="str">
        <f>HYPERLINK("https://www.boe.es/gazeta/dias/1814/10/27/pdfs/GMD-1814-144.pdf#page=3","Abrir facsímil")</f>
        <v>Abrir facsímil</v>
      </c>
      <c r="K1131" s="3" t="s">
        <v>64</v>
      </c>
    </row>
    <row r="1132" spans="1:11" ht="42" customHeight="1">
      <c r="A1132" s="2" t="s">
        <v>2777</v>
      </c>
      <c r="B1132" s="2" t="s">
        <v>2777</v>
      </c>
      <c r="C1132" s="2" t="s">
        <v>26</v>
      </c>
      <c r="D1132" s="2" t="s">
        <v>27</v>
      </c>
      <c r="E1132" s="5">
        <v>-31087</v>
      </c>
      <c r="F1132" s="3" t="s">
        <v>118</v>
      </c>
      <c r="G1132" s="3" t="s">
        <v>2650</v>
      </c>
      <c r="H1132" s="2" t="s">
        <v>62</v>
      </c>
      <c r="I1132" s="2" t="s">
        <v>2815</v>
      </c>
      <c r="J1132" s="3" t="str">
        <f>HYPERLINK("https://www.boe.es/gazeta/dias/1814/11/19/pdfs/GMD-1814-154.pdf#page=4","Abrir facsímil")</f>
        <v>Abrir facsímil</v>
      </c>
      <c r="K1132" s="3" t="s">
        <v>64</v>
      </c>
    </row>
    <row r="1133" spans="1:11" ht="42" customHeight="1">
      <c r="A1133" s="2" t="s">
        <v>2777</v>
      </c>
      <c r="B1133" s="2" t="s">
        <v>2777</v>
      </c>
      <c r="C1133" s="2" t="s">
        <v>38</v>
      </c>
      <c r="D1133" s="2" t="s">
        <v>39</v>
      </c>
      <c r="E1133" s="5">
        <v>-31080</v>
      </c>
      <c r="F1133" s="3" t="s">
        <v>286</v>
      </c>
      <c r="G1133" s="3" t="s">
        <v>57</v>
      </c>
      <c r="H1133" s="2" t="s">
        <v>62</v>
      </c>
      <c r="I1133" s="2" t="s">
        <v>2816</v>
      </c>
      <c r="J1133" s="3" t="str">
        <f>HYPERLINK("https://www.boe.es/gazeta/dias/1814/11/26/pdfs/GMD-1814-157.pdf#page=6","Abrir facsímil")</f>
        <v>Abrir facsímil</v>
      </c>
      <c r="K1133" s="3" t="s">
        <v>64</v>
      </c>
    </row>
    <row r="1134" spans="1:11" ht="42" customHeight="1">
      <c r="A1134" s="2" t="s">
        <v>2777</v>
      </c>
      <c r="B1134" s="2" t="s">
        <v>2777</v>
      </c>
      <c r="C1134" s="2" t="s">
        <v>38</v>
      </c>
      <c r="D1134" s="2" t="s">
        <v>39</v>
      </c>
      <c r="E1134" s="5">
        <v>-31059</v>
      </c>
      <c r="F1134" s="3" t="s">
        <v>263</v>
      </c>
      <c r="G1134" s="3" t="s">
        <v>57</v>
      </c>
      <c r="H1134" s="2" t="s">
        <v>62</v>
      </c>
      <c r="I1134" s="2" t="s">
        <v>2817</v>
      </c>
      <c r="J1134" s="3" t="str">
        <f>HYPERLINK("https://www.boe.es/gazeta/dias/1814/12/17/pdfs/GMD-1814-167.pdf#page=6","Abrir facsímil")</f>
        <v>Abrir facsímil</v>
      </c>
      <c r="K1134" s="3" t="s">
        <v>64</v>
      </c>
    </row>
    <row r="1135" spans="1:11" ht="42" customHeight="1">
      <c r="A1135" s="2" t="s">
        <v>2818</v>
      </c>
      <c r="B1135" s="2" t="s">
        <v>2819</v>
      </c>
      <c r="C1135" s="2" t="s">
        <v>17</v>
      </c>
      <c r="D1135" s="2" t="s">
        <v>18</v>
      </c>
      <c r="E1135" s="5">
        <v>-31231</v>
      </c>
      <c r="F1135" s="3" t="s">
        <v>861</v>
      </c>
      <c r="G1135" s="3" t="s">
        <v>87</v>
      </c>
      <c r="H1135" s="2" t="s">
        <v>21</v>
      </c>
      <c r="I1135" s="2" t="s">
        <v>2820</v>
      </c>
      <c r="J1135" s="3" t="str">
        <f>HYPERLINK("https://www.boe.es/gazeta/dias/1814/06/28/pdfs/GMD-1814-91.pdf#page=2","Abrir facsímil")</f>
        <v>Abrir facsímil</v>
      </c>
      <c r="K1135" s="3" t="s">
        <v>23</v>
      </c>
    </row>
    <row r="1136" spans="1:11" ht="42" customHeight="1">
      <c r="A1136" s="2" t="s">
        <v>2821</v>
      </c>
      <c r="B1136" s="2" t="s">
        <v>2822</v>
      </c>
      <c r="C1136" s="2" t="s">
        <v>38</v>
      </c>
      <c r="D1136" s="2" t="s">
        <v>39</v>
      </c>
      <c r="E1136" s="5">
        <v>-31066</v>
      </c>
      <c r="F1136" s="3" t="s">
        <v>1323</v>
      </c>
      <c r="G1136" s="3" t="s">
        <v>57</v>
      </c>
      <c r="H1136" s="2" t="s">
        <v>62</v>
      </c>
      <c r="I1136" s="2" t="s">
        <v>2823</v>
      </c>
      <c r="J1136" s="3" t="str">
        <f>HYPERLINK("https://www.boe.es/gazeta/dias/1814/12/10/pdfs/GMD-1814-163.pdf#page=6","Abrir facsímil")</f>
        <v>Abrir facsímil</v>
      </c>
      <c r="K1136" s="3" t="s">
        <v>64</v>
      </c>
    </row>
    <row r="1137" spans="1:11" ht="42" customHeight="1">
      <c r="A1137" s="2" t="s">
        <v>2824</v>
      </c>
      <c r="B1137" s="2" t="s">
        <v>2825</v>
      </c>
      <c r="C1137" s="2" t="s">
        <v>38</v>
      </c>
      <c r="D1137" s="2" t="s">
        <v>39</v>
      </c>
      <c r="E1137" s="5">
        <v>-31229</v>
      </c>
      <c r="F1137" s="3" t="s">
        <v>502</v>
      </c>
      <c r="G1137" s="3" t="s">
        <v>52</v>
      </c>
      <c r="H1137" s="2" t="s">
        <v>21</v>
      </c>
      <c r="I1137" s="2" t="s">
        <v>2826</v>
      </c>
      <c r="J1137" s="3" t="str">
        <f>HYPERLINK("https://www.boe.es/gazeta/dias/1814/06/30/pdfs/GMD-1814-92.pdf#page=8","Abrir facsímil")</f>
        <v>Abrir facsímil</v>
      </c>
      <c r="K1137" s="3" t="s">
        <v>23</v>
      </c>
    </row>
    <row r="1138" spans="1:11" ht="42" customHeight="1">
      <c r="A1138" s="2" t="s">
        <v>2827</v>
      </c>
      <c r="B1138" s="2" t="s">
        <v>2828</v>
      </c>
      <c r="C1138" s="2" t="s">
        <v>144</v>
      </c>
      <c r="D1138" s="2" t="s">
        <v>18</v>
      </c>
      <c r="E1138" s="5">
        <v>-31154</v>
      </c>
      <c r="F1138" s="3" t="s">
        <v>688</v>
      </c>
      <c r="G1138" s="3" t="s">
        <v>52</v>
      </c>
      <c r="H1138" s="2" t="s">
        <v>62</v>
      </c>
      <c r="I1138" s="2" t="s">
        <v>2829</v>
      </c>
      <c r="J1138" s="3" t="str">
        <f>HYPERLINK("https://www.boe.es/gazeta/dias/1814/09/13/pdfs/GMD-1814-125.pdf#page=8","Abrir facsímil")</f>
        <v>Abrir facsímil</v>
      </c>
      <c r="K1138" s="3" t="s">
        <v>64</v>
      </c>
    </row>
    <row r="1139" spans="1:11" ht="42" customHeight="1">
      <c r="A1139" s="2" t="s">
        <v>2830</v>
      </c>
      <c r="B1139" s="2" t="s">
        <v>2831</v>
      </c>
      <c r="C1139" s="2" t="s">
        <v>38</v>
      </c>
      <c r="D1139" s="2" t="s">
        <v>39</v>
      </c>
      <c r="E1139" s="5">
        <v>-31371</v>
      </c>
      <c r="F1139" s="3" t="s">
        <v>1017</v>
      </c>
      <c r="G1139" s="3" t="s">
        <v>107</v>
      </c>
      <c r="H1139" s="2" t="s">
        <v>62</v>
      </c>
      <c r="I1139" s="2" t="s">
        <v>2832</v>
      </c>
      <c r="J1139" s="3" t="str">
        <f>HYPERLINK("https://www.boe.es/gazeta/dias/1814/02/08/pdfs/GRE-1814-18.pdf#page=1","Abrir facsímil")</f>
        <v>Abrir facsímil</v>
      </c>
      <c r="K1139" s="3" t="s">
        <v>64</v>
      </c>
    </row>
    <row r="1140" spans="1:11" ht="42" customHeight="1">
      <c r="A1140" s="2" t="s">
        <v>2833</v>
      </c>
      <c r="B1140" s="2" t="s">
        <v>2834</v>
      </c>
      <c r="C1140" s="2" t="s">
        <v>26</v>
      </c>
      <c r="D1140" s="2" t="s">
        <v>27</v>
      </c>
      <c r="E1140" s="5">
        <v>-31147</v>
      </c>
      <c r="F1140" s="3" t="s">
        <v>86</v>
      </c>
      <c r="G1140" s="3" t="s">
        <v>57</v>
      </c>
      <c r="H1140" s="2" t="s">
        <v>62</v>
      </c>
      <c r="I1140" s="2" t="s">
        <v>2835</v>
      </c>
      <c r="J1140" s="3" t="str">
        <f>HYPERLINK("https://www.boe.es/gazeta/dias/1814/09/20/pdfs/GMD-1814-128.pdf#page=6","Abrir facsímil")</f>
        <v>Abrir facsímil</v>
      </c>
      <c r="K1140" s="3" t="s">
        <v>64</v>
      </c>
    </row>
    <row r="1141" spans="1:11" ht="42" customHeight="1">
      <c r="A1141" s="2" t="s">
        <v>2836</v>
      </c>
      <c r="B1141" s="2" t="s">
        <v>2837</v>
      </c>
      <c r="C1141" s="2" t="s">
        <v>309</v>
      </c>
      <c r="D1141" s="2" t="s">
        <v>18</v>
      </c>
      <c r="E1141" s="5">
        <v>-31084</v>
      </c>
      <c r="F1141" s="3" t="s">
        <v>282</v>
      </c>
      <c r="G1141" s="3" t="s">
        <v>52</v>
      </c>
      <c r="H1141" s="2" t="s">
        <v>62</v>
      </c>
      <c r="I1141" s="2" t="s">
        <v>2838</v>
      </c>
      <c r="J1141" s="3" t="str">
        <f>HYPERLINK("https://www.boe.es/gazeta/dias/1814/11/22/pdfs/GMD-1814-155.pdf#page=8","Abrir facsímil")</f>
        <v>Abrir facsímil</v>
      </c>
      <c r="K1141" s="3" t="s">
        <v>64</v>
      </c>
    </row>
    <row r="1142" spans="1:11" ht="42" customHeight="1">
      <c r="A1142" s="2" t="s">
        <v>2839</v>
      </c>
      <c r="B1142" s="2" t="s">
        <v>2840</v>
      </c>
      <c r="C1142" s="2" t="s">
        <v>38</v>
      </c>
      <c r="D1142" s="2" t="s">
        <v>39</v>
      </c>
      <c r="E1142" s="5">
        <v>-31322</v>
      </c>
      <c r="F1142" s="3" t="s">
        <v>114</v>
      </c>
      <c r="G1142" s="3" t="s">
        <v>52</v>
      </c>
      <c r="H1142" s="2" t="s">
        <v>62</v>
      </c>
      <c r="I1142" s="2" t="s">
        <v>2841</v>
      </c>
      <c r="J1142" s="3" t="str">
        <f>HYPERLINK("https://www.boe.es/gazeta/dias/1814/03/29/pdfs/GRE-1814-44.pdf#page=8","Abrir facsímil")</f>
        <v>Abrir facsímil</v>
      </c>
      <c r="K1142" s="3" t="s">
        <v>64</v>
      </c>
    </row>
    <row r="1143" spans="1:11" ht="42" customHeight="1">
      <c r="A1143" s="2" t="s">
        <v>2842</v>
      </c>
      <c r="B1143" s="2" t="s">
        <v>2843</v>
      </c>
      <c r="C1143" s="2" t="s">
        <v>45</v>
      </c>
      <c r="D1143" s="2" t="s">
        <v>18</v>
      </c>
      <c r="E1143" s="5">
        <v>-31131</v>
      </c>
      <c r="F1143" s="3" t="s">
        <v>132</v>
      </c>
      <c r="G1143" s="3" t="s">
        <v>20</v>
      </c>
      <c r="H1143" s="2" t="s">
        <v>62</v>
      </c>
      <c r="I1143" s="2" t="s">
        <v>2844</v>
      </c>
      <c r="J1143" s="3" t="str">
        <f>HYPERLINK("https://www.boe.es/gazeta/dias/1814/10/06/pdfs/GMD-1814-135.pdf#page=7","Abrir facsímil")</f>
        <v>Abrir facsímil</v>
      </c>
      <c r="K1143" s="3" t="s">
        <v>64</v>
      </c>
    </row>
    <row r="1144" spans="1:11" ht="42" customHeight="1">
      <c r="A1144" s="2" t="s">
        <v>2845</v>
      </c>
      <c r="B1144" s="2" t="s">
        <v>2846</v>
      </c>
      <c r="C1144" s="2" t="s">
        <v>38</v>
      </c>
      <c r="D1144" s="2" t="s">
        <v>39</v>
      </c>
      <c r="E1144" s="5">
        <v>-31220</v>
      </c>
      <c r="F1144" s="3" t="s">
        <v>122</v>
      </c>
      <c r="G1144" s="3" t="s">
        <v>57</v>
      </c>
      <c r="H1144" s="2" t="s">
        <v>62</v>
      </c>
      <c r="I1144" s="2" t="s">
        <v>2847</v>
      </c>
      <c r="J1144" s="3" t="str">
        <f>HYPERLINK("https://www.boe.es/gazeta/dias/1814/07/09/pdfs/GMD-1814-96.pdf#page=6","Abrir facsímil")</f>
        <v>Abrir facsímil</v>
      </c>
      <c r="K1144" s="3" t="s">
        <v>64</v>
      </c>
    </row>
    <row r="1145" spans="1:11" ht="42" customHeight="1">
      <c r="A1145" s="2" t="s">
        <v>2848</v>
      </c>
      <c r="B1145" s="2" t="s">
        <v>2849</v>
      </c>
      <c r="C1145" s="2" t="s">
        <v>26</v>
      </c>
      <c r="D1145" s="2" t="s">
        <v>27</v>
      </c>
      <c r="E1145" s="5">
        <v>-31360</v>
      </c>
      <c r="F1145" s="3" t="s">
        <v>480</v>
      </c>
      <c r="G1145" s="3" t="s">
        <v>52</v>
      </c>
      <c r="H1145" s="2" t="s">
        <v>62</v>
      </c>
      <c r="I1145" s="2" t="s">
        <v>2850</v>
      </c>
      <c r="J1145" s="3" t="str">
        <f>HYPERLINK("https://www.boe.es/gazeta/dias/1814/02/19/pdfs/GRE-1814-23.pdf#page=8","Abrir facsímil")</f>
        <v>Abrir facsímil</v>
      </c>
      <c r="K1145" s="3" t="s">
        <v>64</v>
      </c>
    </row>
    <row r="1146" spans="1:11" ht="42" customHeight="1">
      <c r="A1146" s="2" t="s">
        <v>2848</v>
      </c>
      <c r="B1146" s="2" t="s">
        <v>2849</v>
      </c>
      <c r="C1146" s="2" t="s">
        <v>26</v>
      </c>
      <c r="D1146" s="2" t="s">
        <v>27</v>
      </c>
      <c r="E1146" s="5">
        <v>-31266</v>
      </c>
      <c r="F1146" s="3" t="s">
        <v>191</v>
      </c>
      <c r="G1146" s="3" t="s">
        <v>57</v>
      </c>
      <c r="H1146" s="2" t="s">
        <v>62</v>
      </c>
      <c r="I1146" s="2" t="s">
        <v>2851</v>
      </c>
      <c r="J1146" s="3" t="str">
        <f>HYPERLINK("https://www.boe.es/gazeta/dias/1814/05/24/pdfs/GMD-1814-76.pdf#page=6","Abrir facsímil")</f>
        <v>Abrir facsímil</v>
      </c>
      <c r="K1146" s="3" t="s">
        <v>64</v>
      </c>
    </row>
    <row r="1147" spans="1:11" ht="42" customHeight="1">
      <c r="A1147" s="2" t="s">
        <v>2852</v>
      </c>
      <c r="B1147" s="2" t="s">
        <v>2853</v>
      </c>
      <c r="C1147" s="2" t="s">
        <v>26</v>
      </c>
      <c r="D1147" s="2" t="s">
        <v>27</v>
      </c>
      <c r="E1147" s="5">
        <v>-31119</v>
      </c>
      <c r="F1147" s="3" t="s">
        <v>136</v>
      </c>
      <c r="G1147" s="3" t="s">
        <v>704</v>
      </c>
      <c r="H1147" s="2" t="s">
        <v>62</v>
      </c>
      <c r="I1147" s="2" t="s">
        <v>2854</v>
      </c>
      <c r="J1147" s="3" t="str">
        <f>HYPERLINK("https://www.boe.es/gazeta/dias/1814/10/18/pdfs/GMD-1814-140.pdf#page=10","Abrir facsímil")</f>
        <v>Abrir facsímil</v>
      </c>
      <c r="K1147" s="3" t="s">
        <v>64</v>
      </c>
    </row>
    <row r="1148" spans="1:11" ht="42" customHeight="1">
      <c r="A1148" s="2" t="s">
        <v>2855</v>
      </c>
      <c r="B1148" s="2" t="s">
        <v>2856</v>
      </c>
      <c r="C1148" s="2" t="s">
        <v>38</v>
      </c>
      <c r="D1148" s="2" t="s">
        <v>39</v>
      </c>
      <c r="E1148" s="5">
        <v>-31369</v>
      </c>
      <c r="F1148" s="3" t="s">
        <v>695</v>
      </c>
      <c r="G1148" s="3" t="s">
        <v>82</v>
      </c>
      <c r="H1148" s="2" t="s">
        <v>62</v>
      </c>
      <c r="I1148" s="2" t="s">
        <v>2857</v>
      </c>
      <c r="J1148" s="3" t="str">
        <f>HYPERLINK("https://www.boe.es/gazeta/dias/1814/02/10/pdfs/GRE-1814-19.pdf#page=3","Abrir facsímil")</f>
        <v>Abrir facsímil</v>
      </c>
      <c r="K1148" s="3" t="s">
        <v>64</v>
      </c>
    </row>
    <row r="1149" spans="1:11" ht="42" customHeight="1">
      <c r="A1149" s="2" t="s">
        <v>2858</v>
      </c>
      <c r="B1149" s="2" t="s">
        <v>2858</v>
      </c>
      <c r="C1149" s="2" t="s">
        <v>26</v>
      </c>
      <c r="D1149" s="2" t="s">
        <v>27</v>
      </c>
      <c r="E1149" s="5">
        <v>-31299</v>
      </c>
      <c r="F1149" s="3" t="s">
        <v>71</v>
      </c>
      <c r="G1149" s="3" t="s">
        <v>87</v>
      </c>
      <c r="H1149" s="2" t="s">
        <v>62</v>
      </c>
      <c r="I1149" s="2" t="s">
        <v>2859</v>
      </c>
      <c r="J1149" s="3" t="str">
        <f>HYPERLINK("https://www.boe.es/gazeta/dias/1814/04/21/pdfs/GRE-1814-57.pdf#page=2","Abrir facsímil")</f>
        <v>Abrir facsímil</v>
      </c>
      <c r="K1149" s="3" t="s">
        <v>64</v>
      </c>
    </row>
    <row r="1150" spans="1:11" ht="42" customHeight="1">
      <c r="A1150" s="2" t="s">
        <v>2860</v>
      </c>
      <c r="B1150" s="2" t="s">
        <v>2860</v>
      </c>
      <c r="C1150" s="2" t="s">
        <v>26</v>
      </c>
      <c r="D1150" s="2" t="s">
        <v>27</v>
      </c>
      <c r="E1150" s="5">
        <v>-31299</v>
      </c>
      <c r="F1150" s="3" t="s">
        <v>71</v>
      </c>
      <c r="G1150" s="3" t="s">
        <v>87</v>
      </c>
      <c r="H1150" s="2" t="s">
        <v>62</v>
      </c>
      <c r="I1150" s="2" t="s">
        <v>2861</v>
      </c>
      <c r="J1150" s="3" t="str">
        <f>HYPERLINK("https://www.boe.es/gazeta/dias/1814/04/21/pdfs/GRE-1814-57.pdf#page=2","Abrir facsímil")</f>
        <v>Abrir facsímil</v>
      </c>
      <c r="K1150" s="3" t="s">
        <v>64</v>
      </c>
    </row>
    <row r="1151" spans="1:11" ht="42" customHeight="1">
      <c r="A1151" s="2" t="s">
        <v>2862</v>
      </c>
      <c r="B1151" s="2" t="s">
        <v>2863</v>
      </c>
      <c r="C1151" s="2" t="s">
        <v>38</v>
      </c>
      <c r="D1151" s="2" t="s">
        <v>39</v>
      </c>
      <c r="E1151" s="5">
        <v>-31234</v>
      </c>
      <c r="F1151" s="3" t="s">
        <v>462</v>
      </c>
      <c r="G1151" s="3" t="s">
        <v>2864</v>
      </c>
      <c r="H1151" s="2" t="s">
        <v>62</v>
      </c>
      <c r="I1151" s="2" t="s">
        <v>2865</v>
      </c>
      <c r="J1151" s="3" t="str">
        <f>HYPERLINK("https://www.boe.es/gazeta/dias/1814/06/25/pdfs/GMD-1814-90.pdf#page=12","Abrir facsímil")</f>
        <v>Abrir facsímil</v>
      </c>
      <c r="K1151" s="3" t="s">
        <v>64</v>
      </c>
    </row>
    <row r="1152" spans="1:11" ht="42" customHeight="1">
      <c r="A1152" s="2" t="s">
        <v>2866</v>
      </c>
      <c r="B1152" s="2" t="s">
        <v>2867</v>
      </c>
      <c r="C1152" s="2" t="s">
        <v>45</v>
      </c>
      <c r="D1152" s="2" t="s">
        <v>18</v>
      </c>
      <c r="E1152" s="5">
        <v>-31173</v>
      </c>
      <c r="F1152" s="3" t="s">
        <v>46</v>
      </c>
      <c r="G1152" s="3" t="s">
        <v>20</v>
      </c>
      <c r="H1152" s="2" t="s">
        <v>21</v>
      </c>
      <c r="I1152" s="2" t="s">
        <v>2868</v>
      </c>
      <c r="J1152" s="3" t="str">
        <f>HYPERLINK("https://www.boe.es/gazeta/dias/1814/08/25/pdfs/GMD-1814-116.pdf#page=7","Abrir facsímil")</f>
        <v>Abrir facsímil</v>
      </c>
      <c r="K1152" s="3" t="s">
        <v>23</v>
      </c>
    </row>
    <row r="1153" spans="1:11" ht="42" customHeight="1">
      <c r="A1153" s="2" t="s">
        <v>2866</v>
      </c>
      <c r="B1153" s="2" t="s">
        <v>2867</v>
      </c>
      <c r="C1153" s="2" t="s">
        <v>26</v>
      </c>
      <c r="D1153" s="2" t="s">
        <v>27</v>
      </c>
      <c r="E1153" s="5">
        <v>-31131</v>
      </c>
      <c r="F1153" s="3" t="s">
        <v>132</v>
      </c>
      <c r="G1153" s="3" t="s">
        <v>2188</v>
      </c>
      <c r="H1153" s="2" t="s">
        <v>21</v>
      </c>
      <c r="I1153" s="2" t="s">
        <v>2869</v>
      </c>
      <c r="J1153" s="3" t="str">
        <f>HYPERLINK("https://www.boe.es/gazeta/dias/1814/10/06/pdfs/GMD-1814-135.pdf#page=6","Abrir facsímil")</f>
        <v>Abrir facsímil</v>
      </c>
      <c r="K1153" s="3" t="s">
        <v>23</v>
      </c>
    </row>
    <row r="1154" spans="1:11" ht="42" customHeight="1">
      <c r="A1154" s="2" t="s">
        <v>2870</v>
      </c>
      <c r="B1154" s="2" t="s">
        <v>2871</v>
      </c>
      <c r="C1154" s="2" t="s">
        <v>26</v>
      </c>
      <c r="D1154" s="2" t="s">
        <v>27</v>
      </c>
      <c r="E1154" s="5">
        <v>-31227</v>
      </c>
      <c r="F1154" s="3" t="s">
        <v>102</v>
      </c>
      <c r="G1154" s="3" t="s">
        <v>99</v>
      </c>
      <c r="H1154" s="2" t="s">
        <v>62</v>
      </c>
      <c r="I1154" s="2" t="s">
        <v>2872</v>
      </c>
      <c r="J1154" s="3" t="str">
        <f>HYPERLINK("https://www.boe.es/gazeta/dias/1814/07/02/pdfs/GMD-1814-93.pdf#page=5","Abrir facsímil")</f>
        <v>Abrir facsímil</v>
      </c>
      <c r="K1154" s="3" t="s">
        <v>64</v>
      </c>
    </row>
    <row r="1155" spans="1:11" ht="42" customHeight="1">
      <c r="A1155" s="2" t="s">
        <v>2873</v>
      </c>
      <c r="B1155" s="2" t="s">
        <v>2874</v>
      </c>
      <c r="C1155" s="2" t="s">
        <v>45</v>
      </c>
      <c r="D1155" s="2" t="s">
        <v>18</v>
      </c>
      <c r="E1155" s="5">
        <v>-31138</v>
      </c>
      <c r="F1155" s="3" t="s">
        <v>1363</v>
      </c>
      <c r="G1155" s="3" t="s">
        <v>1364</v>
      </c>
      <c r="H1155" s="2" t="s">
        <v>21</v>
      </c>
      <c r="I1155" s="2" t="s">
        <v>2875</v>
      </c>
      <c r="J1155" s="3" t="str">
        <f>HYPERLINK("https://www.boe.es/gazeta/dias/1814/09/29/pdfs/GMD-1814-132.pdf#page=7","Abrir facsímil")</f>
        <v>Abrir facsímil</v>
      </c>
      <c r="K1155" s="3" t="s">
        <v>23</v>
      </c>
    </row>
    <row r="1156" spans="1:11" ht="42" customHeight="1">
      <c r="A1156" s="2" t="s">
        <v>2876</v>
      </c>
      <c r="B1156" s="2" t="s">
        <v>2877</v>
      </c>
      <c r="C1156" s="2" t="s">
        <v>38</v>
      </c>
      <c r="D1156" s="2" t="s">
        <v>39</v>
      </c>
      <c r="E1156" s="5">
        <v>-31192</v>
      </c>
      <c r="F1156" s="3" t="s">
        <v>388</v>
      </c>
      <c r="G1156" s="3" t="s">
        <v>20</v>
      </c>
      <c r="H1156" s="2" t="s">
        <v>62</v>
      </c>
      <c r="I1156" s="2" t="s">
        <v>2878</v>
      </c>
      <c r="J1156" s="3" t="str">
        <f>HYPERLINK("https://www.boe.es/gazeta/dias/1814/08/06/pdfs/GMD-1814-108.pdf#page=7","Abrir facsímil")</f>
        <v>Abrir facsímil</v>
      </c>
      <c r="K1156" s="3" t="s">
        <v>64</v>
      </c>
    </row>
    <row r="1157" spans="1:11" ht="42" customHeight="1">
      <c r="A1157" s="2" t="s">
        <v>2879</v>
      </c>
      <c r="B1157" s="2" t="s">
        <v>2880</v>
      </c>
      <c r="C1157" s="2" t="s">
        <v>38</v>
      </c>
      <c r="D1157" s="2" t="s">
        <v>314</v>
      </c>
      <c r="E1157" s="5">
        <v>-31296</v>
      </c>
      <c r="F1157" s="3" t="s">
        <v>315</v>
      </c>
      <c r="G1157" s="3" t="s">
        <v>20</v>
      </c>
      <c r="H1157" s="2" t="s">
        <v>62</v>
      </c>
      <c r="I1157" s="2" t="s">
        <v>2881</v>
      </c>
      <c r="J1157" s="3" t="str">
        <f>HYPERLINK("https://www.boe.es/gazeta/dias/1814/04/24/pdfs/GRE-1814-60E.pdf#page=7","Abrir facsímil")</f>
        <v>Abrir facsímil</v>
      </c>
      <c r="K1157" s="3" t="s">
        <v>64</v>
      </c>
    </row>
    <row r="1158" spans="1:11" ht="42" customHeight="1">
      <c r="A1158" s="2" t="s">
        <v>2882</v>
      </c>
      <c r="B1158" s="2" t="s">
        <v>2883</v>
      </c>
      <c r="C1158" s="2" t="s">
        <v>26</v>
      </c>
      <c r="D1158" s="2" t="s">
        <v>27</v>
      </c>
      <c r="E1158" s="5">
        <v>-31250</v>
      </c>
      <c r="F1158" s="3" t="s">
        <v>177</v>
      </c>
      <c r="G1158" s="3" t="s">
        <v>52</v>
      </c>
      <c r="H1158" s="2" t="s">
        <v>62</v>
      </c>
      <c r="I1158" s="2" t="s">
        <v>2884</v>
      </c>
      <c r="J1158" s="3" t="str">
        <f>HYPERLINK("https://www.boe.es/gazeta/dias/1814/06/09/pdfs/GMD-1814-83.pdf#page=8","Abrir facsímil")</f>
        <v>Abrir facsímil</v>
      </c>
      <c r="K1158" s="3" t="s">
        <v>64</v>
      </c>
    </row>
    <row r="1159" spans="1:11" ht="42" customHeight="1">
      <c r="A1159" s="2" t="s">
        <v>2882</v>
      </c>
      <c r="B1159" s="2" t="s">
        <v>2883</v>
      </c>
      <c r="C1159" s="2" t="s">
        <v>17</v>
      </c>
      <c r="D1159" s="2" t="s">
        <v>18</v>
      </c>
      <c r="E1159" s="5">
        <v>-31224</v>
      </c>
      <c r="F1159" s="3" t="s">
        <v>609</v>
      </c>
      <c r="G1159" s="3" t="s">
        <v>322</v>
      </c>
      <c r="H1159" s="2" t="s">
        <v>62</v>
      </c>
      <c r="I1159" s="2" t="s">
        <v>2885</v>
      </c>
      <c r="J1159" s="3" t="str">
        <f>HYPERLINK("https://www.boe.es/gazeta/dias/1814/07/05/pdfs/GMD-1814-94.pdf#page=12","Abrir facsímil")</f>
        <v>Abrir facsímil</v>
      </c>
      <c r="K1159" s="3" t="s">
        <v>64</v>
      </c>
    </row>
    <row r="1160" spans="1:11" ht="42" customHeight="1">
      <c r="A1160" s="2" t="s">
        <v>2886</v>
      </c>
      <c r="B1160" s="2" t="s">
        <v>2887</v>
      </c>
      <c r="C1160" s="2" t="s">
        <v>26</v>
      </c>
      <c r="D1160" s="2" t="s">
        <v>27</v>
      </c>
      <c r="E1160" s="5">
        <v>-31192</v>
      </c>
      <c r="F1160" s="3" t="s">
        <v>388</v>
      </c>
      <c r="G1160" s="3" t="s">
        <v>57</v>
      </c>
      <c r="H1160" s="2" t="s">
        <v>62</v>
      </c>
      <c r="I1160" s="2" t="s">
        <v>2888</v>
      </c>
      <c r="J1160" s="3" t="str">
        <f>HYPERLINK("https://www.boe.es/gazeta/dias/1814/08/06/pdfs/GMD-1814-108.pdf#page=6","Abrir facsímil")</f>
        <v>Abrir facsímil</v>
      </c>
      <c r="K1160" s="3" t="s">
        <v>64</v>
      </c>
    </row>
    <row r="1161" spans="1:11" ht="42" customHeight="1">
      <c r="A1161" s="2" t="s">
        <v>2889</v>
      </c>
      <c r="B1161" s="2" t="s">
        <v>2890</v>
      </c>
      <c r="C1161" s="2" t="s">
        <v>38</v>
      </c>
      <c r="D1161" s="2" t="s">
        <v>39</v>
      </c>
      <c r="E1161" s="5">
        <v>-31145</v>
      </c>
      <c r="F1161" s="3" t="s">
        <v>523</v>
      </c>
      <c r="G1161" s="3" t="s">
        <v>20</v>
      </c>
      <c r="H1161" s="2" t="s">
        <v>62</v>
      </c>
      <c r="I1161" s="2" t="s">
        <v>2891</v>
      </c>
      <c r="J1161" s="3" t="str">
        <f>HYPERLINK("https://www.boe.es/gazeta/dias/1814/09/22/pdfs/GMD-1814-129.pdf#page=7","Abrir facsímil")</f>
        <v>Abrir facsímil</v>
      </c>
      <c r="K1161" s="3" t="s">
        <v>64</v>
      </c>
    </row>
    <row r="1162" spans="1:11" ht="42" customHeight="1">
      <c r="A1162" s="2" t="s">
        <v>2892</v>
      </c>
      <c r="B1162" s="2" t="s">
        <v>2893</v>
      </c>
      <c r="C1162" s="2" t="s">
        <v>17</v>
      </c>
      <c r="D1162" s="2" t="s">
        <v>18</v>
      </c>
      <c r="E1162" s="5">
        <v>-31119</v>
      </c>
      <c r="F1162" s="3" t="s">
        <v>136</v>
      </c>
      <c r="G1162" s="3" t="s">
        <v>137</v>
      </c>
      <c r="H1162" s="2" t="s">
        <v>62</v>
      </c>
      <c r="I1162" s="2" t="s">
        <v>2894</v>
      </c>
      <c r="J1162" s="3" t="str">
        <f>HYPERLINK("https://www.boe.es/gazeta/dias/1814/10/18/pdfs/GMD-1814-140.pdf#page=9","Abrir facsímil")</f>
        <v>Abrir facsímil</v>
      </c>
      <c r="K1162" s="3" t="s">
        <v>64</v>
      </c>
    </row>
    <row r="1163" spans="1:11" ht="42" customHeight="1">
      <c r="A1163" s="2" t="s">
        <v>2895</v>
      </c>
      <c r="B1163" s="2" t="s">
        <v>2896</v>
      </c>
      <c r="C1163" s="2" t="s">
        <v>144</v>
      </c>
      <c r="D1163" s="2" t="s">
        <v>18</v>
      </c>
      <c r="E1163" s="5">
        <v>-31164</v>
      </c>
      <c r="F1163" s="3" t="s">
        <v>1423</v>
      </c>
      <c r="G1163" s="3" t="s">
        <v>52</v>
      </c>
      <c r="H1163" s="2" t="s">
        <v>21</v>
      </c>
      <c r="I1163" s="2" t="s">
        <v>2897</v>
      </c>
      <c r="J1163" s="3" t="str">
        <f>HYPERLINK("https://www.boe.es/gazeta/dias/1814/09/03/pdfs/GMD-1814-121.pdf#page=8","Abrir facsímil")</f>
        <v>Abrir facsímil</v>
      </c>
      <c r="K1163" s="3" t="s">
        <v>23</v>
      </c>
    </row>
    <row r="1164" spans="1:11" ht="42" customHeight="1">
      <c r="A1164" s="2" t="s">
        <v>2898</v>
      </c>
      <c r="B1164" s="2" t="s">
        <v>2899</v>
      </c>
      <c r="C1164" s="2" t="s">
        <v>38</v>
      </c>
      <c r="D1164" s="2" t="s">
        <v>39</v>
      </c>
      <c r="E1164" s="5">
        <v>-31189</v>
      </c>
      <c r="F1164" s="3" t="s">
        <v>379</v>
      </c>
      <c r="G1164" s="3" t="s">
        <v>52</v>
      </c>
      <c r="H1164" s="2" t="s">
        <v>62</v>
      </c>
      <c r="I1164" s="2" t="s">
        <v>2900</v>
      </c>
      <c r="J1164" s="3" t="str">
        <f>HYPERLINK("https://www.boe.es/gazeta/dias/1814/08/09/pdfs/GMD-1814-109.pdf#page=8","Abrir facsímil")</f>
        <v>Abrir facsímil</v>
      </c>
      <c r="K1164" s="3" t="s">
        <v>64</v>
      </c>
    </row>
    <row r="1165" spans="1:11" ht="42" customHeight="1">
      <c r="A1165" s="2" t="s">
        <v>2901</v>
      </c>
      <c r="B1165" s="2" t="s">
        <v>2902</v>
      </c>
      <c r="C1165" s="2" t="s">
        <v>17</v>
      </c>
      <c r="D1165" s="2" t="s">
        <v>18</v>
      </c>
      <c r="E1165" s="5">
        <v>-31248</v>
      </c>
      <c r="F1165" s="3" t="s">
        <v>1123</v>
      </c>
      <c r="G1165" s="3" t="s">
        <v>20</v>
      </c>
      <c r="H1165" s="2" t="s">
        <v>62</v>
      </c>
      <c r="I1165" s="2" t="s">
        <v>2903</v>
      </c>
      <c r="J1165" s="3" t="str">
        <f>HYPERLINK("https://www.boe.es/gazeta/dias/1814/06/11/pdfs/GMD-1814-84.pdf#page=7","Abrir facsímil")</f>
        <v>Abrir facsímil</v>
      </c>
      <c r="K1165" s="3" t="s">
        <v>64</v>
      </c>
    </row>
    <row r="1166" spans="1:11" ht="42" customHeight="1">
      <c r="A1166" s="2" t="s">
        <v>2904</v>
      </c>
      <c r="B1166" s="2" t="s">
        <v>2905</v>
      </c>
      <c r="C1166" s="2" t="s">
        <v>38</v>
      </c>
      <c r="D1166" s="2" t="s">
        <v>39</v>
      </c>
      <c r="E1166" s="5">
        <v>-31252</v>
      </c>
      <c r="F1166" s="3" t="s">
        <v>364</v>
      </c>
      <c r="G1166" s="3" t="s">
        <v>1437</v>
      </c>
      <c r="H1166" s="2" t="s">
        <v>62</v>
      </c>
      <c r="I1166" s="2" t="s">
        <v>2906</v>
      </c>
      <c r="J1166" s="3" t="str">
        <f>HYPERLINK("https://www.boe.es/gazeta/dias/1814/06/07/pdfs/GMD-1814-82.pdf#page=11","Abrir facsímil")</f>
        <v>Abrir facsímil</v>
      </c>
      <c r="K1166" s="3" t="s">
        <v>64</v>
      </c>
    </row>
    <row r="1167" spans="1:11" ht="42" customHeight="1">
      <c r="A1167" s="2" t="s">
        <v>2907</v>
      </c>
      <c r="B1167" s="2" t="s">
        <v>2908</v>
      </c>
      <c r="C1167" s="2" t="s">
        <v>17</v>
      </c>
      <c r="D1167" s="2" t="s">
        <v>18</v>
      </c>
      <c r="E1167" s="5">
        <v>-31119</v>
      </c>
      <c r="F1167" s="3" t="s">
        <v>136</v>
      </c>
      <c r="G1167" s="3" t="s">
        <v>137</v>
      </c>
      <c r="H1167" s="2" t="s">
        <v>62</v>
      </c>
      <c r="I1167" s="2" t="s">
        <v>2909</v>
      </c>
      <c r="J1167" s="3" t="str">
        <f>HYPERLINK("https://www.boe.es/gazeta/dias/1814/10/18/pdfs/GMD-1814-140.pdf#page=9","Abrir facsímil")</f>
        <v>Abrir facsímil</v>
      </c>
      <c r="K1167" s="3" t="s">
        <v>64</v>
      </c>
    </row>
    <row r="1168" spans="1:11" ht="42" customHeight="1">
      <c r="A1168" s="2" t="s">
        <v>2910</v>
      </c>
      <c r="B1168" s="2" t="s">
        <v>2911</v>
      </c>
      <c r="C1168" s="2" t="s">
        <v>38</v>
      </c>
      <c r="D1168" s="2" t="s">
        <v>314</v>
      </c>
      <c r="E1168" s="5">
        <v>-31296</v>
      </c>
      <c r="F1168" s="3" t="s">
        <v>315</v>
      </c>
      <c r="G1168" s="3" t="s">
        <v>52</v>
      </c>
      <c r="H1168" s="2" t="s">
        <v>62</v>
      </c>
      <c r="I1168" s="2" t="s">
        <v>2912</v>
      </c>
      <c r="J1168" s="3" t="str">
        <f>HYPERLINK("https://www.boe.es/gazeta/dias/1814/04/24/pdfs/GRE-1814-60E.pdf#page=8","Abrir facsímil")</f>
        <v>Abrir facsímil</v>
      </c>
      <c r="K1168" s="3" t="s">
        <v>64</v>
      </c>
    </row>
    <row r="1169" spans="1:11" ht="42" customHeight="1">
      <c r="A1169" s="2" t="s">
        <v>2913</v>
      </c>
      <c r="B1169" s="2" t="s">
        <v>2913</v>
      </c>
      <c r="C1169" s="2" t="s">
        <v>38</v>
      </c>
      <c r="D1169" s="2" t="s">
        <v>39</v>
      </c>
      <c r="E1169" s="5">
        <v>-31112</v>
      </c>
      <c r="F1169" s="3" t="s">
        <v>707</v>
      </c>
      <c r="G1169" s="3" t="s">
        <v>708</v>
      </c>
      <c r="H1169" s="2" t="s">
        <v>62</v>
      </c>
      <c r="I1169" s="2" t="s">
        <v>2914</v>
      </c>
      <c r="J1169" s="3" t="str">
        <f>HYPERLINK("https://www.boe.es/gazeta/dias/1814/10/25/pdfs/GMD-1814-143.pdf#page=8","Abrir facsímil")</f>
        <v>Abrir facsímil</v>
      </c>
      <c r="K1169" s="3" t="s">
        <v>64</v>
      </c>
    </row>
    <row r="1170" spans="1:11" ht="42" customHeight="1">
      <c r="A1170" s="2" t="s">
        <v>2915</v>
      </c>
      <c r="B1170" s="2" t="s">
        <v>2916</v>
      </c>
      <c r="C1170" s="2" t="s">
        <v>38</v>
      </c>
      <c r="D1170" s="2" t="s">
        <v>314</v>
      </c>
      <c r="E1170" s="5">
        <v>-31296</v>
      </c>
      <c r="F1170" s="3" t="s">
        <v>315</v>
      </c>
      <c r="G1170" s="3" t="s">
        <v>57</v>
      </c>
      <c r="H1170" s="2" t="s">
        <v>62</v>
      </c>
      <c r="I1170" s="2" t="s">
        <v>2917</v>
      </c>
      <c r="J1170" s="3" t="str">
        <f>HYPERLINK("https://www.boe.es/gazeta/dias/1814/04/24/pdfs/GRE-1814-60E.pdf#page=6","Abrir facsímil")</f>
        <v>Abrir facsímil</v>
      </c>
      <c r="K1170" s="3" t="s">
        <v>64</v>
      </c>
    </row>
    <row r="1171" spans="1:11" ht="42" customHeight="1">
      <c r="A1171" s="2" t="s">
        <v>2918</v>
      </c>
      <c r="B1171" s="2" t="s">
        <v>2919</v>
      </c>
      <c r="C1171" s="2" t="s">
        <v>45</v>
      </c>
      <c r="D1171" s="2" t="s">
        <v>18</v>
      </c>
      <c r="E1171" s="5">
        <v>-31173</v>
      </c>
      <c r="F1171" s="3" t="s">
        <v>46</v>
      </c>
      <c r="G1171" s="3" t="s">
        <v>20</v>
      </c>
      <c r="H1171" s="2" t="s">
        <v>62</v>
      </c>
      <c r="I1171" s="2" t="s">
        <v>2920</v>
      </c>
      <c r="J1171" s="3" t="str">
        <f>HYPERLINK("https://www.boe.es/gazeta/dias/1814/08/25/pdfs/GMD-1814-116.pdf#page=7","Abrir facsímil")</f>
        <v>Abrir facsímil</v>
      </c>
      <c r="K1171" s="3" t="s">
        <v>64</v>
      </c>
    </row>
    <row r="1172" spans="1:11" ht="42" customHeight="1">
      <c r="A1172" s="2" t="s">
        <v>2921</v>
      </c>
      <c r="B1172" s="2" t="s">
        <v>2922</v>
      </c>
      <c r="C1172" s="2" t="s">
        <v>45</v>
      </c>
      <c r="D1172" s="2" t="s">
        <v>18</v>
      </c>
      <c r="E1172" s="5">
        <v>-31173</v>
      </c>
      <c r="F1172" s="3" t="s">
        <v>46</v>
      </c>
      <c r="G1172" s="3" t="s">
        <v>20</v>
      </c>
      <c r="H1172" s="2" t="s">
        <v>62</v>
      </c>
      <c r="I1172" s="2" t="s">
        <v>2923</v>
      </c>
      <c r="J1172" s="3" t="str">
        <f>HYPERLINK("https://www.boe.es/gazeta/dias/1814/08/25/pdfs/GMD-1814-116.pdf#page=7","Abrir facsímil")</f>
        <v>Abrir facsímil</v>
      </c>
      <c r="K1172" s="3" t="s">
        <v>64</v>
      </c>
    </row>
    <row r="1173" spans="1:11" ht="42" customHeight="1">
      <c r="A1173" s="2" t="s">
        <v>2924</v>
      </c>
      <c r="B1173" s="2" t="s">
        <v>2925</v>
      </c>
      <c r="C1173" s="2" t="s">
        <v>26</v>
      </c>
      <c r="D1173" s="2" t="s">
        <v>27</v>
      </c>
      <c r="E1173" s="5">
        <v>-31157</v>
      </c>
      <c r="F1173" s="3" t="s">
        <v>206</v>
      </c>
      <c r="G1173" s="3" t="s">
        <v>52</v>
      </c>
      <c r="H1173" s="2" t="s">
        <v>62</v>
      </c>
      <c r="I1173" s="2" t="s">
        <v>2926</v>
      </c>
      <c r="J1173" s="3" t="str">
        <f>HYPERLINK("https://www.boe.es/gazeta/dias/1814/09/10/pdfs/GMD-1814-124.pdf#page=8","Abrir facsímil")</f>
        <v>Abrir facsímil</v>
      </c>
      <c r="K1173" s="3" t="s">
        <v>64</v>
      </c>
    </row>
    <row r="1174" spans="1:11" ht="42" customHeight="1">
      <c r="A1174" s="2" t="s">
        <v>2927</v>
      </c>
      <c r="B1174" s="2" t="s">
        <v>2928</v>
      </c>
      <c r="C1174" s="2" t="s">
        <v>17</v>
      </c>
      <c r="D1174" s="2" t="s">
        <v>18</v>
      </c>
      <c r="E1174" s="5">
        <v>-31154</v>
      </c>
      <c r="F1174" s="3" t="s">
        <v>688</v>
      </c>
      <c r="G1174" s="3" t="s">
        <v>52</v>
      </c>
      <c r="H1174" s="2" t="s">
        <v>21</v>
      </c>
      <c r="I1174" s="2" t="s">
        <v>2929</v>
      </c>
      <c r="J1174" s="3" t="str">
        <f>HYPERLINK("https://www.boe.es/gazeta/dias/1814/09/13/pdfs/GMD-1814-125.pdf#page=8","Abrir facsímil")</f>
        <v>Abrir facsímil</v>
      </c>
      <c r="K1174" s="3" t="s">
        <v>23</v>
      </c>
    </row>
    <row r="1175" spans="1:11" ht="42" customHeight="1">
      <c r="A1175" s="2" t="s">
        <v>2930</v>
      </c>
      <c r="B1175" s="2" t="s">
        <v>2931</v>
      </c>
      <c r="C1175" s="2" t="s">
        <v>26</v>
      </c>
      <c r="D1175" s="2" t="s">
        <v>27</v>
      </c>
      <c r="E1175" s="5">
        <v>-31187</v>
      </c>
      <c r="F1175" s="3" t="s">
        <v>518</v>
      </c>
      <c r="G1175" s="3" t="s">
        <v>52</v>
      </c>
      <c r="H1175" s="2" t="s">
        <v>62</v>
      </c>
      <c r="I1175" s="2" t="s">
        <v>2932</v>
      </c>
      <c r="J1175" s="3" t="str">
        <f>HYPERLINK("https://www.boe.es/gazeta/dias/1814/08/11/pdfs/GMD-1814-110.pdf#page=8","Abrir facsímil")</f>
        <v>Abrir facsímil</v>
      </c>
      <c r="K1175" s="3" t="s">
        <v>64</v>
      </c>
    </row>
    <row r="1176" spans="1:11" ht="42" customHeight="1">
      <c r="A1176" s="2" t="s">
        <v>2933</v>
      </c>
      <c r="B1176" s="2" t="s">
        <v>2934</v>
      </c>
      <c r="C1176" s="2" t="s">
        <v>17</v>
      </c>
      <c r="D1176" s="2" t="s">
        <v>18</v>
      </c>
      <c r="E1176" s="5">
        <v>-31108</v>
      </c>
      <c r="F1176" s="3" t="s">
        <v>528</v>
      </c>
      <c r="G1176" s="3" t="s">
        <v>52</v>
      </c>
      <c r="H1176" s="2" t="s">
        <v>62</v>
      </c>
      <c r="I1176" s="2" t="s">
        <v>2935</v>
      </c>
      <c r="J1176" s="3" t="str">
        <f>HYPERLINK("https://www.boe.es/gazeta/dias/1814/10/29/pdfs/GMD-1814-145.pdf#page=8","Abrir facsímil")</f>
        <v>Abrir facsímil</v>
      </c>
      <c r="K1176" s="3" t="s">
        <v>64</v>
      </c>
    </row>
    <row r="1177" spans="1:11" ht="42" customHeight="1">
      <c r="A1177" s="2" t="s">
        <v>2936</v>
      </c>
      <c r="B1177" s="2" t="s">
        <v>2936</v>
      </c>
      <c r="C1177" s="2" t="s">
        <v>38</v>
      </c>
      <c r="D1177" s="2" t="s">
        <v>39</v>
      </c>
      <c r="E1177" s="5">
        <v>-31210</v>
      </c>
      <c r="F1177" s="3" t="s">
        <v>141</v>
      </c>
      <c r="G1177" s="3" t="s">
        <v>99</v>
      </c>
      <c r="H1177" s="2" t="s">
        <v>62</v>
      </c>
      <c r="I1177" s="2" t="s">
        <v>2937</v>
      </c>
      <c r="J1177" s="3" t="str">
        <f>HYPERLINK("https://www.boe.es/gazeta/dias/1814/07/19/pdfs/GMD-1814-100.pdf#page=5","Abrir facsímil")</f>
        <v>Abrir facsímil</v>
      </c>
      <c r="K1177" s="3" t="s">
        <v>64</v>
      </c>
    </row>
    <row r="1178" spans="1:11" ht="42" customHeight="1">
      <c r="A1178" s="2" t="s">
        <v>2938</v>
      </c>
      <c r="B1178" s="2" t="s">
        <v>2939</v>
      </c>
      <c r="C1178" s="2" t="s">
        <v>26</v>
      </c>
      <c r="D1178" s="2" t="s">
        <v>27</v>
      </c>
      <c r="E1178" s="5">
        <v>-31056</v>
      </c>
      <c r="F1178" s="3" t="s">
        <v>540</v>
      </c>
      <c r="G1178" s="3" t="s">
        <v>41</v>
      </c>
      <c r="H1178" s="2" t="s">
        <v>62</v>
      </c>
      <c r="I1178" s="2" t="s">
        <v>2940</v>
      </c>
      <c r="J1178" s="3" t="str">
        <f>HYPERLINK("https://www.boe.es/gazeta/dias/1814/12/20/pdfs/GMD-1814-168.pdf#page=4","Abrir facsímil")</f>
        <v>Abrir facsímil</v>
      </c>
      <c r="K1178" s="3" t="s">
        <v>64</v>
      </c>
    </row>
    <row r="1179" spans="1:11" ht="42" customHeight="1">
      <c r="A1179" s="2" t="s">
        <v>2941</v>
      </c>
      <c r="B1179" s="2" t="s">
        <v>2942</v>
      </c>
      <c r="C1179" s="2" t="s">
        <v>32</v>
      </c>
      <c r="D1179" s="2" t="s">
        <v>18</v>
      </c>
      <c r="E1179" s="5">
        <v>-31215</v>
      </c>
      <c r="F1179" s="3" t="s">
        <v>372</v>
      </c>
      <c r="G1179" s="3" t="s">
        <v>373</v>
      </c>
      <c r="H1179" s="2" t="s">
        <v>62</v>
      </c>
      <c r="I1179" s="2" t="s">
        <v>2943</v>
      </c>
      <c r="J1179" s="3" t="str">
        <f>HYPERLINK("https://www.boe.es/gazeta/dias/1814/07/14/pdfs/GMD-1814-98.pdf#page=7","Abrir facsímil")</f>
        <v>Abrir facsímil</v>
      </c>
      <c r="K1179" s="3" t="s">
        <v>64</v>
      </c>
    </row>
    <row r="1180" spans="1:11" ht="42" customHeight="1">
      <c r="A1180" s="2" t="s">
        <v>2944</v>
      </c>
      <c r="B1180" s="2" t="s">
        <v>2945</v>
      </c>
      <c r="C1180" s="2" t="s">
        <v>32</v>
      </c>
      <c r="D1180" s="2" t="s">
        <v>18</v>
      </c>
      <c r="E1180" s="5">
        <v>-31070</v>
      </c>
      <c r="F1180" s="3" t="s">
        <v>92</v>
      </c>
      <c r="G1180" s="3" t="s">
        <v>41</v>
      </c>
      <c r="H1180" s="2" t="s">
        <v>62</v>
      </c>
      <c r="I1180" s="2" t="s">
        <v>2946</v>
      </c>
      <c r="J1180" s="3" t="str">
        <f>HYPERLINK("https://www.boe.es/gazeta/dias/1814/12/06/pdfs/GMD-1814-161.pdf#page=4","Abrir facsímil")</f>
        <v>Abrir facsímil</v>
      </c>
      <c r="K1180" s="3" t="s">
        <v>64</v>
      </c>
    </row>
    <row r="1181" spans="1:11" ht="42" customHeight="1">
      <c r="A1181" s="2" t="s">
        <v>2947</v>
      </c>
      <c r="B1181" s="2" t="s">
        <v>2947</v>
      </c>
      <c r="C1181" s="2" t="s">
        <v>38</v>
      </c>
      <c r="D1181" s="2" t="s">
        <v>39</v>
      </c>
      <c r="E1181" s="5">
        <v>-31112</v>
      </c>
      <c r="F1181" s="3" t="s">
        <v>707</v>
      </c>
      <c r="G1181" s="3" t="s">
        <v>708</v>
      </c>
      <c r="H1181" s="2" t="s">
        <v>62</v>
      </c>
      <c r="I1181" s="2" t="s">
        <v>2948</v>
      </c>
      <c r="J1181" s="3" t="str">
        <f>HYPERLINK("https://www.boe.es/gazeta/dias/1814/10/25/pdfs/GMD-1814-143.pdf#page=8","Abrir facsímil")</f>
        <v>Abrir facsímil</v>
      </c>
      <c r="K1181" s="3" t="s">
        <v>64</v>
      </c>
    </row>
    <row r="1182" spans="1:11" ht="42" customHeight="1">
      <c r="A1182" s="2" t="s">
        <v>2949</v>
      </c>
      <c r="B1182" s="2" t="s">
        <v>2950</v>
      </c>
      <c r="C1182" s="2" t="s">
        <v>32</v>
      </c>
      <c r="D1182" s="2" t="s">
        <v>18</v>
      </c>
      <c r="E1182" s="5">
        <v>-31236</v>
      </c>
      <c r="F1182" s="3" t="s">
        <v>33</v>
      </c>
      <c r="G1182" s="3" t="s">
        <v>34</v>
      </c>
      <c r="H1182" s="2" t="s">
        <v>62</v>
      </c>
      <c r="I1182" s="2" t="s">
        <v>2951</v>
      </c>
      <c r="J1182" s="3" t="str">
        <f>HYPERLINK("https://www.boe.es/gazeta/dias/1814/06/23/pdfs/GMD-1814-89.pdf#page=6","Abrir facsímil")</f>
        <v>Abrir facsímil</v>
      </c>
      <c r="K1182" s="3" t="s">
        <v>64</v>
      </c>
    </row>
    <row r="1183" spans="1:11" ht="42" customHeight="1">
      <c r="A1183" s="2" t="s">
        <v>2952</v>
      </c>
      <c r="B1183" s="2" t="s">
        <v>2953</v>
      </c>
      <c r="C1183" s="2" t="s">
        <v>26</v>
      </c>
      <c r="D1183" s="2" t="s">
        <v>27</v>
      </c>
      <c r="E1183" s="5">
        <v>-31129</v>
      </c>
      <c r="F1183" s="3" t="s">
        <v>418</v>
      </c>
      <c r="G1183" s="3" t="s">
        <v>20</v>
      </c>
      <c r="H1183" s="2" t="s">
        <v>62</v>
      </c>
      <c r="I1183" s="2" t="s">
        <v>2954</v>
      </c>
      <c r="J1183" s="3" t="str">
        <f>HYPERLINK("https://www.boe.es/gazeta/dias/1814/10/08/pdfs/GMD-1814-136.pdf#page=7","Abrir facsímil")</f>
        <v>Abrir facsímil</v>
      </c>
      <c r="K1183" s="3" t="s">
        <v>64</v>
      </c>
    </row>
    <row r="1184" spans="1:11" ht="42" customHeight="1">
      <c r="A1184" s="2" t="s">
        <v>2955</v>
      </c>
      <c r="B1184" s="2" t="s">
        <v>2956</v>
      </c>
      <c r="C1184" s="2" t="s">
        <v>38</v>
      </c>
      <c r="D1184" s="2" t="s">
        <v>314</v>
      </c>
      <c r="E1184" s="5">
        <v>-31296</v>
      </c>
      <c r="F1184" s="3" t="s">
        <v>315</v>
      </c>
      <c r="G1184" s="3" t="s">
        <v>20</v>
      </c>
      <c r="H1184" s="2" t="s">
        <v>62</v>
      </c>
      <c r="I1184" s="2" t="s">
        <v>2957</v>
      </c>
      <c r="J1184" s="3" t="str">
        <f>HYPERLINK("https://www.boe.es/gazeta/dias/1814/04/24/pdfs/GRE-1814-60E.pdf#page=7","Abrir facsímil")</f>
        <v>Abrir facsímil</v>
      </c>
      <c r="K1184" s="3" t="s">
        <v>64</v>
      </c>
    </row>
    <row r="1185" spans="1:11" ht="42" customHeight="1">
      <c r="A1185" s="2" t="s">
        <v>2958</v>
      </c>
      <c r="B1185" s="2" t="s">
        <v>2959</v>
      </c>
      <c r="C1185" s="2" t="s">
        <v>38</v>
      </c>
      <c r="D1185" s="2" t="s">
        <v>314</v>
      </c>
      <c r="E1185" s="5">
        <v>-31296</v>
      </c>
      <c r="F1185" s="3" t="s">
        <v>315</v>
      </c>
      <c r="G1185" s="3" t="s">
        <v>52</v>
      </c>
      <c r="H1185" s="2" t="s">
        <v>62</v>
      </c>
      <c r="I1185" s="2" t="s">
        <v>2960</v>
      </c>
      <c r="J1185" s="3" t="str">
        <f>HYPERLINK("https://www.boe.es/gazeta/dias/1814/04/24/pdfs/GRE-1814-60E.pdf#page=8","Abrir facsímil")</f>
        <v>Abrir facsímil</v>
      </c>
      <c r="K1185" s="3" t="s">
        <v>64</v>
      </c>
    </row>
    <row r="1186" spans="1:11" ht="42" customHeight="1">
      <c r="A1186" s="2" t="s">
        <v>2961</v>
      </c>
      <c r="B1186" s="2" t="s">
        <v>2961</v>
      </c>
      <c r="C1186" s="2" t="s">
        <v>38</v>
      </c>
      <c r="D1186" s="2" t="s">
        <v>39</v>
      </c>
      <c r="E1186" s="5">
        <v>-31168</v>
      </c>
      <c r="F1186" s="3" t="s">
        <v>893</v>
      </c>
      <c r="G1186" s="3" t="s">
        <v>1981</v>
      </c>
      <c r="H1186" s="2" t="s">
        <v>62</v>
      </c>
      <c r="I1186" s="2" t="s">
        <v>2962</v>
      </c>
      <c r="J1186" s="3" t="str">
        <f>HYPERLINK("https://www.boe.es/gazeta/dias/1814/08/30/pdfs/GMD-1814-118.pdf#page=8","Abrir facsímil")</f>
        <v>Abrir facsímil</v>
      </c>
      <c r="K1186" s="3" t="s">
        <v>64</v>
      </c>
    </row>
    <row r="1187" spans="1:11" ht="42" customHeight="1">
      <c r="A1187" s="2" t="s">
        <v>2961</v>
      </c>
      <c r="B1187" s="2" t="s">
        <v>2961</v>
      </c>
      <c r="C1187" s="2" t="s">
        <v>38</v>
      </c>
      <c r="D1187" s="2" t="s">
        <v>39</v>
      </c>
      <c r="E1187" s="5">
        <v>-31098</v>
      </c>
      <c r="F1187" s="3" t="s">
        <v>290</v>
      </c>
      <c r="G1187" s="3" t="s">
        <v>41</v>
      </c>
      <c r="H1187" s="2" t="s">
        <v>62</v>
      </c>
      <c r="I1187" s="2" t="s">
        <v>2963</v>
      </c>
      <c r="J1187" s="3" t="str">
        <f>HYPERLINK("https://www.boe.es/gazeta/dias/1814/11/08/pdfs/GMD-1814-149.pdf#page=4","Abrir facsímil")</f>
        <v>Abrir facsímil</v>
      </c>
      <c r="K1187" s="3" t="s">
        <v>64</v>
      </c>
    </row>
    <row r="1188" spans="1:11" ht="42" customHeight="1">
      <c r="A1188" s="2" t="s">
        <v>2964</v>
      </c>
      <c r="B1188" s="2" t="s">
        <v>2965</v>
      </c>
      <c r="C1188" s="2" t="s">
        <v>17</v>
      </c>
      <c r="D1188" s="2" t="s">
        <v>18</v>
      </c>
      <c r="E1188" s="5">
        <v>-31210</v>
      </c>
      <c r="F1188" s="3" t="s">
        <v>141</v>
      </c>
      <c r="G1188" s="3" t="s">
        <v>52</v>
      </c>
      <c r="H1188" s="2" t="s">
        <v>62</v>
      </c>
      <c r="I1188" s="2" t="s">
        <v>2966</v>
      </c>
      <c r="J1188" s="3" t="str">
        <f>HYPERLINK("https://www.boe.es/gazeta/dias/1814/07/19/pdfs/GMD-1814-100.pdf#page=8","Abrir facsímil")</f>
        <v>Abrir facsímil</v>
      </c>
      <c r="K1188" s="3" t="s">
        <v>64</v>
      </c>
    </row>
    <row r="1189" spans="1:11" ht="42" customHeight="1">
      <c r="A1189" s="2" t="s">
        <v>2964</v>
      </c>
      <c r="B1189" s="2" t="s">
        <v>2965</v>
      </c>
      <c r="C1189" s="2" t="s">
        <v>26</v>
      </c>
      <c r="D1189" s="2" t="s">
        <v>27</v>
      </c>
      <c r="E1189" s="5">
        <v>-31129</v>
      </c>
      <c r="F1189" s="3" t="s">
        <v>418</v>
      </c>
      <c r="G1189" s="3" t="s">
        <v>41</v>
      </c>
      <c r="H1189" s="2" t="s">
        <v>62</v>
      </c>
      <c r="I1189" s="2" t="s">
        <v>2967</v>
      </c>
      <c r="J1189" s="3" t="str">
        <f>HYPERLINK("https://www.boe.es/gazeta/dias/1814/10/08/pdfs/GMD-1814-136.pdf#page=4","Abrir facsímil")</f>
        <v>Abrir facsímil</v>
      </c>
      <c r="K1189" s="3" t="s">
        <v>64</v>
      </c>
    </row>
    <row r="1190" spans="1:11" ht="42" customHeight="1">
      <c r="A1190" s="2" t="s">
        <v>2964</v>
      </c>
      <c r="B1190" s="2" t="s">
        <v>2965</v>
      </c>
      <c r="C1190" s="2" t="s">
        <v>38</v>
      </c>
      <c r="D1190" s="2" t="s">
        <v>39</v>
      </c>
      <c r="E1190" s="5">
        <v>-31096</v>
      </c>
      <c r="F1190" s="3" t="s">
        <v>223</v>
      </c>
      <c r="G1190" s="3" t="s">
        <v>57</v>
      </c>
      <c r="H1190" s="2" t="s">
        <v>62</v>
      </c>
      <c r="I1190" s="2" t="s">
        <v>2968</v>
      </c>
      <c r="J1190" s="3" t="str">
        <f>HYPERLINK("https://www.boe.es/gazeta/dias/1814/11/10/pdfs/GMD-1814-150.pdf#page=6","Abrir facsímil")</f>
        <v>Abrir facsímil</v>
      </c>
      <c r="K1190" s="3" t="s">
        <v>64</v>
      </c>
    </row>
    <row r="1191" spans="1:11" ht="42" customHeight="1">
      <c r="A1191" s="2" t="s">
        <v>2969</v>
      </c>
      <c r="B1191" s="2" t="s">
        <v>2970</v>
      </c>
      <c r="C1191" s="2" t="s">
        <v>38</v>
      </c>
      <c r="D1191" s="2" t="s">
        <v>314</v>
      </c>
      <c r="E1191" s="5">
        <v>-31296</v>
      </c>
      <c r="F1191" s="3" t="s">
        <v>315</v>
      </c>
      <c r="G1191" s="3" t="s">
        <v>52</v>
      </c>
      <c r="H1191" s="2" t="s">
        <v>62</v>
      </c>
      <c r="I1191" s="2" t="s">
        <v>2971</v>
      </c>
      <c r="J1191" s="3" t="str">
        <f>HYPERLINK("https://www.boe.es/gazeta/dias/1814/04/24/pdfs/GRE-1814-60E.pdf#page=8","Abrir facsímil")</f>
        <v>Abrir facsímil</v>
      </c>
      <c r="K1191" s="3" t="s">
        <v>64</v>
      </c>
    </row>
    <row r="1192" spans="1:11" ht="42" customHeight="1">
      <c r="A1192" s="2" t="s">
        <v>2972</v>
      </c>
      <c r="B1192" s="2" t="s">
        <v>2973</v>
      </c>
      <c r="C1192" s="2" t="s">
        <v>38</v>
      </c>
      <c r="D1192" s="2" t="s">
        <v>314</v>
      </c>
      <c r="E1192" s="5">
        <v>-31296</v>
      </c>
      <c r="F1192" s="3" t="s">
        <v>315</v>
      </c>
      <c r="G1192" s="3" t="s">
        <v>52</v>
      </c>
      <c r="H1192" s="2" t="s">
        <v>62</v>
      </c>
      <c r="I1192" s="2" t="s">
        <v>2974</v>
      </c>
      <c r="J1192" s="3" t="str">
        <f>HYPERLINK("https://www.boe.es/gazeta/dias/1814/04/24/pdfs/GRE-1814-60E.pdf#page=8","Abrir facsímil")</f>
        <v>Abrir facsímil</v>
      </c>
      <c r="K1192" s="3" t="s">
        <v>64</v>
      </c>
    </row>
    <row r="1193" spans="1:11" ht="42" customHeight="1">
      <c r="A1193" s="2" t="s">
        <v>2975</v>
      </c>
      <c r="B1193" s="2" t="s">
        <v>2976</v>
      </c>
      <c r="C1193" s="2" t="s">
        <v>38</v>
      </c>
      <c r="D1193" s="2" t="s">
        <v>39</v>
      </c>
      <c r="E1193" s="5">
        <v>-31150</v>
      </c>
      <c r="F1193" s="3" t="s">
        <v>106</v>
      </c>
      <c r="G1193" s="3" t="s">
        <v>52</v>
      </c>
      <c r="H1193" s="2" t="s">
        <v>62</v>
      </c>
      <c r="I1193" s="2" t="s">
        <v>2977</v>
      </c>
      <c r="J1193" s="3" t="str">
        <f>HYPERLINK("https://www.boe.es/gazeta/dias/1814/09/17/pdfs/GMD-1814-127.pdf#page=8","Abrir facsímil")</f>
        <v>Abrir facsímil</v>
      </c>
      <c r="K1193" s="3" t="s">
        <v>64</v>
      </c>
    </row>
    <row r="1194" spans="1:11" ht="42" customHeight="1">
      <c r="A1194" s="2" t="s">
        <v>2978</v>
      </c>
      <c r="B1194" s="2" t="s">
        <v>2979</v>
      </c>
      <c r="C1194" s="2" t="s">
        <v>17</v>
      </c>
      <c r="D1194" s="2" t="s">
        <v>18</v>
      </c>
      <c r="E1194" s="5">
        <v>-31119</v>
      </c>
      <c r="F1194" s="3" t="s">
        <v>136</v>
      </c>
      <c r="G1194" s="3" t="s">
        <v>704</v>
      </c>
      <c r="H1194" s="2" t="s">
        <v>62</v>
      </c>
      <c r="I1194" s="2" t="s">
        <v>2980</v>
      </c>
      <c r="J1194" s="3" t="str">
        <f>HYPERLINK("https://www.boe.es/gazeta/dias/1814/10/18/pdfs/GMD-1814-140.pdf#page=10","Abrir facsímil")</f>
        <v>Abrir facsímil</v>
      </c>
      <c r="K1194" s="3" t="s">
        <v>64</v>
      </c>
    </row>
    <row r="1195" spans="1:11" ht="42" customHeight="1">
      <c r="A1195" s="2" t="s">
        <v>2981</v>
      </c>
      <c r="B1195" s="2" t="s">
        <v>2981</v>
      </c>
      <c r="C1195" s="2" t="s">
        <v>38</v>
      </c>
      <c r="D1195" s="2" t="s">
        <v>39</v>
      </c>
      <c r="E1195" s="5">
        <v>-31399</v>
      </c>
      <c r="F1195" s="3" t="s">
        <v>218</v>
      </c>
      <c r="G1195" s="3" t="s">
        <v>99</v>
      </c>
      <c r="H1195" s="2" t="s">
        <v>62</v>
      </c>
      <c r="I1195" s="2" t="s">
        <v>2982</v>
      </c>
      <c r="J1195" s="3" t="str">
        <f>HYPERLINK("https://www.boe.es/gazeta/dias/1814/01/11/pdfs/GRE-1814-6.pdf#page=5","Abrir facsímil")</f>
        <v>Abrir facsímil</v>
      </c>
      <c r="K1195" s="3" t="s">
        <v>64</v>
      </c>
    </row>
    <row r="1196" spans="1:11" ht="42" customHeight="1">
      <c r="A1196" s="2" t="s">
        <v>2981</v>
      </c>
      <c r="B1196" s="2" t="s">
        <v>2981</v>
      </c>
      <c r="C1196" s="2" t="s">
        <v>38</v>
      </c>
      <c r="D1196" s="2" t="s">
        <v>39</v>
      </c>
      <c r="E1196" s="5">
        <v>-31336</v>
      </c>
      <c r="F1196" s="3" t="s">
        <v>1789</v>
      </c>
      <c r="G1196" s="3" t="s">
        <v>57</v>
      </c>
      <c r="H1196" s="2" t="s">
        <v>62</v>
      </c>
      <c r="I1196" s="2" t="s">
        <v>2983</v>
      </c>
      <c r="J1196" s="3" t="str">
        <f>HYPERLINK("https://www.boe.es/gazeta/dias/1814/03/15/pdfs/GRE-1814-36.pdf#page=6","Abrir facsímil")</f>
        <v>Abrir facsímil</v>
      </c>
      <c r="K1196" s="3" t="s">
        <v>64</v>
      </c>
    </row>
    <row r="1197" spans="1:11" ht="42" customHeight="1">
      <c r="A1197" s="2" t="s">
        <v>2984</v>
      </c>
      <c r="B1197" s="2" t="s">
        <v>2984</v>
      </c>
      <c r="C1197" s="2" t="s">
        <v>26</v>
      </c>
      <c r="D1197" s="2" t="s">
        <v>27</v>
      </c>
      <c r="E1197" s="5">
        <v>-31194</v>
      </c>
      <c r="F1197" s="3" t="s">
        <v>333</v>
      </c>
      <c r="G1197" s="3" t="s">
        <v>107</v>
      </c>
      <c r="H1197" s="2" t="s">
        <v>62</v>
      </c>
      <c r="I1197" s="2" t="s">
        <v>2985</v>
      </c>
      <c r="J1197" s="3" t="str">
        <f>HYPERLINK("https://www.boe.es/gazeta/dias/1814/08/04/pdfs/GMD-1814-107.pdf#page=1","Abrir facsímil")</f>
        <v>Abrir facsímil</v>
      </c>
      <c r="K1197" s="3" t="s">
        <v>64</v>
      </c>
    </row>
    <row r="1198" spans="1:11" ht="42" customHeight="1">
      <c r="A1198" s="2" t="s">
        <v>2986</v>
      </c>
      <c r="B1198" s="2" t="s">
        <v>2987</v>
      </c>
      <c r="C1198" s="2" t="s">
        <v>26</v>
      </c>
      <c r="D1198" s="2" t="s">
        <v>27</v>
      </c>
      <c r="E1198" s="5">
        <v>-31143</v>
      </c>
      <c r="F1198" s="3" t="s">
        <v>787</v>
      </c>
      <c r="G1198" s="3" t="s">
        <v>20</v>
      </c>
      <c r="H1198" s="2" t="s">
        <v>62</v>
      </c>
      <c r="I1198" s="2" t="s">
        <v>2988</v>
      </c>
      <c r="J1198" s="3" t="str">
        <f>HYPERLINK("https://www.boe.es/gazeta/dias/1814/09/24/pdfs/GMD-1814-130.pdf#page=7","Abrir facsímil")</f>
        <v>Abrir facsímil</v>
      </c>
      <c r="K1198" s="3" t="s">
        <v>64</v>
      </c>
    </row>
    <row r="1199" spans="1:11" ht="42" customHeight="1">
      <c r="A1199" s="2" t="s">
        <v>2989</v>
      </c>
      <c r="B1199" s="2" t="s">
        <v>2990</v>
      </c>
      <c r="C1199" s="2" t="s">
        <v>144</v>
      </c>
      <c r="D1199" s="2" t="s">
        <v>18</v>
      </c>
      <c r="E1199" s="5">
        <v>-31096</v>
      </c>
      <c r="F1199" s="3" t="s">
        <v>223</v>
      </c>
      <c r="G1199" s="3" t="s">
        <v>972</v>
      </c>
      <c r="H1199" s="2" t="s">
        <v>21</v>
      </c>
      <c r="I1199" s="2" t="s">
        <v>2991</v>
      </c>
      <c r="J1199" s="3" t="str">
        <f>HYPERLINK("https://www.boe.es/gazeta/dias/1814/11/10/pdfs/GMD-1814-150.pdf#page=8","Abrir facsímil")</f>
        <v>Abrir facsímil</v>
      </c>
      <c r="K1199" s="3" t="s">
        <v>23</v>
      </c>
    </row>
    <row r="1200" spans="1:11" ht="42" customHeight="1">
      <c r="A1200" s="2" t="s">
        <v>2992</v>
      </c>
      <c r="B1200" s="2" t="s">
        <v>2993</v>
      </c>
      <c r="C1200" s="2" t="s">
        <v>26</v>
      </c>
      <c r="D1200" s="2" t="s">
        <v>27</v>
      </c>
      <c r="E1200" s="5">
        <v>-31077</v>
      </c>
      <c r="F1200" s="3" t="s">
        <v>414</v>
      </c>
      <c r="G1200" s="3" t="s">
        <v>41</v>
      </c>
      <c r="H1200" s="2" t="s">
        <v>62</v>
      </c>
      <c r="I1200" s="2" t="s">
        <v>2994</v>
      </c>
      <c r="J1200" s="3" t="str">
        <f>HYPERLINK("https://www.boe.es/gazeta/dias/1814/11/29/pdfs/GMD-1814-158.pdf#page=4","Abrir facsímil")</f>
        <v>Abrir facsímil</v>
      </c>
      <c r="K1200" s="3" t="s">
        <v>64</v>
      </c>
    </row>
    <row r="1201" spans="1:11" ht="42" customHeight="1">
      <c r="A1201" s="2" t="s">
        <v>2995</v>
      </c>
      <c r="B1201" s="2" t="s">
        <v>2996</v>
      </c>
      <c r="C1201" s="2" t="s">
        <v>17</v>
      </c>
      <c r="D1201" s="2" t="s">
        <v>18</v>
      </c>
      <c r="E1201" s="5">
        <v>-31122</v>
      </c>
      <c r="F1201" s="3" t="s">
        <v>28</v>
      </c>
      <c r="G1201" s="3" t="s">
        <v>20</v>
      </c>
      <c r="H1201" s="2" t="s">
        <v>62</v>
      </c>
      <c r="I1201" s="2" t="s">
        <v>2997</v>
      </c>
      <c r="J1201" s="3" t="str">
        <f>HYPERLINK("https://www.boe.es/gazeta/dias/1814/10/15/pdfs/GMD-1814-139.pdf#page=7","Abrir facsímil")</f>
        <v>Abrir facsímil</v>
      </c>
      <c r="K1201" s="3" t="s">
        <v>64</v>
      </c>
    </row>
    <row r="1202" spans="1:11" ht="42" customHeight="1">
      <c r="A1202" s="2" t="s">
        <v>2998</v>
      </c>
      <c r="B1202" s="2" t="s">
        <v>2999</v>
      </c>
      <c r="C1202" s="2" t="s">
        <v>26</v>
      </c>
      <c r="D1202" s="2" t="s">
        <v>27</v>
      </c>
      <c r="E1202" s="5">
        <v>-31194</v>
      </c>
      <c r="F1202" s="3" t="s">
        <v>333</v>
      </c>
      <c r="G1202" s="3" t="s">
        <v>3000</v>
      </c>
      <c r="H1202" s="2" t="s">
        <v>62</v>
      </c>
      <c r="I1202" s="2" t="s">
        <v>3001</v>
      </c>
      <c r="J1202" s="3" t="str">
        <f>HYPERLINK("https://www.boe.es/gazeta/dias/1814/08/04/pdfs/GMD-1814-107.pdf#page=4","Abrir facsímil")</f>
        <v>Abrir facsímil</v>
      </c>
      <c r="K1202" s="3" t="s">
        <v>64</v>
      </c>
    </row>
    <row r="1203" spans="1:11" ht="42" customHeight="1">
      <c r="A1203" s="2" t="s">
        <v>3002</v>
      </c>
      <c r="B1203" s="2" t="s">
        <v>3003</v>
      </c>
      <c r="C1203" s="2" t="s">
        <v>144</v>
      </c>
      <c r="D1203" s="2" t="s">
        <v>18</v>
      </c>
      <c r="E1203" s="5">
        <v>-31348</v>
      </c>
      <c r="F1203" s="3" t="s">
        <v>898</v>
      </c>
      <c r="G1203" s="3" t="s">
        <v>961</v>
      </c>
      <c r="H1203" s="2" t="s">
        <v>62</v>
      </c>
      <c r="I1203" s="2" t="s">
        <v>3004</v>
      </c>
      <c r="J1203" s="3" t="str">
        <f>HYPERLINK("https://www.boe.es/gazeta/dias/1814/03/03/pdfs/GRE-1814-29.pdf#page=7","Abrir facsímil")</f>
        <v>Abrir facsímil</v>
      </c>
      <c r="K1203" s="3" t="s">
        <v>64</v>
      </c>
    </row>
    <row r="1204" spans="1:11" ht="42" customHeight="1">
      <c r="A1204" s="2" t="s">
        <v>3002</v>
      </c>
      <c r="B1204" s="2" t="s">
        <v>3003</v>
      </c>
      <c r="C1204" s="2" t="s">
        <v>26</v>
      </c>
      <c r="D1204" s="2" t="s">
        <v>27</v>
      </c>
      <c r="E1204" s="5">
        <v>-31080</v>
      </c>
      <c r="F1204" s="3" t="s">
        <v>286</v>
      </c>
      <c r="G1204" s="3" t="s">
        <v>677</v>
      </c>
      <c r="H1204" s="2" t="s">
        <v>62</v>
      </c>
      <c r="I1204" s="2" t="s">
        <v>3005</v>
      </c>
      <c r="J1204" s="3" t="str">
        <f>HYPERLINK("https://www.boe.es/gazeta/dias/1814/11/26/pdfs/GMD-1814-157.pdf#page=7","Abrir facsímil")</f>
        <v>Abrir facsímil</v>
      </c>
      <c r="K1204" s="3" t="s">
        <v>64</v>
      </c>
    </row>
    <row r="1205" spans="1:11" ht="42" customHeight="1">
      <c r="A1205" s="2" t="s">
        <v>3006</v>
      </c>
      <c r="B1205" s="2" t="s">
        <v>3007</v>
      </c>
      <c r="C1205" s="2" t="s">
        <v>45</v>
      </c>
      <c r="D1205" s="2" t="s">
        <v>18</v>
      </c>
      <c r="E1205" s="5">
        <v>-31131</v>
      </c>
      <c r="F1205" s="3" t="s">
        <v>132</v>
      </c>
      <c r="G1205" s="3" t="s">
        <v>20</v>
      </c>
      <c r="H1205" s="2" t="s">
        <v>62</v>
      </c>
      <c r="I1205" s="2" t="s">
        <v>3008</v>
      </c>
      <c r="J1205" s="3" t="str">
        <f>HYPERLINK("https://www.boe.es/gazeta/dias/1814/10/06/pdfs/GMD-1814-135.pdf#page=7","Abrir facsímil")</f>
        <v>Abrir facsímil</v>
      </c>
      <c r="K1205" s="3" t="s">
        <v>64</v>
      </c>
    </row>
    <row r="1206" spans="1:11" ht="42" customHeight="1">
      <c r="A1206" s="2" t="s">
        <v>3009</v>
      </c>
      <c r="B1206" s="2" t="s">
        <v>3010</v>
      </c>
      <c r="C1206" s="2" t="s">
        <v>26</v>
      </c>
      <c r="D1206" s="2" t="s">
        <v>27</v>
      </c>
      <c r="E1206" s="5">
        <v>-31213</v>
      </c>
      <c r="F1206" s="3" t="s">
        <v>276</v>
      </c>
      <c r="G1206" s="3" t="s">
        <v>57</v>
      </c>
      <c r="H1206" s="2" t="s">
        <v>62</v>
      </c>
      <c r="I1206" s="2" t="s">
        <v>3011</v>
      </c>
      <c r="J1206" s="3" t="str">
        <f>HYPERLINK("https://www.boe.es/gazeta/dias/1814/07/16/pdfs/GMD-1814-99.pdf#page=6","Abrir facsímil")</f>
        <v>Abrir facsímil</v>
      </c>
      <c r="K1206" s="3" t="s">
        <v>64</v>
      </c>
    </row>
    <row r="1207" spans="1:11" ht="42" customHeight="1">
      <c r="A1207" s="2" t="s">
        <v>3012</v>
      </c>
      <c r="B1207" s="2" t="s">
        <v>3013</v>
      </c>
      <c r="C1207" s="2" t="s">
        <v>17</v>
      </c>
      <c r="D1207" s="2" t="s">
        <v>18</v>
      </c>
      <c r="E1207" s="5">
        <v>-31217</v>
      </c>
      <c r="F1207" s="3" t="s">
        <v>506</v>
      </c>
      <c r="G1207" s="3" t="s">
        <v>3014</v>
      </c>
      <c r="H1207" s="2" t="s">
        <v>62</v>
      </c>
      <c r="I1207" s="2" t="s">
        <v>3015</v>
      </c>
      <c r="J1207" s="3" t="str">
        <f>HYPERLINK("https://www.boe.es/gazeta/dias/1814/07/12/pdfs/GMD-1814-97.pdf#page=8","Abrir facsímil")</f>
        <v>Abrir facsímil</v>
      </c>
      <c r="K1207" s="3" t="s">
        <v>64</v>
      </c>
    </row>
    <row r="1208" spans="1:11" ht="42" customHeight="1">
      <c r="A1208" s="2" t="s">
        <v>3016</v>
      </c>
      <c r="B1208" s="2" t="s">
        <v>3017</v>
      </c>
      <c r="C1208" s="2" t="s">
        <v>26</v>
      </c>
      <c r="D1208" s="2" t="s">
        <v>27</v>
      </c>
      <c r="E1208" s="5">
        <v>-31152</v>
      </c>
      <c r="F1208" s="3" t="s">
        <v>199</v>
      </c>
      <c r="G1208" s="3" t="s">
        <v>52</v>
      </c>
      <c r="H1208" s="2" t="s">
        <v>62</v>
      </c>
      <c r="I1208" s="2" t="s">
        <v>3018</v>
      </c>
      <c r="J1208" s="3" t="str">
        <f>HYPERLINK("https://www.boe.es/gazeta/dias/1814/09/15/pdfs/GMD-1814-126.pdf#page=8","Abrir facsímil")</f>
        <v>Abrir facsímil</v>
      </c>
      <c r="K1208" s="3" t="s">
        <v>64</v>
      </c>
    </row>
    <row r="1209" spans="1:11" ht="42" customHeight="1">
      <c r="A1209" s="2" t="s">
        <v>3019</v>
      </c>
      <c r="B1209" s="2" t="s">
        <v>3019</v>
      </c>
      <c r="C1209" s="2" t="s">
        <v>309</v>
      </c>
      <c r="D1209" s="2" t="s">
        <v>18</v>
      </c>
      <c r="E1209" s="5">
        <v>-31199</v>
      </c>
      <c r="F1209" s="3" t="s">
        <v>453</v>
      </c>
      <c r="G1209" s="3" t="s">
        <v>41</v>
      </c>
      <c r="H1209" s="2" t="s">
        <v>62</v>
      </c>
      <c r="I1209" s="2" t="s">
        <v>3020</v>
      </c>
      <c r="J1209" s="3" t="str">
        <f>HYPERLINK("https://www.boe.es/gazeta/dias/1814/07/30/pdfs/GMD-1814-105.pdf#page=4","Abrir facsímil")</f>
        <v>Abrir facsímil</v>
      </c>
      <c r="K1209" s="3" t="s">
        <v>64</v>
      </c>
    </row>
    <row r="1210" spans="1:11" ht="42" customHeight="1">
      <c r="A1210" s="2" t="s">
        <v>3021</v>
      </c>
      <c r="B1210" s="2" t="s">
        <v>3021</v>
      </c>
      <c r="C1210" s="2" t="s">
        <v>17</v>
      </c>
      <c r="D1210" s="2" t="s">
        <v>18</v>
      </c>
      <c r="E1210" s="5">
        <v>-31315</v>
      </c>
      <c r="F1210" s="3" t="s">
        <v>645</v>
      </c>
      <c r="G1210" s="3" t="s">
        <v>87</v>
      </c>
      <c r="H1210" s="2" t="s">
        <v>62</v>
      </c>
      <c r="I1210" s="2" t="s">
        <v>3022</v>
      </c>
      <c r="J1210" s="3" t="str">
        <f>HYPERLINK("https://www.boe.es/gazeta/dias/1814/04/05/pdfs/GRE-1814-49.pdf#page=2","Abrir facsímil")</f>
        <v>Abrir facsímil</v>
      </c>
      <c r="K1210" s="3" t="s">
        <v>64</v>
      </c>
    </row>
    <row r="1211" spans="1:11" ht="42" customHeight="1">
      <c r="A1211" s="2" t="s">
        <v>3023</v>
      </c>
      <c r="B1211" s="2" t="s">
        <v>3023</v>
      </c>
      <c r="C1211" s="2" t="s">
        <v>26</v>
      </c>
      <c r="D1211" s="2" t="s">
        <v>27</v>
      </c>
      <c r="E1211" s="5">
        <v>-31150</v>
      </c>
      <c r="F1211" s="3" t="s">
        <v>106</v>
      </c>
      <c r="G1211" s="3" t="s">
        <v>107</v>
      </c>
      <c r="H1211" s="2" t="s">
        <v>62</v>
      </c>
      <c r="I1211" s="2" t="s">
        <v>3024</v>
      </c>
      <c r="J1211" s="3" t="str">
        <f>HYPERLINK("https://www.boe.es/gazeta/dias/1814/09/17/pdfs/GMD-1814-127.pdf#page=1","Abrir facsímil")</f>
        <v>Abrir facsímil</v>
      </c>
      <c r="K1211" s="3" t="s">
        <v>64</v>
      </c>
    </row>
    <row r="1212" spans="1:11" ht="42" customHeight="1">
      <c r="A1212" s="2" t="s">
        <v>3025</v>
      </c>
      <c r="B1212" s="2" t="s">
        <v>3025</v>
      </c>
      <c r="C1212" s="2" t="s">
        <v>38</v>
      </c>
      <c r="D1212" s="2" t="s">
        <v>39</v>
      </c>
      <c r="E1212" s="5">
        <v>-31397</v>
      </c>
      <c r="F1212" s="3" t="s">
        <v>929</v>
      </c>
      <c r="G1212" s="3" t="s">
        <v>57</v>
      </c>
      <c r="H1212" s="2" t="s">
        <v>62</v>
      </c>
      <c r="I1212" s="2" t="s">
        <v>3026</v>
      </c>
      <c r="J1212" s="3" t="str">
        <f>HYPERLINK("https://www.boe.es/gazeta/dias/1814/01/13/pdfs/GRE-1814-7.pdf#page=6","Abrir facsímil")</f>
        <v>Abrir facsímil</v>
      </c>
      <c r="K1212" s="3" t="s">
        <v>64</v>
      </c>
    </row>
    <row r="1213" spans="1:11" ht="42" customHeight="1">
      <c r="A1213" s="2" t="s">
        <v>3025</v>
      </c>
      <c r="B1213" s="2" t="s">
        <v>3025</v>
      </c>
      <c r="C1213" s="2" t="s">
        <v>687</v>
      </c>
      <c r="D1213" s="2" t="s">
        <v>27</v>
      </c>
      <c r="E1213" s="5">
        <v>-31378</v>
      </c>
      <c r="F1213" s="3" t="s">
        <v>98</v>
      </c>
      <c r="G1213" s="3" t="s">
        <v>82</v>
      </c>
      <c r="H1213" s="2" t="s">
        <v>62</v>
      </c>
      <c r="I1213" s="2" t="s">
        <v>3027</v>
      </c>
      <c r="J1213" s="3" t="str">
        <f>HYPERLINK("https://www.boe.es/gazeta/dias/1814/02/01/pdfs/GRE-1814-15.pdf#page=3","Abrir facsímil")</f>
        <v>Abrir facsímil</v>
      </c>
      <c r="K1213" s="3" t="s">
        <v>64</v>
      </c>
    </row>
    <row r="1214" spans="1:11" ht="42" customHeight="1">
      <c r="A1214" s="2" t="s">
        <v>3025</v>
      </c>
      <c r="B1214" s="2" t="s">
        <v>3025</v>
      </c>
      <c r="C1214" s="2" t="s">
        <v>38</v>
      </c>
      <c r="D1214" s="2" t="s">
        <v>39</v>
      </c>
      <c r="E1214" s="5">
        <v>-31362</v>
      </c>
      <c r="F1214" s="3" t="s">
        <v>302</v>
      </c>
      <c r="G1214" s="3" t="s">
        <v>41</v>
      </c>
      <c r="H1214" s="2" t="s">
        <v>62</v>
      </c>
      <c r="I1214" s="2" t="s">
        <v>3028</v>
      </c>
      <c r="J1214" s="3" t="str">
        <f>HYPERLINK("https://www.boe.es/gazeta/dias/1814/02/17/pdfs/GRE-1814-22.pdf#page=4","Abrir facsímil")</f>
        <v>Abrir facsímil</v>
      </c>
      <c r="K1214" s="3" t="s">
        <v>64</v>
      </c>
    </row>
    <row r="1215" spans="1:11" ht="42" customHeight="1">
      <c r="A1215" s="2" t="s">
        <v>3025</v>
      </c>
      <c r="B1215" s="2" t="s">
        <v>3025</v>
      </c>
      <c r="C1215" s="2" t="s">
        <v>105</v>
      </c>
      <c r="D1215" s="2" t="s">
        <v>18</v>
      </c>
      <c r="E1215" s="5">
        <v>-31353</v>
      </c>
      <c r="F1215" s="3" t="s">
        <v>247</v>
      </c>
      <c r="G1215" s="3" t="s">
        <v>3029</v>
      </c>
      <c r="H1215" s="2" t="s">
        <v>62</v>
      </c>
      <c r="I1215" s="2" t="s">
        <v>3030</v>
      </c>
      <c r="J1215" s="3" t="str">
        <f>HYPERLINK("https://www.boe.es/gazeta/dias/1814/02/26/pdfs/GRE-1814-27.pdf#page=4","Abrir facsímil")</f>
        <v>Abrir facsímil</v>
      </c>
      <c r="K1215" s="3" t="s">
        <v>64</v>
      </c>
    </row>
    <row r="1216" spans="1:11" ht="42" customHeight="1">
      <c r="A1216" s="2" t="s">
        <v>3025</v>
      </c>
      <c r="B1216" s="2" t="s">
        <v>3025</v>
      </c>
      <c r="C1216" s="2" t="s">
        <v>38</v>
      </c>
      <c r="D1216" s="2" t="s">
        <v>39</v>
      </c>
      <c r="E1216" s="5">
        <v>-31346</v>
      </c>
      <c r="F1216" s="3" t="s">
        <v>78</v>
      </c>
      <c r="G1216" s="3" t="s">
        <v>3031</v>
      </c>
      <c r="H1216" s="2" t="s">
        <v>62</v>
      </c>
      <c r="I1216" s="2" t="s">
        <v>3032</v>
      </c>
      <c r="J1216" s="3" t="str">
        <f>HYPERLINK("https://www.boe.es/gazeta/dias/1814/03/05/pdfs/GRE-1814-30.pdf#page=5","Abrir facsímil")</f>
        <v>Abrir facsímil</v>
      </c>
      <c r="K1216" s="3" t="s">
        <v>64</v>
      </c>
    </row>
    <row r="1217" spans="1:11" ht="42" customHeight="1">
      <c r="A1217" s="2" t="s">
        <v>3025</v>
      </c>
      <c r="B1217" s="2" t="s">
        <v>3025</v>
      </c>
      <c r="C1217" s="2" t="s">
        <v>38</v>
      </c>
      <c r="D1217" s="2" t="s">
        <v>39</v>
      </c>
      <c r="E1217" s="5">
        <v>-31339</v>
      </c>
      <c r="F1217" s="3" t="s">
        <v>641</v>
      </c>
      <c r="G1217" s="3" t="s">
        <v>41</v>
      </c>
      <c r="H1217" s="2" t="s">
        <v>62</v>
      </c>
      <c r="I1217" s="2" t="s">
        <v>3033</v>
      </c>
      <c r="J1217" s="3" t="str">
        <f>HYPERLINK("https://www.boe.es/gazeta/dias/1814/03/12/pdfs/GRE-1814-35.pdf#page=4","Abrir facsímil")</f>
        <v>Abrir facsímil</v>
      </c>
      <c r="K1217" s="3" t="s">
        <v>64</v>
      </c>
    </row>
    <row r="1218" spans="1:11" ht="42" customHeight="1">
      <c r="A1218" s="2" t="s">
        <v>3025</v>
      </c>
      <c r="B1218" s="2" t="s">
        <v>3025</v>
      </c>
      <c r="C1218" s="2" t="s">
        <v>38</v>
      </c>
      <c r="D1218" s="2" t="s">
        <v>39</v>
      </c>
      <c r="E1218" s="5">
        <v>-31329</v>
      </c>
      <c r="F1218" s="3" t="s">
        <v>621</v>
      </c>
      <c r="G1218" s="3" t="s">
        <v>107</v>
      </c>
      <c r="H1218" s="2" t="s">
        <v>62</v>
      </c>
      <c r="I1218" s="2" t="s">
        <v>3034</v>
      </c>
      <c r="J1218" s="3" t="str">
        <f>HYPERLINK("https://www.boe.es/gazeta/dias/1814/03/22/pdfs/GRE-1814-39.pdf#page=1","Abrir facsímil")</f>
        <v>Abrir facsímil</v>
      </c>
      <c r="K1218" s="3" t="s">
        <v>64</v>
      </c>
    </row>
    <row r="1219" spans="1:11" ht="42" customHeight="1">
      <c r="A1219" s="2" t="s">
        <v>3025</v>
      </c>
      <c r="B1219" s="2" t="s">
        <v>3025</v>
      </c>
      <c r="C1219" s="2" t="s">
        <v>38</v>
      </c>
      <c r="D1219" s="2" t="s">
        <v>39</v>
      </c>
      <c r="E1219" s="5">
        <v>-31327</v>
      </c>
      <c r="F1219" s="3" t="s">
        <v>180</v>
      </c>
      <c r="G1219" s="3" t="s">
        <v>41</v>
      </c>
      <c r="H1219" s="2" t="s">
        <v>62</v>
      </c>
      <c r="I1219" s="2" t="s">
        <v>3035</v>
      </c>
      <c r="J1219" s="3" t="str">
        <f>HYPERLINK("https://www.boe.es/gazeta/dias/1814/03/24/pdfs/GRE-1814-41.pdf#page=4","Abrir facsímil")</f>
        <v>Abrir facsímil</v>
      </c>
      <c r="K1219" s="3" t="s">
        <v>64</v>
      </c>
    </row>
    <row r="1220" spans="1:11" ht="42" customHeight="1">
      <c r="A1220" s="2" t="s">
        <v>3025</v>
      </c>
      <c r="B1220" s="2" t="s">
        <v>3025</v>
      </c>
      <c r="C1220" s="2" t="s">
        <v>17</v>
      </c>
      <c r="D1220" s="2" t="s">
        <v>18</v>
      </c>
      <c r="E1220" s="5">
        <v>-31320</v>
      </c>
      <c r="F1220" s="3" t="s">
        <v>40</v>
      </c>
      <c r="G1220" s="3" t="s">
        <v>107</v>
      </c>
      <c r="H1220" s="2" t="s">
        <v>62</v>
      </c>
      <c r="I1220" s="2" t="s">
        <v>3036</v>
      </c>
      <c r="J1220" s="3" t="str">
        <f>HYPERLINK("https://www.boe.es/gazeta/dias/1814/03/31/pdfs/GRE-1814-46.pdf#page=1","Abrir facsímil")</f>
        <v>Abrir facsímil</v>
      </c>
      <c r="K1220" s="3" t="s">
        <v>64</v>
      </c>
    </row>
    <row r="1221" spans="1:11" ht="42" customHeight="1">
      <c r="A1221" s="2" t="s">
        <v>3025</v>
      </c>
      <c r="B1221" s="2" t="s">
        <v>3025</v>
      </c>
      <c r="C1221" s="2" t="s">
        <v>38</v>
      </c>
      <c r="D1221" s="2" t="s">
        <v>39</v>
      </c>
      <c r="E1221" s="5">
        <v>-31245</v>
      </c>
      <c r="F1221" s="3" t="s">
        <v>908</v>
      </c>
      <c r="G1221" s="3" t="s">
        <v>87</v>
      </c>
      <c r="H1221" s="2" t="s">
        <v>62</v>
      </c>
      <c r="I1221" s="2" t="s">
        <v>3037</v>
      </c>
      <c r="J1221" s="3" t="str">
        <f>HYPERLINK("https://www.boe.es/gazeta/dias/1814/06/14/pdfs/GMD-1814-85.pdf#page=2","Abrir facsímil")</f>
        <v>Abrir facsímil</v>
      </c>
      <c r="K1221" s="3" t="s">
        <v>64</v>
      </c>
    </row>
    <row r="1222" spans="1:11" ht="42" customHeight="1">
      <c r="A1222" s="2" t="s">
        <v>3025</v>
      </c>
      <c r="B1222" s="2" t="s">
        <v>3025</v>
      </c>
      <c r="C1222" s="2" t="s">
        <v>17</v>
      </c>
      <c r="D1222" s="2" t="s">
        <v>18</v>
      </c>
      <c r="E1222" s="5">
        <v>-31227</v>
      </c>
      <c r="F1222" s="3" t="s">
        <v>102</v>
      </c>
      <c r="G1222" s="3" t="s">
        <v>103</v>
      </c>
      <c r="H1222" s="2" t="s">
        <v>62</v>
      </c>
      <c r="I1222" s="2" t="s">
        <v>3038</v>
      </c>
      <c r="J1222" s="3" t="str">
        <f>HYPERLINK("https://www.boe.es/gazeta/dias/1814/07/02/pdfs/GMD-1814-93.pdf#page=4","Abrir facsímil")</f>
        <v>Abrir facsímil</v>
      </c>
      <c r="K1222" s="3" t="s">
        <v>64</v>
      </c>
    </row>
    <row r="1223" spans="1:11" ht="42" customHeight="1">
      <c r="A1223" s="2" t="s">
        <v>3025</v>
      </c>
      <c r="B1223" s="2" t="s">
        <v>3025</v>
      </c>
      <c r="C1223" s="2" t="s">
        <v>144</v>
      </c>
      <c r="D1223" s="2" t="s">
        <v>18</v>
      </c>
      <c r="E1223" s="5">
        <v>-31227</v>
      </c>
      <c r="F1223" s="3" t="s">
        <v>102</v>
      </c>
      <c r="G1223" s="3" t="s">
        <v>87</v>
      </c>
      <c r="H1223" s="2" t="s">
        <v>62</v>
      </c>
      <c r="I1223" s="2" t="s">
        <v>3039</v>
      </c>
      <c r="J1223" s="3" t="str">
        <f>HYPERLINK("https://www.boe.es/gazeta/dias/1814/07/02/pdfs/GMD-1814-93.pdf#page=2","Abrir facsímil")</f>
        <v>Abrir facsímil</v>
      </c>
      <c r="K1223" s="3" t="s">
        <v>64</v>
      </c>
    </row>
    <row r="1224" spans="1:11" ht="42" customHeight="1">
      <c r="A1224" s="2" t="s">
        <v>3025</v>
      </c>
      <c r="B1224" s="2" t="s">
        <v>3025</v>
      </c>
      <c r="C1224" s="2" t="s">
        <v>26</v>
      </c>
      <c r="D1224" s="2" t="s">
        <v>27</v>
      </c>
      <c r="E1224" s="5">
        <v>-31208</v>
      </c>
      <c r="F1224" s="3" t="s">
        <v>509</v>
      </c>
      <c r="G1224" s="3" t="s">
        <v>82</v>
      </c>
      <c r="H1224" s="2" t="s">
        <v>62</v>
      </c>
      <c r="I1224" s="2" t="s">
        <v>3040</v>
      </c>
      <c r="J1224" s="3" t="str">
        <f>HYPERLINK("https://www.boe.es/gazeta/dias/1814/07/21/pdfs/GMD-1814-101.pdf#page=3","Abrir facsímil")</f>
        <v>Abrir facsímil</v>
      </c>
      <c r="K1224" s="3" t="s">
        <v>64</v>
      </c>
    </row>
    <row r="1225" spans="1:11" ht="42" customHeight="1">
      <c r="A1225" s="2" t="s">
        <v>3025</v>
      </c>
      <c r="B1225" s="2" t="s">
        <v>3025</v>
      </c>
      <c r="C1225" s="2" t="s">
        <v>38</v>
      </c>
      <c r="D1225" s="2" t="s">
        <v>39</v>
      </c>
      <c r="E1225" s="5">
        <v>-31196</v>
      </c>
      <c r="F1225" s="3" t="s">
        <v>828</v>
      </c>
      <c r="G1225" s="3" t="s">
        <v>2073</v>
      </c>
      <c r="H1225" s="2" t="s">
        <v>62</v>
      </c>
      <c r="I1225" s="2" t="s">
        <v>3041</v>
      </c>
      <c r="J1225" s="3" t="str">
        <f>HYPERLINK("https://www.boe.es/gazeta/dias/1814/08/02/pdfs/GMD-1814-106.pdf#page=3","Abrir facsímil")</f>
        <v>Abrir facsímil</v>
      </c>
      <c r="K1225" s="3" t="s">
        <v>64</v>
      </c>
    </row>
    <row r="1226" spans="1:11" ht="42" customHeight="1">
      <c r="A1226" s="2" t="s">
        <v>3025</v>
      </c>
      <c r="B1226" s="2" t="s">
        <v>3025</v>
      </c>
      <c r="C1226" s="2" t="s">
        <v>144</v>
      </c>
      <c r="D1226" s="2" t="s">
        <v>18</v>
      </c>
      <c r="E1226" s="5">
        <v>-31175</v>
      </c>
      <c r="F1226" s="3" t="s">
        <v>145</v>
      </c>
      <c r="G1226" s="3" t="s">
        <v>87</v>
      </c>
      <c r="H1226" s="2" t="s">
        <v>62</v>
      </c>
      <c r="I1226" s="2" t="s">
        <v>3042</v>
      </c>
      <c r="J1226" s="3" t="str">
        <f>HYPERLINK("https://www.boe.es/gazeta/dias/1814/08/23/pdfs/GMD-1814-115.pdf#page=2","Abrir facsímil")</f>
        <v>Abrir facsímil</v>
      </c>
      <c r="K1226" s="3" t="s">
        <v>64</v>
      </c>
    </row>
    <row r="1227" spans="1:11" ht="42" customHeight="1">
      <c r="A1227" s="2" t="s">
        <v>3025</v>
      </c>
      <c r="B1227" s="2" t="s">
        <v>3025</v>
      </c>
      <c r="C1227" s="2" t="s">
        <v>17</v>
      </c>
      <c r="D1227" s="2" t="s">
        <v>18</v>
      </c>
      <c r="E1227" s="5">
        <v>-31166</v>
      </c>
      <c r="F1227" s="3" t="s">
        <v>2799</v>
      </c>
      <c r="G1227" s="3" t="s">
        <v>87</v>
      </c>
      <c r="H1227" s="2" t="s">
        <v>62</v>
      </c>
      <c r="I1227" s="2" t="s">
        <v>3043</v>
      </c>
      <c r="J1227" s="3" t="str">
        <f>HYPERLINK("https://www.boe.es/gazeta/dias/1814/09/01/pdfs/GMD-1814-119.pdf#page=2","Abrir facsímil")</f>
        <v>Abrir facsímil</v>
      </c>
      <c r="K1227" s="3" t="s">
        <v>64</v>
      </c>
    </row>
    <row r="1228" spans="1:11" ht="42" customHeight="1">
      <c r="A1228" s="2" t="s">
        <v>3025</v>
      </c>
      <c r="B1228" s="2" t="s">
        <v>3025</v>
      </c>
      <c r="C1228" s="2" t="s">
        <v>17</v>
      </c>
      <c r="D1228" s="2" t="s">
        <v>18</v>
      </c>
      <c r="E1228" s="5">
        <v>-31164</v>
      </c>
      <c r="F1228" s="3" t="s">
        <v>1423</v>
      </c>
      <c r="G1228" s="3" t="s">
        <v>87</v>
      </c>
      <c r="H1228" s="2" t="s">
        <v>62</v>
      </c>
      <c r="I1228" s="2" t="s">
        <v>3044</v>
      </c>
      <c r="J1228" s="3" t="str">
        <f>HYPERLINK("https://www.boe.es/gazeta/dias/1814/09/03/pdfs/GMD-1814-121.pdf#page=2","Abrir facsímil")</f>
        <v>Abrir facsímil</v>
      </c>
      <c r="K1228" s="3" t="s">
        <v>64</v>
      </c>
    </row>
    <row r="1229" spans="1:11" ht="42" customHeight="1">
      <c r="A1229" s="2" t="s">
        <v>3025</v>
      </c>
      <c r="B1229" s="2" t="s">
        <v>3025</v>
      </c>
      <c r="C1229" s="2" t="s">
        <v>32</v>
      </c>
      <c r="D1229" s="2" t="s">
        <v>18</v>
      </c>
      <c r="E1229" s="5">
        <v>-31154</v>
      </c>
      <c r="F1229" s="3" t="s">
        <v>688</v>
      </c>
      <c r="G1229" s="3" t="s">
        <v>87</v>
      </c>
      <c r="H1229" s="2" t="s">
        <v>62</v>
      </c>
      <c r="I1229" s="2" t="s">
        <v>3045</v>
      </c>
      <c r="J1229" s="3" t="str">
        <f>HYPERLINK("https://www.boe.es/gazeta/dias/1814/09/13/pdfs/GMD-1814-125.pdf#page=2","Abrir facsímil")</f>
        <v>Abrir facsímil</v>
      </c>
      <c r="K1229" s="3" t="s">
        <v>64</v>
      </c>
    </row>
    <row r="1230" spans="1:11" ht="42" customHeight="1">
      <c r="A1230" s="2" t="s">
        <v>3025</v>
      </c>
      <c r="B1230" s="2" t="s">
        <v>3025</v>
      </c>
      <c r="C1230" s="2" t="s">
        <v>38</v>
      </c>
      <c r="D1230" s="2" t="s">
        <v>39</v>
      </c>
      <c r="E1230" s="5">
        <v>-31150</v>
      </c>
      <c r="F1230" s="3" t="s">
        <v>106</v>
      </c>
      <c r="G1230" s="3" t="s">
        <v>3046</v>
      </c>
      <c r="H1230" s="2" t="s">
        <v>62</v>
      </c>
      <c r="I1230" s="2" t="s">
        <v>3047</v>
      </c>
      <c r="J1230" s="3" t="str">
        <f>HYPERLINK("https://www.boe.es/gazeta/dias/1814/09/17/pdfs/GMD-1814-127.pdf#page=2","Abrir facsímil")</f>
        <v>Abrir facsímil</v>
      </c>
      <c r="K1230" s="3" t="s">
        <v>64</v>
      </c>
    </row>
    <row r="1231" spans="1:11" ht="42" customHeight="1">
      <c r="A1231" s="2" t="s">
        <v>3025</v>
      </c>
      <c r="B1231" s="2" t="s">
        <v>3025</v>
      </c>
      <c r="C1231" s="2" t="s">
        <v>26</v>
      </c>
      <c r="D1231" s="2" t="s">
        <v>27</v>
      </c>
      <c r="E1231" s="5">
        <v>-31124</v>
      </c>
      <c r="F1231" s="3" t="s">
        <v>383</v>
      </c>
      <c r="G1231" s="3" t="s">
        <v>107</v>
      </c>
      <c r="H1231" s="2" t="s">
        <v>62</v>
      </c>
      <c r="I1231" s="2" t="s">
        <v>3048</v>
      </c>
      <c r="J1231" s="3" t="str">
        <f>HYPERLINK("https://www.boe.es/gazeta/dias/1814/10/13/pdfs/GMD-1814-138.pdf#page=1","Abrir facsímil")</f>
        <v>Abrir facsímil</v>
      </c>
      <c r="K1231" s="3" t="s">
        <v>64</v>
      </c>
    </row>
    <row r="1232" spans="1:11" ht="42" customHeight="1">
      <c r="A1232" s="2" t="s">
        <v>3025</v>
      </c>
      <c r="B1232" s="2" t="s">
        <v>3025</v>
      </c>
      <c r="C1232" s="2" t="s">
        <v>26</v>
      </c>
      <c r="D1232" s="2" t="s">
        <v>27</v>
      </c>
      <c r="E1232" s="5">
        <v>-31094</v>
      </c>
      <c r="F1232" s="3" t="s">
        <v>761</v>
      </c>
      <c r="G1232" s="3" t="s">
        <v>82</v>
      </c>
      <c r="H1232" s="2" t="s">
        <v>62</v>
      </c>
      <c r="I1232" s="2" t="s">
        <v>3049</v>
      </c>
      <c r="J1232" s="3" t="str">
        <f>HYPERLINK("https://www.boe.es/gazeta/dias/1814/11/12/pdfs/GMD-1814-151.pdf#page=3","Abrir facsímil")</f>
        <v>Abrir facsímil</v>
      </c>
      <c r="K1232" s="3" t="s">
        <v>64</v>
      </c>
    </row>
    <row r="1233" spans="1:11" ht="42" customHeight="1">
      <c r="A1233" s="2" t="s">
        <v>3025</v>
      </c>
      <c r="B1233" s="2" t="s">
        <v>3025</v>
      </c>
      <c r="C1233" s="2" t="s">
        <v>38</v>
      </c>
      <c r="D1233" s="2" t="s">
        <v>39</v>
      </c>
      <c r="E1233" s="5">
        <v>-31084</v>
      </c>
      <c r="F1233" s="3" t="s">
        <v>282</v>
      </c>
      <c r="G1233" s="3" t="s">
        <v>3050</v>
      </c>
      <c r="H1233" s="2" t="s">
        <v>62</v>
      </c>
      <c r="I1233" s="2" t="s">
        <v>3051</v>
      </c>
      <c r="J1233" s="3" t="str">
        <f>HYPERLINK("https://www.boe.es/gazeta/dias/1814/11/22/pdfs/GMD-1814-155.pdf#page=4","Abrir facsímil")</f>
        <v>Abrir facsímil</v>
      </c>
      <c r="K1233" s="3" t="s">
        <v>64</v>
      </c>
    </row>
    <row r="1234" spans="1:11" ht="42" customHeight="1">
      <c r="A1234" s="2" t="s">
        <v>3025</v>
      </c>
      <c r="B1234" s="2" t="s">
        <v>3025</v>
      </c>
      <c r="C1234" s="2" t="s">
        <v>17</v>
      </c>
      <c r="D1234" s="2" t="s">
        <v>18</v>
      </c>
      <c r="E1234" s="5">
        <v>-31073</v>
      </c>
      <c r="F1234" s="3" t="s">
        <v>3052</v>
      </c>
      <c r="G1234" s="3" t="s">
        <v>87</v>
      </c>
      <c r="H1234" s="2" t="s">
        <v>62</v>
      </c>
      <c r="I1234" s="2" t="s">
        <v>3053</v>
      </c>
      <c r="J1234" s="3" t="str">
        <f>HYPERLINK("https://www.boe.es/gazeta/dias/1814/12/03/pdfs/GMD-1814-160.pdf#page=2","Abrir facsímil")</f>
        <v>Abrir facsímil</v>
      </c>
      <c r="K1234" s="3" t="s">
        <v>64</v>
      </c>
    </row>
    <row r="1235" spans="1:11" ht="42" customHeight="1">
      <c r="A1235" s="2" t="s">
        <v>3025</v>
      </c>
      <c r="B1235" s="2" t="s">
        <v>3025</v>
      </c>
      <c r="C1235" s="2" t="s">
        <v>38</v>
      </c>
      <c r="D1235" s="2" t="s">
        <v>39</v>
      </c>
      <c r="E1235" s="5">
        <v>-31066</v>
      </c>
      <c r="F1235" s="3" t="s">
        <v>1323</v>
      </c>
      <c r="G1235" s="3" t="s">
        <v>82</v>
      </c>
      <c r="H1235" s="2" t="s">
        <v>62</v>
      </c>
      <c r="I1235" s="2" t="s">
        <v>3054</v>
      </c>
      <c r="J1235" s="3" t="str">
        <f>HYPERLINK("https://www.boe.es/gazeta/dias/1814/12/10/pdfs/GMD-1814-163.pdf#page=3","Abrir facsímil")</f>
        <v>Abrir facsímil</v>
      </c>
      <c r="K1235" s="3" t="s">
        <v>64</v>
      </c>
    </row>
    <row r="1236" spans="1:11" ht="42" customHeight="1">
      <c r="A1236" s="2" t="s">
        <v>3025</v>
      </c>
      <c r="B1236" s="2" t="s">
        <v>3025</v>
      </c>
      <c r="C1236" s="2" t="s">
        <v>38</v>
      </c>
      <c r="D1236" s="2" t="s">
        <v>39</v>
      </c>
      <c r="E1236" s="5">
        <v>-31056</v>
      </c>
      <c r="F1236" s="3" t="s">
        <v>540</v>
      </c>
      <c r="G1236" s="3" t="s">
        <v>82</v>
      </c>
      <c r="H1236" s="2" t="s">
        <v>62</v>
      </c>
      <c r="I1236" s="2" t="s">
        <v>3055</v>
      </c>
      <c r="J1236" s="3" t="str">
        <f>HYPERLINK("https://www.boe.es/gazeta/dias/1814/12/20/pdfs/GMD-1814-168.pdf#page=3","Abrir facsímil")</f>
        <v>Abrir facsímil</v>
      </c>
      <c r="K1236" s="3" t="s">
        <v>64</v>
      </c>
    </row>
    <row r="1237" spans="1:11" ht="42" customHeight="1">
      <c r="A1237" s="2" t="s">
        <v>3025</v>
      </c>
      <c r="B1237" s="2" t="s">
        <v>3025</v>
      </c>
      <c r="C1237" s="2" t="s">
        <v>17</v>
      </c>
      <c r="D1237" s="2" t="s">
        <v>18</v>
      </c>
      <c r="E1237" s="5">
        <v>-31054</v>
      </c>
      <c r="F1237" s="3" t="s">
        <v>952</v>
      </c>
      <c r="G1237" s="3" t="s">
        <v>82</v>
      </c>
      <c r="H1237" s="2" t="s">
        <v>62</v>
      </c>
      <c r="I1237" s="2" t="s">
        <v>3056</v>
      </c>
      <c r="J1237" s="3" t="str">
        <f>HYPERLINK("https://www.boe.es/gazeta/dias/1814/12/22/pdfs/GMD-1814-169.pdf#page=3","Abrir facsímil")</f>
        <v>Abrir facsímil</v>
      </c>
      <c r="K1237" s="3" t="s">
        <v>64</v>
      </c>
    </row>
    <row r="1238" spans="1:11" ht="42" customHeight="1">
      <c r="A1238" s="2" t="s">
        <v>3057</v>
      </c>
      <c r="B1238" s="2" t="s">
        <v>3058</v>
      </c>
      <c r="C1238" s="2" t="s">
        <v>38</v>
      </c>
      <c r="D1238" s="2" t="s">
        <v>39</v>
      </c>
      <c r="E1238" s="5">
        <v>-31371</v>
      </c>
      <c r="F1238" s="3" t="s">
        <v>1017</v>
      </c>
      <c r="G1238" s="3" t="s">
        <v>87</v>
      </c>
      <c r="H1238" s="2" t="s">
        <v>62</v>
      </c>
      <c r="I1238" s="2" t="s">
        <v>3059</v>
      </c>
      <c r="J1238" s="3" t="str">
        <f>HYPERLINK("https://www.boe.es/gazeta/dias/1814/02/08/pdfs/GRE-1814-18.pdf#page=2","Abrir facsímil")</f>
        <v>Abrir facsímil</v>
      </c>
      <c r="K1238" s="3" t="s">
        <v>64</v>
      </c>
    </row>
    <row r="1239" spans="1:11" ht="42" customHeight="1">
      <c r="A1239" s="2" t="s">
        <v>3060</v>
      </c>
      <c r="B1239" s="2" t="s">
        <v>3061</v>
      </c>
      <c r="C1239" s="2" t="s">
        <v>17</v>
      </c>
      <c r="D1239" s="2" t="s">
        <v>18</v>
      </c>
      <c r="E1239" s="5">
        <v>-31152</v>
      </c>
      <c r="F1239" s="3" t="s">
        <v>199</v>
      </c>
      <c r="G1239" s="3" t="s">
        <v>82</v>
      </c>
      <c r="H1239" s="2" t="s">
        <v>62</v>
      </c>
      <c r="I1239" s="2" t="s">
        <v>3062</v>
      </c>
      <c r="J1239" s="3" t="str">
        <f>HYPERLINK("https://www.boe.es/gazeta/dias/1814/09/15/pdfs/GMD-1814-126.pdf#page=3","Abrir facsímil")</f>
        <v>Abrir facsímil</v>
      </c>
      <c r="K1239" s="3" t="s">
        <v>64</v>
      </c>
    </row>
    <row r="1240" spans="1:11" ht="42" customHeight="1">
      <c r="A1240" s="2" t="s">
        <v>3063</v>
      </c>
      <c r="B1240" s="2" t="s">
        <v>3063</v>
      </c>
      <c r="C1240" s="2" t="s">
        <v>38</v>
      </c>
      <c r="D1240" s="2" t="s">
        <v>39</v>
      </c>
      <c r="E1240" s="5">
        <v>-31276</v>
      </c>
      <c r="F1240" s="3" t="s">
        <v>494</v>
      </c>
      <c r="G1240" s="3" t="s">
        <v>41</v>
      </c>
      <c r="H1240" s="2" t="s">
        <v>62</v>
      </c>
      <c r="I1240" s="2" t="s">
        <v>3064</v>
      </c>
      <c r="J1240" s="3" t="str">
        <f>HYPERLINK("https://www.boe.es/gazeta/dias/1814/05/14/pdfs/GMD-1814-71.pdf#page=4","Abrir facsímil")</f>
        <v>Abrir facsímil</v>
      </c>
      <c r="K1240" s="3" t="s">
        <v>64</v>
      </c>
    </row>
    <row r="1241" spans="1:11" ht="42" customHeight="1">
      <c r="A1241" s="2" t="s">
        <v>3065</v>
      </c>
      <c r="B1241" s="2" t="s">
        <v>3066</v>
      </c>
      <c r="C1241" s="2" t="s">
        <v>26</v>
      </c>
      <c r="D1241" s="2" t="s">
        <v>27</v>
      </c>
      <c r="E1241" s="5">
        <v>-31290</v>
      </c>
      <c r="F1241" s="3" t="s">
        <v>488</v>
      </c>
      <c r="G1241" s="3" t="s">
        <v>82</v>
      </c>
      <c r="H1241" s="2" t="s">
        <v>62</v>
      </c>
      <c r="I1241" s="2" t="s">
        <v>3067</v>
      </c>
      <c r="J1241" s="3" t="str">
        <f>HYPERLINK("https://www.boe.es/gazeta/dias/1814/04/30/pdfs/GRE-1814-64.pdf#page=3","Abrir facsímil")</f>
        <v>Abrir facsímil</v>
      </c>
      <c r="K1241" s="3" t="s">
        <v>64</v>
      </c>
    </row>
    <row r="1242" spans="1:11" ht="42" customHeight="1">
      <c r="A1242" s="2" t="s">
        <v>3068</v>
      </c>
      <c r="B1242" s="2" t="s">
        <v>3069</v>
      </c>
      <c r="C1242" s="2" t="s">
        <v>38</v>
      </c>
      <c r="D1242" s="2" t="s">
        <v>314</v>
      </c>
      <c r="E1242" s="5">
        <v>-31296</v>
      </c>
      <c r="F1242" s="3" t="s">
        <v>315</v>
      </c>
      <c r="G1242" s="3" t="s">
        <v>52</v>
      </c>
      <c r="H1242" s="2" t="s">
        <v>62</v>
      </c>
      <c r="I1242" s="2" t="s">
        <v>3070</v>
      </c>
      <c r="J1242" s="3" t="str">
        <f>HYPERLINK("https://www.boe.es/gazeta/dias/1814/04/24/pdfs/GRE-1814-60E.pdf#page=8","Abrir facsímil")</f>
        <v>Abrir facsímil</v>
      </c>
      <c r="K1242" s="3" t="s">
        <v>64</v>
      </c>
    </row>
    <row r="1243" spans="1:11" ht="42" customHeight="1">
      <c r="A1243" s="2" t="s">
        <v>3071</v>
      </c>
      <c r="B1243" s="2" t="s">
        <v>3072</v>
      </c>
      <c r="C1243" s="2" t="s">
        <v>38</v>
      </c>
      <c r="D1243" s="2" t="s">
        <v>39</v>
      </c>
      <c r="E1243" s="5">
        <v>-31231</v>
      </c>
      <c r="F1243" s="3" t="s">
        <v>861</v>
      </c>
      <c r="G1243" s="3" t="s">
        <v>99</v>
      </c>
      <c r="H1243" s="2" t="s">
        <v>62</v>
      </c>
      <c r="I1243" s="2" t="s">
        <v>3073</v>
      </c>
      <c r="J1243" s="3" t="str">
        <f>HYPERLINK("https://www.boe.es/gazeta/dias/1814/06/28/pdfs/GMD-1814-91.pdf#page=5","Abrir facsímil")</f>
        <v>Abrir facsímil</v>
      </c>
      <c r="K1243" s="3" t="s">
        <v>64</v>
      </c>
    </row>
    <row r="1244" spans="1:11" ht="42" customHeight="1">
      <c r="A1244" s="2" t="s">
        <v>3074</v>
      </c>
      <c r="B1244" s="2" t="s">
        <v>3075</v>
      </c>
      <c r="C1244" s="2" t="s">
        <v>32</v>
      </c>
      <c r="D1244" s="2" t="s">
        <v>18</v>
      </c>
      <c r="E1244" s="5">
        <v>-31096</v>
      </c>
      <c r="F1244" s="3" t="s">
        <v>223</v>
      </c>
      <c r="G1244" s="3" t="s">
        <v>41</v>
      </c>
      <c r="H1244" s="2" t="s">
        <v>62</v>
      </c>
      <c r="I1244" s="2" t="s">
        <v>3076</v>
      </c>
      <c r="J1244" s="3" t="str">
        <f>HYPERLINK("https://www.boe.es/gazeta/dias/1814/11/10/pdfs/GMD-1814-150.pdf#page=4","Abrir facsímil")</f>
        <v>Abrir facsímil</v>
      </c>
      <c r="K1244" s="3" t="s">
        <v>64</v>
      </c>
    </row>
    <row r="1245" spans="1:11" ht="42" customHeight="1">
      <c r="A1245" s="2" t="s">
        <v>3077</v>
      </c>
      <c r="B1245" s="2" t="s">
        <v>3078</v>
      </c>
      <c r="C1245" s="2" t="s">
        <v>45</v>
      </c>
      <c r="D1245" s="2" t="s">
        <v>18</v>
      </c>
      <c r="E1245" s="5">
        <v>-31117</v>
      </c>
      <c r="F1245" s="3" t="s">
        <v>172</v>
      </c>
      <c r="G1245" s="3" t="s">
        <v>392</v>
      </c>
      <c r="H1245" s="2" t="s">
        <v>62</v>
      </c>
      <c r="I1245" s="2" t="s">
        <v>3079</v>
      </c>
      <c r="J1245" s="3" t="str">
        <f>HYPERLINK("https://www.boe.es/gazeta/dias/1814/10/20/pdfs/GMD-1814-141.pdf#page=8","Abrir facsímil")</f>
        <v>Abrir facsímil</v>
      </c>
      <c r="K1245" s="3" t="s">
        <v>64</v>
      </c>
    </row>
    <row r="1246" spans="1:11" ht="42" customHeight="1">
      <c r="A1246" s="2" t="s">
        <v>3080</v>
      </c>
      <c r="B1246" s="2" t="s">
        <v>3081</v>
      </c>
      <c r="C1246" s="2" t="s">
        <v>26</v>
      </c>
      <c r="D1246" s="2" t="s">
        <v>27</v>
      </c>
      <c r="E1246" s="5">
        <v>-31096</v>
      </c>
      <c r="F1246" s="3" t="s">
        <v>223</v>
      </c>
      <c r="G1246" s="3" t="s">
        <v>972</v>
      </c>
      <c r="H1246" s="2" t="s">
        <v>62</v>
      </c>
      <c r="I1246" s="2" t="s">
        <v>3082</v>
      </c>
      <c r="J1246" s="3" t="str">
        <f>HYPERLINK("https://www.boe.es/gazeta/dias/1814/11/10/pdfs/GMD-1814-150.pdf#page=8","Abrir facsímil")</f>
        <v>Abrir facsímil</v>
      </c>
      <c r="K1246" s="3" t="s">
        <v>64</v>
      </c>
    </row>
    <row r="1247" spans="1:11" ht="42" customHeight="1">
      <c r="A1247" s="2" t="s">
        <v>3083</v>
      </c>
      <c r="B1247" s="2" t="s">
        <v>3084</v>
      </c>
      <c r="C1247" s="2" t="s">
        <v>17</v>
      </c>
      <c r="D1247" s="2" t="s">
        <v>18</v>
      </c>
      <c r="E1247" s="5">
        <v>-31122</v>
      </c>
      <c r="F1247" s="3" t="s">
        <v>28</v>
      </c>
      <c r="G1247" s="3" t="s">
        <v>20</v>
      </c>
      <c r="H1247" s="2" t="s">
        <v>62</v>
      </c>
      <c r="I1247" s="2" t="s">
        <v>3085</v>
      </c>
      <c r="J1247" s="3" t="str">
        <f>HYPERLINK("https://www.boe.es/gazeta/dias/1814/10/15/pdfs/GMD-1814-139.pdf#page=7","Abrir facsímil")</f>
        <v>Abrir facsímil</v>
      </c>
      <c r="K1247" s="3" t="s">
        <v>64</v>
      </c>
    </row>
    <row r="1248" spans="1:11" ht="42" customHeight="1">
      <c r="A1248" s="2" t="s">
        <v>3086</v>
      </c>
      <c r="B1248" s="2" t="s">
        <v>3087</v>
      </c>
      <c r="C1248" s="2" t="s">
        <v>45</v>
      </c>
      <c r="D1248" s="2" t="s">
        <v>18</v>
      </c>
      <c r="E1248" s="5">
        <v>-31131</v>
      </c>
      <c r="F1248" s="3" t="s">
        <v>132</v>
      </c>
      <c r="G1248" s="3" t="s">
        <v>2188</v>
      </c>
      <c r="H1248" s="2" t="s">
        <v>62</v>
      </c>
      <c r="I1248" s="2" t="s">
        <v>3088</v>
      </c>
      <c r="J1248" s="3" t="str">
        <f>HYPERLINK("https://www.boe.es/gazeta/dias/1814/10/06/pdfs/GMD-1814-135.pdf#page=6","Abrir facsímil")</f>
        <v>Abrir facsímil</v>
      </c>
      <c r="K1248" s="3" t="s">
        <v>64</v>
      </c>
    </row>
    <row r="1249" spans="1:11" ht="42" customHeight="1">
      <c r="A1249" s="2" t="s">
        <v>3089</v>
      </c>
      <c r="B1249" s="2" t="s">
        <v>3090</v>
      </c>
      <c r="C1249" s="2" t="s">
        <v>38</v>
      </c>
      <c r="D1249" s="2" t="s">
        <v>39</v>
      </c>
      <c r="E1249" s="5">
        <v>-31122</v>
      </c>
      <c r="F1249" s="3" t="s">
        <v>28</v>
      </c>
      <c r="G1249" s="3" t="s">
        <v>20</v>
      </c>
      <c r="H1249" s="2" t="s">
        <v>62</v>
      </c>
      <c r="I1249" s="2" t="s">
        <v>3091</v>
      </c>
      <c r="J1249" s="3" t="str">
        <f>HYPERLINK("https://www.boe.es/gazeta/dias/1814/10/15/pdfs/GMD-1814-139.pdf#page=7","Abrir facsímil")</f>
        <v>Abrir facsímil</v>
      </c>
      <c r="K1249" s="3" t="s">
        <v>64</v>
      </c>
    </row>
    <row r="1250" spans="1:11" ht="42" customHeight="1">
      <c r="A1250" s="2" t="s">
        <v>3092</v>
      </c>
      <c r="B1250" s="2" t="s">
        <v>3093</v>
      </c>
      <c r="C1250" s="2" t="s">
        <v>38</v>
      </c>
      <c r="D1250" s="2" t="s">
        <v>39</v>
      </c>
      <c r="E1250" s="5">
        <v>-31208</v>
      </c>
      <c r="F1250" s="3" t="s">
        <v>509</v>
      </c>
      <c r="G1250" s="3" t="s">
        <v>510</v>
      </c>
      <c r="H1250" s="2" t="s">
        <v>62</v>
      </c>
      <c r="I1250" s="2" t="s">
        <v>3094</v>
      </c>
      <c r="J1250" s="3" t="str">
        <f>HYPERLINK("https://www.boe.es/gazeta/dias/1814/07/21/pdfs/GMD-1814-101.pdf#page=4","Abrir facsímil")</f>
        <v>Abrir facsímil</v>
      </c>
      <c r="K1250" s="3" t="s">
        <v>64</v>
      </c>
    </row>
    <row r="1251" spans="1:11" ht="42" customHeight="1">
      <c r="A1251" s="2" t="s">
        <v>3095</v>
      </c>
      <c r="B1251" s="2" t="s">
        <v>3096</v>
      </c>
      <c r="C1251" s="2" t="s">
        <v>38</v>
      </c>
      <c r="D1251" s="2" t="s">
        <v>314</v>
      </c>
      <c r="E1251" s="5">
        <v>-31296</v>
      </c>
      <c r="F1251" s="3" t="s">
        <v>315</v>
      </c>
      <c r="G1251" s="3" t="s">
        <v>52</v>
      </c>
      <c r="H1251" s="2" t="s">
        <v>62</v>
      </c>
      <c r="I1251" s="2" t="s">
        <v>3097</v>
      </c>
      <c r="J1251" s="3" t="str">
        <f>HYPERLINK("https://www.boe.es/gazeta/dias/1814/04/24/pdfs/GRE-1814-60E.pdf#page=8","Abrir facsímil")</f>
        <v>Abrir facsímil</v>
      </c>
      <c r="K1251" s="3" t="s">
        <v>64</v>
      </c>
    </row>
    <row r="1252" spans="1:11" ht="42" customHeight="1">
      <c r="A1252" s="2" t="s">
        <v>3098</v>
      </c>
      <c r="B1252" s="2" t="s">
        <v>3099</v>
      </c>
      <c r="C1252" s="2" t="s">
        <v>26</v>
      </c>
      <c r="D1252" s="2" t="s">
        <v>27</v>
      </c>
      <c r="E1252" s="5">
        <v>-31234</v>
      </c>
      <c r="F1252" s="3" t="s">
        <v>462</v>
      </c>
      <c r="G1252" s="3" t="s">
        <v>99</v>
      </c>
      <c r="H1252" s="2" t="s">
        <v>62</v>
      </c>
      <c r="I1252" s="2" t="s">
        <v>3100</v>
      </c>
      <c r="J1252" s="3" t="str">
        <f>HYPERLINK("https://www.boe.es/gazeta/dias/1814/06/25/pdfs/GMD-1814-90.pdf#page=5","Abrir facsímil")</f>
        <v>Abrir facsímil</v>
      </c>
      <c r="K1252" s="3" t="s">
        <v>64</v>
      </c>
    </row>
    <row r="1253" spans="1:11" ht="42" customHeight="1">
      <c r="A1253" s="2" t="s">
        <v>3101</v>
      </c>
      <c r="B1253" s="2" t="s">
        <v>3102</v>
      </c>
      <c r="C1253" s="2" t="s">
        <v>38</v>
      </c>
      <c r="D1253" s="2" t="s">
        <v>39</v>
      </c>
      <c r="E1253" s="5">
        <v>-31133</v>
      </c>
      <c r="F1253" s="3" t="s">
        <v>184</v>
      </c>
      <c r="G1253" s="3" t="s">
        <v>20</v>
      </c>
      <c r="H1253" s="2" t="s">
        <v>62</v>
      </c>
      <c r="I1253" s="2" t="s">
        <v>3103</v>
      </c>
      <c r="J1253" s="3" t="str">
        <f>HYPERLINK("https://www.boe.es/gazeta/dias/1814/10/04/pdfs/GMD-1814-134.pdf#page=7","Abrir facsímil")</f>
        <v>Abrir facsímil</v>
      </c>
      <c r="K1253" s="3" t="s">
        <v>64</v>
      </c>
    </row>
    <row r="1254" spans="1:11" ht="42" customHeight="1">
      <c r="A1254" s="2" t="s">
        <v>3104</v>
      </c>
      <c r="B1254" s="2" t="s">
        <v>3105</v>
      </c>
      <c r="C1254" s="2" t="s">
        <v>26</v>
      </c>
      <c r="D1254" s="2" t="s">
        <v>27</v>
      </c>
      <c r="E1254" s="5">
        <v>-31119</v>
      </c>
      <c r="F1254" s="3" t="s">
        <v>136</v>
      </c>
      <c r="G1254" s="3" t="s">
        <v>137</v>
      </c>
      <c r="H1254" s="2" t="s">
        <v>62</v>
      </c>
      <c r="I1254" s="2" t="s">
        <v>3106</v>
      </c>
      <c r="J1254" s="3" t="str">
        <f>HYPERLINK("https://www.boe.es/gazeta/dias/1814/10/18/pdfs/GMD-1814-140.pdf#page=9","Abrir facsímil")</f>
        <v>Abrir facsímil</v>
      </c>
      <c r="K1254" s="3" t="s">
        <v>64</v>
      </c>
    </row>
    <row r="1255" spans="1:11" ht="42" customHeight="1">
      <c r="A1255" s="2" t="s">
        <v>3107</v>
      </c>
      <c r="B1255" s="2" t="s">
        <v>3108</v>
      </c>
      <c r="C1255" s="2" t="s">
        <v>45</v>
      </c>
      <c r="D1255" s="2" t="s">
        <v>18</v>
      </c>
      <c r="E1255" s="5">
        <v>-31159</v>
      </c>
      <c r="F1255" s="3" t="s">
        <v>1175</v>
      </c>
      <c r="G1255" s="3" t="s">
        <v>3109</v>
      </c>
      <c r="H1255" s="2" t="s">
        <v>62</v>
      </c>
      <c r="I1255" s="2" t="s">
        <v>3110</v>
      </c>
      <c r="J1255" s="3" t="str">
        <f>HYPERLINK("https://www.boe.es/gazeta/dias/1814/09/08/pdfs/GMD-1814-123.pdf#page=4","Abrir facsímil")</f>
        <v>Abrir facsímil</v>
      </c>
      <c r="K1255" s="3" t="s">
        <v>64</v>
      </c>
    </row>
    <row r="1256" spans="1:11" ht="42" customHeight="1">
      <c r="A1256" s="2" t="s">
        <v>3111</v>
      </c>
      <c r="B1256" s="2" t="s">
        <v>3112</v>
      </c>
      <c r="C1256" s="2" t="s">
        <v>38</v>
      </c>
      <c r="D1256" s="2" t="s">
        <v>314</v>
      </c>
      <c r="E1256" s="5">
        <v>-31296</v>
      </c>
      <c r="F1256" s="3" t="s">
        <v>315</v>
      </c>
      <c r="G1256" s="3" t="s">
        <v>52</v>
      </c>
      <c r="H1256" s="2" t="s">
        <v>62</v>
      </c>
      <c r="I1256" s="2" t="s">
        <v>3113</v>
      </c>
      <c r="J1256" s="3" t="str">
        <f>HYPERLINK("https://www.boe.es/gazeta/dias/1814/04/24/pdfs/GRE-1814-60E.pdf#page=8","Abrir facsímil")</f>
        <v>Abrir facsímil</v>
      </c>
      <c r="K1256" s="3" t="s">
        <v>64</v>
      </c>
    </row>
    <row r="1257" spans="1:11" ht="42" customHeight="1">
      <c r="A1257" s="2" t="s">
        <v>3114</v>
      </c>
      <c r="B1257" s="2" t="s">
        <v>3115</v>
      </c>
      <c r="C1257" s="2" t="s">
        <v>17</v>
      </c>
      <c r="D1257" s="2" t="s">
        <v>18</v>
      </c>
      <c r="E1257" s="5">
        <v>-31122</v>
      </c>
      <c r="F1257" s="3" t="s">
        <v>28</v>
      </c>
      <c r="G1257" s="3" t="s">
        <v>20</v>
      </c>
      <c r="H1257" s="2" t="s">
        <v>62</v>
      </c>
      <c r="I1257" s="2" t="s">
        <v>3116</v>
      </c>
      <c r="J1257" s="3" t="str">
        <f>HYPERLINK("https://www.boe.es/gazeta/dias/1814/10/15/pdfs/GMD-1814-139.pdf#page=7","Abrir facsímil")</f>
        <v>Abrir facsímil</v>
      </c>
      <c r="K1257" s="3" t="s">
        <v>64</v>
      </c>
    </row>
    <row r="1258" spans="1:11" ht="42" customHeight="1">
      <c r="A1258" s="2" t="s">
        <v>3117</v>
      </c>
      <c r="B1258" s="2" t="s">
        <v>3118</v>
      </c>
      <c r="C1258" s="2" t="s">
        <v>38</v>
      </c>
      <c r="D1258" s="2" t="s">
        <v>39</v>
      </c>
      <c r="E1258" s="5">
        <v>-31210</v>
      </c>
      <c r="F1258" s="3" t="s">
        <v>141</v>
      </c>
      <c r="G1258" s="3" t="s">
        <v>99</v>
      </c>
      <c r="H1258" s="2" t="s">
        <v>62</v>
      </c>
      <c r="I1258" s="2" t="s">
        <v>3119</v>
      </c>
      <c r="J1258" s="3" t="str">
        <f>HYPERLINK("https://www.boe.es/gazeta/dias/1814/07/19/pdfs/GMD-1814-100.pdf#page=5","Abrir facsímil")</f>
        <v>Abrir facsímil</v>
      </c>
      <c r="K1258" s="3" t="s">
        <v>64</v>
      </c>
    </row>
    <row r="1259" spans="1:11" ht="42" customHeight="1">
      <c r="A1259" s="2" t="s">
        <v>3120</v>
      </c>
      <c r="B1259" s="2" t="s">
        <v>3121</v>
      </c>
      <c r="C1259" s="2" t="s">
        <v>26</v>
      </c>
      <c r="D1259" s="2" t="s">
        <v>27</v>
      </c>
      <c r="E1259" s="5">
        <v>-31122</v>
      </c>
      <c r="F1259" s="3" t="s">
        <v>28</v>
      </c>
      <c r="G1259" s="3" t="s">
        <v>1665</v>
      </c>
      <c r="H1259" s="2" t="s">
        <v>62</v>
      </c>
      <c r="I1259" s="2" t="s">
        <v>3122</v>
      </c>
      <c r="J1259" s="3" t="str">
        <f>HYPERLINK("https://www.boe.es/gazeta/dias/1814/10/15/pdfs/GMD-1814-139.pdf#page=4","Abrir facsímil")</f>
        <v>Abrir facsímil</v>
      </c>
      <c r="K1259" s="3" t="s">
        <v>64</v>
      </c>
    </row>
    <row r="1260" spans="1:11" ht="42" customHeight="1">
      <c r="A1260" s="2" t="s">
        <v>3123</v>
      </c>
      <c r="B1260" s="2" t="s">
        <v>3124</v>
      </c>
      <c r="C1260" s="2" t="s">
        <v>38</v>
      </c>
      <c r="D1260" s="2" t="s">
        <v>39</v>
      </c>
      <c r="E1260" s="5">
        <v>-31308</v>
      </c>
      <c r="F1260" s="3" t="s">
        <v>210</v>
      </c>
      <c r="G1260" s="3" t="s">
        <v>99</v>
      </c>
      <c r="H1260" s="2" t="s">
        <v>62</v>
      </c>
      <c r="I1260" s="2" t="s">
        <v>3125</v>
      </c>
      <c r="J1260" s="3" t="str">
        <f>HYPERLINK("https://www.boe.es/gazeta/dias/1814/04/12/pdfs/GRE-1814-52.pdf#page=5","Abrir facsímil")</f>
        <v>Abrir facsímil</v>
      </c>
      <c r="K1260" s="3" t="s">
        <v>64</v>
      </c>
    </row>
    <row r="1261" spans="1:11" ht="42" customHeight="1">
      <c r="A1261" s="2" t="s">
        <v>3126</v>
      </c>
      <c r="B1261" s="2" t="s">
        <v>3127</v>
      </c>
      <c r="C1261" s="2" t="s">
        <v>144</v>
      </c>
      <c r="D1261" s="2" t="s">
        <v>18</v>
      </c>
      <c r="E1261" s="5">
        <v>-31091</v>
      </c>
      <c r="F1261" s="3" t="s">
        <v>1156</v>
      </c>
      <c r="G1261" s="3" t="s">
        <v>52</v>
      </c>
      <c r="H1261" s="2" t="s">
        <v>62</v>
      </c>
      <c r="I1261" s="2" t="s">
        <v>3128</v>
      </c>
      <c r="J1261" s="3" t="str">
        <f>HYPERLINK("https://www.boe.es/gazeta/dias/1814/11/15/pdfs/GMD-1814-152.pdf#page=8","Abrir facsímil")</f>
        <v>Abrir facsímil</v>
      </c>
      <c r="K1261" s="3" t="s">
        <v>64</v>
      </c>
    </row>
    <row r="1262" spans="1:11" ht="42" customHeight="1">
      <c r="A1262" s="2" t="s">
        <v>3129</v>
      </c>
      <c r="B1262" s="2" t="s">
        <v>3129</v>
      </c>
      <c r="C1262" s="2" t="s">
        <v>38</v>
      </c>
      <c r="D1262" s="2" t="s">
        <v>39</v>
      </c>
      <c r="E1262" s="5">
        <v>-31395</v>
      </c>
      <c r="F1262" s="3" t="s">
        <v>662</v>
      </c>
      <c r="G1262" s="3" t="s">
        <v>52</v>
      </c>
      <c r="H1262" s="2" t="s">
        <v>62</v>
      </c>
      <c r="I1262" s="2" t="s">
        <v>3130</v>
      </c>
      <c r="J1262" s="3" t="str">
        <f>HYPERLINK("https://www.boe.es/gazeta/dias/1814/01/15/pdfs/GRE-1814-8.pdf#page=8","Abrir facsímil")</f>
        <v>Abrir facsímil</v>
      </c>
      <c r="K1262" s="3" t="s">
        <v>64</v>
      </c>
    </row>
    <row r="1263" spans="1:11" ht="42" customHeight="1">
      <c r="A1263" s="2" t="s">
        <v>3131</v>
      </c>
      <c r="B1263" s="2" t="s">
        <v>3131</v>
      </c>
      <c r="C1263" s="2" t="s">
        <v>38</v>
      </c>
      <c r="D1263" s="2" t="s">
        <v>39</v>
      </c>
      <c r="E1263" s="5">
        <v>-31362</v>
      </c>
      <c r="F1263" s="3" t="s">
        <v>302</v>
      </c>
      <c r="G1263" s="3" t="s">
        <v>82</v>
      </c>
      <c r="H1263" s="2" t="s">
        <v>62</v>
      </c>
      <c r="I1263" s="2" t="s">
        <v>3132</v>
      </c>
      <c r="J1263" s="3" t="str">
        <f>HYPERLINK("https://www.boe.es/gazeta/dias/1814/02/17/pdfs/GRE-1814-22.pdf#page=3","Abrir facsímil")</f>
        <v>Abrir facsímil</v>
      </c>
      <c r="K1263" s="3" t="s">
        <v>64</v>
      </c>
    </row>
    <row r="1264" spans="1:11" ht="42" customHeight="1">
      <c r="A1264" s="2" t="s">
        <v>3133</v>
      </c>
      <c r="B1264" s="2" t="s">
        <v>3133</v>
      </c>
      <c r="C1264" s="2" t="s">
        <v>38</v>
      </c>
      <c r="D1264" s="2" t="s">
        <v>39</v>
      </c>
      <c r="E1264" s="5">
        <v>-31392</v>
      </c>
      <c r="F1264" s="3" t="s">
        <v>195</v>
      </c>
      <c r="G1264" s="3" t="s">
        <v>3134</v>
      </c>
      <c r="H1264" s="2" t="s">
        <v>62</v>
      </c>
      <c r="I1264" s="2" t="s">
        <v>3135</v>
      </c>
      <c r="J1264" s="3" t="str">
        <f>HYPERLINK("https://www.boe.es/gazeta/dias/1814/01/18/pdfs/GRE-1814-9.pdf#page=5","Abrir facsímil")</f>
        <v>Abrir facsímil</v>
      </c>
      <c r="K1264" s="3" t="s">
        <v>64</v>
      </c>
    </row>
    <row r="1265" spans="1:11" ht="42" customHeight="1">
      <c r="A1265" s="2" t="s">
        <v>3133</v>
      </c>
      <c r="B1265" s="2" t="s">
        <v>3133</v>
      </c>
      <c r="C1265" s="2" t="s">
        <v>38</v>
      </c>
      <c r="D1265" s="2" t="s">
        <v>39</v>
      </c>
      <c r="E1265" s="5">
        <v>-31360</v>
      </c>
      <c r="F1265" s="3" t="s">
        <v>480</v>
      </c>
      <c r="G1265" s="3" t="s">
        <v>87</v>
      </c>
      <c r="H1265" s="2" t="s">
        <v>62</v>
      </c>
      <c r="I1265" s="2" t="s">
        <v>3136</v>
      </c>
      <c r="J1265" s="3" t="str">
        <f>HYPERLINK("https://www.boe.es/gazeta/dias/1814/02/19/pdfs/GRE-1814-23.pdf#page=2","Abrir facsímil")</f>
        <v>Abrir facsímil</v>
      </c>
      <c r="K1265" s="3" t="s">
        <v>64</v>
      </c>
    </row>
    <row r="1266" spans="1:11" ht="42" customHeight="1">
      <c r="A1266" s="2" t="s">
        <v>3133</v>
      </c>
      <c r="B1266" s="2" t="s">
        <v>3133</v>
      </c>
      <c r="C1266" s="2" t="s">
        <v>38</v>
      </c>
      <c r="D1266" s="2" t="s">
        <v>39</v>
      </c>
      <c r="E1266" s="5">
        <v>-31227</v>
      </c>
      <c r="F1266" s="3" t="s">
        <v>102</v>
      </c>
      <c r="G1266" s="3" t="s">
        <v>107</v>
      </c>
      <c r="H1266" s="2" t="s">
        <v>62</v>
      </c>
      <c r="I1266" s="2" t="s">
        <v>3137</v>
      </c>
      <c r="J1266" s="3" t="str">
        <f>HYPERLINK("https://www.boe.es/gazeta/dias/1814/07/02/pdfs/GMD-1814-93.pdf#page=1","Abrir facsímil")</f>
        <v>Abrir facsímil</v>
      </c>
      <c r="K1266" s="3" t="s">
        <v>64</v>
      </c>
    </row>
    <row r="1267" spans="1:11" ht="42" customHeight="1">
      <c r="A1267" s="2" t="s">
        <v>3133</v>
      </c>
      <c r="B1267" s="2" t="s">
        <v>3133</v>
      </c>
      <c r="C1267" s="2" t="s">
        <v>38</v>
      </c>
      <c r="D1267" s="2" t="s">
        <v>39</v>
      </c>
      <c r="E1267" s="5">
        <v>-31103</v>
      </c>
      <c r="F1267" s="3" t="s">
        <v>1260</v>
      </c>
      <c r="G1267" s="3" t="s">
        <v>82</v>
      </c>
      <c r="H1267" s="2" t="s">
        <v>62</v>
      </c>
      <c r="I1267" s="2" t="s">
        <v>3138</v>
      </c>
      <c r="J1267" s="3" t="str">
        <f>HYPERLINK("https://www.boe.es/gazeta/dias/1814/11/03/pdfs/GMD-1814-147.pdf#page=3","Abrir facsímil")</f>
        <v>Abrir facsímil</v>
      </c>
      <c r="K1267" s="3" t="s">
        <v>64</v>
      </c>
    </row>
    <row r="1268" spans="1:11" ht="42" customHeight="1">
      <c r="A1268" s="2" t="s">
        <v>3139</v>
      </c>
      <c r="B1268" s="2" t="s">
        <v>3140</v>
      </c>
      <c r="C1268" s="2" t="s">
        <v>38</v>
      </c>
      <c r="D1268" s="2" t="s">
        <v>39</v>
      </c>
      <c r="E1268" s="5">
        <v>-31238</v>
      </c>
      <c r="F1268" s="3" t="s">
        <v>127</v>
      </c>
      <c r="G1268" s="3" t="s">
        <v>41</v>
      </c>
      <c r="H1268" s="2" t="s">
        <v>62</v>
      </c>
      <c r="I1268" s="2" t="s">
        <v>3141</v>
      </c>
      <c r="J1268" s="3" t="str">
        <f>HYPERLINK("https://www.boe.es/gazeta/dias/1814/06/21/pdfs/GMD-1814-88.pdf#page=4","Abrir facsímil")</f>
        <v>Abrir facsímil</v>
      </c>
      <c r="K1268" s="3" t="s">
        <v>64</v>
      </c>
    </row>
    <row r="1269" spans="1:11" ht="42" customHeight="1">
      <c r="A1269" s="2" t="s">
        <v>3142</v>
      </c>
      <c r="B1269" s="2" t="s">
        <v>3143</v>
      </c>
      <c r="C1269" s="2" t="s">
        <v>26</v>
      </c>
      <c r="D1269" s="2" t="s">
        <v>27</v>
      </c>
      <c r="E1269" s="5">
        <v>-31311</v>
      </c>
      <c r="F1269" s="3" t="s">
        <v>3144</v>
      </c>
      <c r="G1269" s="3" t="s">
        <v>52</v>
      </c>
      <c r="H1269" s="2" t="s">
        <v>62</v>
      </c>
      <c r="I1269" s="2" t="s">
        <v>3145</v>
      </c>
      <c r="J1269" s="3" t="str">
        <f>HYPERLINK("https://www.boe.es/gazeta/dias/1814/04/09/pdfs/GRE-1814-51.pdf#page=8","Abrir facsímil")</f>
        <v>Abrir facsímil</v>
      </c>
      <c r="K1269" s="3" t="s">
        <v>64</v>
      </c>
    </row>
    <row r="1270" spans="1:11" ht="42" customHeight="1">
      <c r="A1270" s="2" t="s">
        <v>3146</v>
      </c>
      <c r="B1270" s="2" t="s">
        <v>3147</v>
      </c>
      <c r="C1270" s="2" t="s">
        <v>105</v>
      </c>
      <c r="D1270" s="2" t="s">
        <v>18</v>
      </c>
      <c r="E1270" s="5">
        <v>-31336</v>
      </c>
      <c r="F1270" s="3" t="s">
        <v>1789</v>
      </c>
      <c r="G1270" s="3" t="s">
        <v>57</v>
      </c>
      <c r="H1270" s="2" t="s">
        <v>21</v>
      </c>
      <c r="I1270" s="2" t="s">
        <v>3148</v>
      </c>
      <c r="J1270" s="3" t="str">
        <f>HYPERLINK("https://www.boe.es/gazeta/dias/1814/03/15/pdfs/GRE-1814-36.pdf#page=6","Abrir facsímil")</f>
        <v>Abrir facsímil</v>
      </c>
      <c r="K1270" s="3" t="s">
        <v>23</v>
      </c>
    </row>
    <row r="1271" spans="1:11" ht="42" customHeight="1">
      <c r="A1271" s="2" t="s">
        <v>3149</v>
      </c>
      <c r="B1271" s="2" t="s">
        <v>3150</v>
      </c>
      <c r="C1271" s="2" t="s">
        <v>38</v>
      </c>
      <c r="D1271" s="2" t="s">
        <v>314</v>
      </c>
      <c r="E1271" s="5">
        <v>-31299</v>
      </c>
      <c r="F1271" s="3" t="s">
        <v>484</v>
      </c>
      <c r="G1271" s="3" t="s">
        <v>107</v>
      </c>
      <c r="H1271" s="2" t="s">
        <v>21</v>
      </c>
      <c r="I1271" s="2" t="s">
        <v>3151</v>
      </c>
      <c r="J1271" s="3" t="str">
        <f>HYPERLINK("https://www.boe.es/gazeta/dias/1814/04/21/pdfs/GRE-1814-58E.pdf#page=1","Abrir facsímil")</f>
        <v>Abrir facsímil</v>
      </c>
      <c r="K1271" s="3" t="s">
        <v>23</v>
      </c>
    </row>
    <row r="1272" spans="1:11" ht="42" customHeight="1">
      <c r="A1272" s="2" t="s">
        <v>3152</v>
      </c>
      <c r="B1272" s="2" t="s">
        <v>3153</v>
      </c>
      <c r="C1272" s="2" t="s">
        <v>38</v>
      </c>
      <c r="D1272" s="2" t="s">
        <v>39</v>
      </c>
      <c r="E1272" s="5">
        <v>-31119</v>
      </c>
      <c r="F1272" s="3" t="s">
        <v>136</v>
      </c>
      <c r="G1272" s="3" t="s">
        <v>704</v>
      </c>
      <c r="H1272" s="2" t="s">
        <v>62</v>
      </c>
      <c r="I1272" s="2" t="s">
        <v>3154</v>
      </c>
      <c r="J1272" s="3" t="str">
        <f>HYPERLINK("https://www.boe.es/gazeta/dias/1814/10/18/pdfs/GMD-1814-140.pdf#page=10","Abrir facsímil")</f>
        <v>Abrir facsímil</v>
      </c>
      <c r="K1272" s="3" t="s">
        <v>64</v>
      </c>
    </row>
    <row r="1273" spans="1:11" ht="42" customHeight="1">
      <c r="A1273" s="2" t="s">
        <v>3155</v>
      </c>
      <c r="B1273" s="2" t="s">
        <v>3156</v>
      </c>
      <c r="C1273" s="2" t="s">
        <v>26</v>
      </c>
      <c r="D1273" s="2" t="s">
        <v>27</v>
      </c>
      <c r="E1273" s="5">
        <v>-31250</v>
      </c>
      <c r="F1273" s="3" t="s">
        <v>177</v>
      </c>
      <c r="G1273" s="3" t="s">
        <v>52</v>
      </c>
      <c r="H1273" s="2" t="s">
        <v>62</v>
      </c>
      <c r="I1273" s="2" t="s">
        <v>3157</v>
      </c>
      <c r="J1273" s="3" t="str">
        <f>HYPERLINK("https://www.boe.es/gazeta/dias/1814/06/09/pdfs/GMD-1814-83.pdf#page=8","Abrir facsímil")</f>
        <v>Abrir facsímil</v>
      </c>
      <c r="K1273" s="3" t="s">
        <v>64</v>
      </c>
    </row>
    <row r="1274" spans="1:11" ht="42" customHeight="1">
      <c r="A1274" s="2" t="s">
        <v>3158</v>
      </c>
      <c r="B1274" s="2" t="s">
        <v>3159</v>
      </c>
      <c r="C1274" s="2" t="s">
        <v>38</v>
      </c>
      <c r="D1274" s="2" t="s">
        <v>39</v>
      </c>
      <c r="E1274" s="5">
        <v>-31252</v>
      </c>
      <c r="F1274" s="3" t="s">
        <v>364</v>
      </c>
      <c r="G1274" s="3" t="s">
        <v>365</v>
      </c>
      <c r="H1274" s="2" t="s">
        <v>62</v>
      </c>
      <c r="I1274" s="2" t="s">
        <v>3160</v>
      </c>
      <c r="J1274" s="3" t="str">
        <f>HYPERLINK("https://www.boe.es/gazeta/dias/1814/06/07/pdfs/GMD-1814-82.pdf#page=8","Abrir facsímil")</f>
        <v>Abrir facsímil</v>
      </c>
      <c r="K1274" s="3" t="s">
        <v>64</v>
      </c>
    </row>
    <row r="1275" spans="1:11" ht="42" customHeight="1">
      <c r="A1275" s="2" t="s">
        <v>3161</v>
      </c>
      <c r="B1275" s="2" t="s">
        <v>3162</v>
      </c>
      <c r="C1275" s="2" t="s">
        <v>38</v>
      </c>
      <c r="D1275" s="2" t="s">
        <v>39</v>
      </c>
      <c r="E1275" s="5">
        <v>-31168</v>
      </c>
      <c r="F1275" s="3" t="s">
        <v>893</v>
      </c>
      <c r="G1275" s="3" t="s">
        <v>1981</v>
      </c>
      <c r="H1275" s="2" t="s">
        <v>62</v>
      </c>
      <c r="I1275" s="2" t="s">
        <v>3163</v>
      </c>
      <c r="J1275" s="3" t="str">
        <f>HYPERLINK("https://www.boe.es/gazeta/dias/1814/08/30/pdfs/GMD-1814-118.pdf#page=8","Abrir facsímil")</f>
        <v>Abrir facsímil</v>
      </c>
      <c r="K1275" s="3" t="s">
        <v>64</v>
      </c>
    </row>
    <row r="1276" spans="1:11" ht="42" customHeight="1">
      <c r="A1276" s="2" t="s">
        <v>3164</v>
      </c>
      <c r="B1276" s="2" t="s">
        <v>3165</v>
      </c>
      <c r="C1276" s="2" t="s">
        <v>45</v>
      </c>
      <c r="D1276" s="2" t="s">
        <v>18</v>
      </c>
      <c r="E1276" s="5">
        <v>-31185</v>
      </c>
      <c r="F1276" s="3" t="s">
        <v>1238</v>
      </c>
      <c r="G1276" s="3" t="s">
        <v>3166</v>
      </c>
      <c r="H1276" s="2" t="s">
        <v>62</v>
      </c>
      <c r="I1276" s="2" t="s">
        <v>3167</v>
      </c>
      <c r="J1276" s="3" t="str">
        <f>HYPERLINK("https://www.boe.es/gazeta/dias/1814/08/13/pdfs/GMD-1814-111.pdf#page=7","Abrir facsímil")</f>
        <v>Abrir facsímil</v>
      </c>
      <c r="K1276" s="3" t="s">
        <v>64</v>
      </c>
    </row>
    <row r="1277" spans="1:11" ht="42" customHeight="1">
      <c r="A1277" s="2" t="s">
        <v>3168</v>
      </c>
      <c r="B1277" s="2" t="s">
        <v>3169</v>
      </c>
      <c r="C1277" s="2" t="s">
        <v>26</v>
      </c>
      <c r="D1277" s="2" t="s">
        <v>27</v>
      </c>
      <c r="E1277" s="5">
        <v>-31126</v>
      </c>
      <c r="F1277" s="3" t="s">
        <v>56</v>
      </c>
      <c r="G1277" s="3" t="s">
        <v>2616</v>
      </c>
      <c r="H1277" s="2" t="s">
        <v>62</v>
      </c>
      <c r="I1277" s="2" t="s">
        <v>3170</v>
      </c>
      <c r="J1277" s="3" t="str">
        <f>HYPERLINK("https://www.boe.es/gazeta/dias/1814/10/11/pdfs/GMD-1814-137.pdf#page=7","Abrir facsímil")</f>
        <v>Abrir facsímil</v>
      </c>
      <c r="K1277" s="3" t="s">
        <v>64</v>
      </c>
    </row>
    <row r="1278" spans="1:11" ht="42" customHeight="1">
      <c r="A1278" s="2" t="s">
        <v>3171</v>
      </c>
      <c r="B1278" s="2" t="s">
        <v>3171</v>
      </c>
      <c r="C1278" s="2" t="s">
        <v>38</v>
      </c>
      <c r="D1278" s="2" t="s">
        <v>39</v>
      </c>
      <c r="E1278" s="5">
        <v>-31164</v>
      </c>
      <c r="F1278" s="3" t="s">
        <v>1423</v>
      </c>
      <c r="G1278" s="3" t="s">
        <v>41</v>
      </c>
      <c r="H1278" s="2" t="s">
        <v>62</v>
      </c>
      <c r="I1278" s="2" t="s">
        <v>3172</v>
      </c>
      <c r="J1278" s="3" t="str">
        <f>HYPERLINK("https://www.boe.es/gazeta/dias/1814/09/03/pdfs/GMD-1814-121.pdf#page=4","Abrir facsímil")</f>
        <v>Abrir facsímil</v>
      </c>
      <c r="K1278" s="3" t="s">
        <v>64</v>
      </c>
    </row>
    <row r="1279" spans="1:11" ht="42" customHeight="1">
      <c r="A1279" s="2" t="s">
        <v>3171</v>
      </c>
      <c r="B1279" s="2" t="s">
        <v>3171</v>
      </c>
      <c r="C1279" s="2" t="s">
        <v>38</v>
      </c>
      <c r="D1279" s="2" t="s">
        <v>39</v>
      </c>
      <c r="E1279" s="5">
        <v>-31164</v>
      </c>
      <c r="F1279" s="3" t="s">
        <v>1423</v>
      </c>
      <c r="G1279" s="3" t="s">
        <v>99</v>
      </c>
      <c r="H1279" s="2" t="s">
        <v>62</v>
      </c>
      <c r="I1279" s="2" t="s">
        <v>3173</v>
      </c>
      <c r="J1279" s="3" t="str">
        <f>HYPERLINK("https://www.boe.es/gazeta/dias/1814/09/03/pdfs/GMD-1814-121.pdf#page=5","Abrir facsímil")</f>
        <v>Abrir facsímil</v>
      </c>
      <c r="K1279" s="3" t="s">
        <v>64</v>
      </c>
    </row>
    <row r="1280" spans="1:11" ht="42" customHeight="1">
      <c r="A1280" s="2" t="s">
        <v>3174</v>
      </c>
      <c r="B1280" s="2" t="s">
        <v>3175</v>
      </c>
      <c r="C1280" s="2" t="s">
        <v>26</v>
      </c>
      <c r="D1280" s="2" t="s">
        <v>27</v>
      </c>
      <c r="E1280" s="5">
        <v>-31138</v>
      </c>
      <c r="F1280" s="3" t="s">
        <v>1363</v>
      </c>
      <c r="G1280" s="3" t="s">
        <v>1364</v>
      </c>
      <c r="H1280" s="2" t="s">
        <v>62</v>
      </c>
      <c r="I1280" s="2" t="s">
        <v>3176</v>
      </c>
      <c r="J1280" s="3" t="str">
        <f>HYPERLINK("https://www.boe.es/gazeta/dias/1814/09/29/pdfs/GMD-1814-132.pdf#page=7","Abrir facsímil")</f>
        <v>Abrir facsímil</v>
      </c>
      <c r="K1280" s="3" t="s">
        <v>64</v>
      </c>
    </row>
    <row r="1281" spans="1:11" ht="42" customHeight="1">
      <c r="A1281" s="2" t="s">
        <v>3177</v>
      </c>
      <c r="B1281" s="2" t="s">
        <v>3178</v>
      </c>
      <c r="C1281" s="2" t="s">
        <v>38</v>
      </c>
      <c r="D1281" s="2" t="s">
        <v>39</v>
      </c>
      <c r="E1281" s="5">
        <v>-31054</v>
      </c>
      <c r="F1281" s="3" t="s">
        <v>952</v>
      </c>
      <c r="G1281" s="3" t="s">
        <v>41</v>
      </c>
      <c r="H1281" s="2" t="s">
        <v>62</v>
      </c>
      <c r="I1281" s="2" t="s">
        <v>3179</v>
      </c>
      <c r="J1281" s="3" t="str">
        <f>HYPERLINK("https://www.boe.es/gazeta/dias/1814/12/22/pdfs/GMD-1814-169.pdf#page=4","Abrir facsímil")</f>
        <v>Abrir facsímil</v>
      </c>
      <c r="K1281" s="3" t="s">
        <v>64</v>
      </c>
    </row>
    <row r="1282" spans="1:11" ht="42" customHeight="1">
      <c r="A1282" s="2" t="s">
        <v>3180</v>
      </c>
      <c r="B1282" s="2" t="s">
        <v>3181</v>
      </c>
      <c r="C1282" s="2" t="s">
        <v>38</v>
      </c>
      <c r="D1282" s="2" t="s">
        <v>39</v>
      </c>
      <c r="E1282" s="5">
        <v>-31390</v>
      </c>
      <c r="F1282" s="3" t="s">
        <v>349</v>
      </c>
      <c r="G1282" s="3" t="s">
        <v>20</v>
      </c>
      <c r="H1282" s="2" t="s">
        <v>62</v>
      </c>
      <c r="I1282" s="2" t="s">
        <v>3182</v>
      </c>
      <c r="J1282" s="3" t="str">
        <f>HYPERLINK("https://www.boe.es/gazeta/dias/1814/01/20/pdfs/GRE-1814-10.pdf#page=7","Abrir facsímil")</f>
        <v>Abrir facsímil</v>
      </c>
      <c r="K1282" s="3" t="s">
        <v>64</v>
      </c>
    </row>
    <row r="1283" spans="1:11" ht="42" customHeight="1">
      <c r="A1283" s="2" t="s">
        <v>3183</v>
      </c>
      <c r="B1283" s="2" t="s">
        <v>3184</v>
      </c>
      <c r="C1283" s="2" t="s">
        <v>26</v>
      </c>
      <c r="D1283" s="2" t="s">
        <v>27</v>
      </c>
      <c r="E1283" s="5">
        <v>-31052</v>
      </c>
      <c r="F1283" s="3" t="s">
        <v>1407</v>
      </c>
      <c r="G1283" s="3" t="s">
        <v>82</v>
      </c>
      <c r="H1283" s="2" t="s">
        <v>62</v>
      </c>
      <c r="I1283" s="2" t="s">
        <v>3185</v>
      </c>
      <c r="J1283" s="3" t="str">
        <f>HYPERLINK("https://www.boe.es/gazeta/dias/1814/12/24/pdfs/GMD-1814-170.pdf#page=3","Abrir facsímil")</f>
        <v>Abrir facsímil</v>
      </c>
      <c r="K1283" s="3" t="s">
        <v>64</v>
      </c>
    </row>
    <row r="1284" spans="1:11" ht="42" customHeight="1">
      <c r="A1284" s="2" t="s">
        <v>3186</v>
      </c>
      <c r="B1284" s="2" t="s">
        <v>3187</v>
      </c>
      <c r="C1284" s="2" t="s">
        <v>17</v>
      </c>
      <c r="D1284" s="2" t="s">
        <v>18</v>
      </c>
      <c r="E1284" s="5">
        <v>-31143</v>
      </c>
      <c r="F1284" s="3" t="s">
        <v>787</v>
      </c>
      <c r="G1284" s="3" t="s">
        <v>2367</v>
      </c>
      <c r="H1284" s="2" t="s">
        <v>62</v>
      </c>
      <c r="I1284" s="2" t="s">
        <v>3188</v>
      </c>
      <c r="J1284" s="3" t="str">
        <f>HYPERLINK("https://www.boe.es/gazeta/dias/1814/09/24/pdfs/GMD-1814-130.pdf#page=2","Abrir facsímil")</f>
        <v>Abrir facsímil</v>
      </c>
      <c r="K1284" s="3" t="s">
        <v>64</v>
      </c>
    </row>
    <row r="1285" spans="1:11" ht="42" customHeight="1">
      <c r="A1285" s="2" t="s">
        <v>3189</v>
      </c>
      <c r="B1285" s="2" t="s">
        <v>3190</v>
      </c>
      <c r="C1285" s="2" t="s">
        <v>17</v>
      </c>
      <c r="D1285" s="2" t="s">
        <v>18</v>
      </c>
      <c r="E1285" s="5">
        <v>-31154</v>
      </c>
      <c r="F1285" s="3" t="s">
        <v>688</v>
      </c>
      <c r="G1285" s="3" t="s">
        <v>831</v>
      </c>
      <c r="H1285" s="2" t="s">
        <v>62</v>
      </c>
      <c r="I1285" s="2" t="s">
        <v>3191</v>
      </c>
      <c r="J1285" s="3" t="str">
        <f>HYPERLINK("https://www.boe.es/gazeta/dias/1814/09/13/pdfs/GMD-1814-125.pdf#page=3","Abrir facsímil")</f>
        <v>Abrir facsímil</v>
      </c>
      <c r="K1285" s="3" t="s">
        <v>64</v>
      </c>
    </row>
    <row r="1286" spans="1:11" ht="42" customHeight="1">
      <c r="A1286" s="2" t="s">
        <v>3192</v>
      </c>
      <c r="B1286" s="2" t="s">
        <v>3193</v>
      </c>
      <c r="C1286" s="2" t="s">
        <v>38</v>
      </c>
      <c r="D1286" s="2" t="s">
        <v>39</v>
      </c>
      <c r="E1286" s="5">
        <v>-31364</v>
      </c>
      <c r="F1286" s="3" t="s">
        <v>594</v>
      </c>
      <c r="G1286" s="3" t="s">
        <v>52</v>
      </c>
      <c r="H1286" s="2" t="s">
        <v>62</v>
      </c>
      <c r="I1286" s="2" t="s">
        <v>3194</v>
      </c>
      <c r="J1286" s="3" t="str">
        <f>HYPERLINK("https://www.boe.es/gazeta/dias/1814/02/15/pdfs/GRE-1814-21.pdf#page=8","Abrir facsímil")</f>
        <v>Abrir facsímil</v>
      </c>
      <c r="K1286" s="3" t="s">
        <v>64</v>
      </c>
    </row>
    <row r="1287" spans="1:11" ht="42" customHeight="1">
      <c r="A1287" s="2" t="s">
        <v>3195</v>
      </c>
      <c r="B1287" s="2" t="s">
        <v>3196</v>
      </c>
      <c r="C1287" s="2" t="s">
        <v>38</v>
      </c>
      <c r="D1287" s="2" t="s">
        <v>39</v>
      </c>
      <c r="E1287" s="5">
        <v>-31185</v>
      </c>
      <c r="F1287" s="3" t="s">
        <v>1238</v>
      </c>
      <c r="G1287" s="3" t="s">
        <v>3166</v>
      </c>
      <c r="H1287" s="2" t="s">
        <v>62</v>
      </c>
      <c r="I1287" s="2" t="s">
        <v>3197</v>
      </c>
      <c r="J1287" s="3" t="str">
        <f>HYPERLINK("https://www.boe.es/gazeta/dias/1814/08/13/pdfs/GMD-1814-111.pdf#page=7","Abrir facsímil")</f>
        <v>Abrir facsímil</v>
      </c>
      <c r="K1287" s="3" t="s">
        <v>64</v>
      </c>
    </row>
    <row r="1288" spans="1:11" ht="42" customHeight="1">
      <c r="A1288" s="2" t="s">
        <v>3198</v>
      </c>
      <c r="B1288" s="2" t="s">
        <v>3199</v>
      </c>
      <c r="C1288" s="2" t="s">
        <v>26</v>
      </c>
      <c r="D1288" s="2" t="s">
        <v>27</v>
      </c>
      <c r="E1288" s="5">
        <v>-31168</v>
      </c>
      <c r="F1288" s="3" t="s">
        <v>893</v>
      </c>
      <c r="G1288" s="3" t="s">
        <v>82</v>
      </c>
      <c r="H1288" s="2" t="s">
        <v>62</v>
      </c>
      <c r="I1288" s="2" t="s">
        <v>3200</v>
      </c>
      <c r="J1288" s="3" t="str">
        <f>HYPERLINK("https://www.boe.es/gazeta/dias/1814/08/30/pdfs/GMD-1814-118.pdf#page=3","Abrir facsímil")</f>
        <v>Abrir facsímil</v>
      </c>
      <c r="K1288" s="3" t="s">
        <v>64</v>
      </c>
    </row>
    <row r="1289" spans="1:11" ht="42" customHeight="1">
      <c r="A1289" s="2" t="s">
        <v>3201</v>
      </c>
      <c r="B1289" s="2" t="s">
        <v>3202</v>
      </c>
      <c r="C1289" s="2" t="s">
        <v>38</v>
      </c>
      <c r="D1289" s="2" t="s">
        <v>39</v>
      </c>
      <c r="E1289" s="5">
        <v>-31124</v>
      </c>
      <c r="F1289" s="3" t="s">
        <v>383</v>
      </c>
      <c r="G1289" s="3" t="s">
        <v>574</v>
      </c>
      <c r="H1289" s="2" t="s">
        <v>62</v>
      </c>
      <c r="I1289" s="2" t="s">
        <v>3203</v>
      </c>
      <c r="J1289" s="3" t="str">
        <f>HYPERLINK("https://www.boe.es/gazeta/dias/1814/10/13/pdfs/GMD-1814-138.pdf#page=10","Abrir facsímil")</f>
        <v>Abrir facsímil</v>
      </c>
      <c r="K1289" s="3" t="s">
        <v>64</v>
      </c>
    </row>
    <row r="1290" spans="1:11" ht="42" customHeight="1">
      <c r="A1290" s="2" t="s">
        <v>3204</v>
      </c>
      <c r="B1290" s="2" t="s">
        <v>3205</v>
      </c>
      <c r="C1290" s="2" t="s">
        <v>38</v>
      </c>
      <c r="D1290" s="2" t="s">
        <v>39</v>
      </c>
      <c r="E1290" s="5">
        <v>-31353</v>
      </c>
      <c r="F1290" s="3" t="s">
        <v>247</v>
      </c>
      <c r="G1290" s="3" t="s">
        <v>20</v>
      </c>
      <c r="H1290" s="2" t="s">
        <v>62</v>
      </c>
      <c r="I1290" s="2" t="s">
        <v>3206</v>
      </c>
      <c r="J1290" s="3" t="str">
        <f>HYPERLINK("https://www.boe.es/gazeta/dias/1814/02/26/pdfs/GRE-1814-27.pdf#page=7","Abrir facsímil")</f>
        <v>Abrir facsímil</v>
      </c>
      <c r="K1290" s="3" t="s">
        <v>64</v>
      </c>
    </row>
    <row r="1291" spans="1:11" ht="42" customHeight="1">
      <c r="A1291" s="2" t="s">
        <v>3207</v>
      </c>
      <c r="B1291" s="2" t="s">
        <v>3208</v>
      </c>
      <c r="C1291" s="2" t="s">
        <v>38</v>
      </c>
      <c r="D1291" s="2" t="s">
        <v>39</v>
      </c>
      <c r="E1291" s="5">
        <v>-31094</v>
      </c>
      <c r="F1291" s="3" t="s">
        <v>761</v>
      </c>
      <c r="G1291" s="3" t="s">
        <v>20</v>
      </c>
      <c r="H1291" s="2" t="s">
        <v>21</v>
      </c>
      <c r="I1291" s="2" t="s">
        <v>3209</v>
      </c>
      <c r="J1291" s="3" t="str">
        <f>HYPERLINK("https://www.boe.es/gazeta/dias/1814/11/12/pdfs/GMD-1814-151.pdf#page=7","Abrir facsímil")</f>
        <v>Abrir facsímil</v>
      </c>
      <c r="K1291" s="3" t="s">
        <v>23</v>
      </c>
    </row>
    <row r="1292" spans="1:11" ht="42" customHeight="1">
      <c r="A1292" s="2" t="s">
        <v>3210</v>
      </c>
      <c r="B1292" s="2" t="s">
        <v>3210</v>
      </c>
      <c r="C1292" s="2" t="s">
        <v>38</v>
      </c>
      <c r="D1292" s="2" t="s">
        <v>39</v>
      </c>
      <c r="E1292" s="5">
        <v>-31248</v>
      </c>
      <c r="F1292" s="3" t="s">
        <v>1123</v>
      </c>
      <c r="G1292" s="3" t="s">
        <v>107</v>
      </c>
      <c r="H1292" s="2" t="s">
        <v>62</v>
      </c>
      <c r="I1292" s="2" t="s">
        <v>3211</v>
      </c>
      <c r="J1292" s="3" t="str">
        <f>HYPERLINK("https://www.boe.es/gazeta/dias/1814/06/11/pdfs/GMD-1814-84.pdf#page=1","Abrir facsímil")</f>
        <v>Abrir facsímil</v>
      </c>
      <c r="K1292" s="3" t="s">
        <v>64</v>
      </c>
    </row>
    <row r="1293" spans="1:11" ht="42" customHeight="1">
      <c r="A1293" s="2" t="s">
        <v>3212</v>
      </c>
      <c r="B1293" s="2" t="s">
        <v>3213</v>
      </c>
      <c r="C1293" s="2" t="s">
        <v>26</v>
      </c>
      <c r="D1293" s="2" t="s">
        <v>27</v>
      </c>
      <c r="E1293" s="5">
        <v>-31245</v>
      </c>
      <c r="F1293" s="3" t="s">
        <v>908</v>
      </c>
      <c r="G1293" s="3" t="s">
        <v>99</v>
      </c>
      <c r="H1293" s="2" t="s">
        <v>62</v>
      </c>
      <c r="I1293" s="2" t="s">
        <v>3214</v>
      </c>
      <c r="J1293" s="3" t="str">
        <f>HYPERLINK("https://www.boe.es/gazeta/dias/1814/06/14/pdfs/GMD-1814-85.pdf#page=5","Abrir facsímil")</f>
        <v>Abrir facsímil</v>
      </c>
      <c r="K1293" s="3" t="s">
        <v>64</v>
      </c>
    </row>
    <row r="1294" spans="1:11" ht="42" customHeight="1">
      <c r="A1294" s="2" t="s">
        <v>3215</v>
      </c>
      <c r="B1294" s="2" t="s">
        <v>3216</v>
      </c>
      <c r="C1294" s="2" t="s">
        <v>38</v>
      </c>
      <c r="D1294" s="2" t="s">
        <v>314</v>
      </c>
      <c r="E1294" s="5">
        <v>-31328</v>
      </c>
      <c r="F1294" s="3" t="s">
        <v>442</v>
      </c>
      <c r="G1294" s="3" t="s">
        <v>20</v>
      </c>
      <c r="H1294" s="2" t="s">
        <v>62</v>
      </c>
      <c r="I1294" s="2" t="s">
        <v>3217</v>
      </c>
      <c r="J1294" s="3" t="str">
        <f>HYPERLINK("https://www.boe.es/gazeta/dias/1814/03/23/pdfs/GRE-1814-40E.pdf#page=7","Abrir facsímil")</f>
        <v>Abrir facsímil</v>
      </c>
      <c r="K1294" s="3" t="s">
        <v>64</v>
      </c>
    </row>
    <row r="1295" spans="1:11" ht="42" customHeight="1">
      <c r="A1295" s="2" t="s">
        <v>3218</v>
      </c>
      <c r="B1295" s="2" t="s">
        <v>3219</v>
      </c>
      <c r="C1295" s="2" t="s">
        <v>17</v>
      </c>
      <c r="D1295" s="2" t="s">
        <v>18</v>
      </c>
      <c r="E1295" s="5">
        <v>-31262</v>
      </c>
      <c r="F1295" s="3" t="s">
        <v>254</v>
      </c>
      <c r="G1295" s="3" t="s">
        <v>666</v>
      </c>
      <c r="H1295" s="2" t="s">
        <v>62</v>
      </c>
      <c r="I1295" s="2" t="s">
        <v>3220</v>
      </c>
      <c r="J1295" s="3" t="str">
        <f>HYPERLINK("https://www.boe.es/gazeta/dias/1814/05/28/pdfs/GMD-1814-78.pdf#page=8","Abrir facsímil")</f>
        <v>Abrir facsímil</v>
      </c>
      <c r="K1295" s="3" t="s">
        <v>64</v>
      </c>
    </row>
    <row r="1296" spans="1:11" ht="42" customHeight="1">
      <c r="A1296" s="2" t="s">
        <v>3221</v>
      </c>
      <c r="B1296" s="2" t="s">
        <v>3222</v>
      </c>
      <c r="C1296" s="2" t="s">
        <v>38</v>
      </c>
      <c r="D1296" s="2" t="s">
        <v>39</v>
      </c>
      <c r="E1296" s="5">
        <v>-31371</v>
      </c>
      <c r="F1296" s="3" t="s">
        <v>1017</v>
      </c>
      <c r="G1296" s="3" t="s">
        <v>107</v>
      </c>
      <c r="H1296" s="2" t="s">
        <v>62</v>
      </c>
      <c r="I1296" s="2" t="s">
        <v>3223</v>
      </c>
      <c r="J1296" s="3" t="str">
        <f>HYPERLINK("https://www.boe.es/gazeta/dias/1814/02/08/pdfs/GRE-1814-18.pdf#page=1","Abrir facsímil")</f>
        <v>Abrir facsímil</v>
      </c>
      <c r="K1296" s="3" t="s">
        <v>64</v>
      </c>
    </row>
    <row r="1297" spans="1:11" ht="42" customHeight="1">
      <c r="A1297" s="2" t="s">
        <v>3224</v>
      </c>
      <c r="B1297" s="2" t="s">
        <v>3225</v>
      </c>
      <c r="C1297" s="2" t="s">
        <v>26</v>
      </c>
      <c r="D1297" s="2" t="s">
        <v>27</v>
      </c>
      <c r="E1297" s="5">
        <v>-31080</v>
      </c>
      <c r="F1297" s="3" t="s">
        <v>286</v>
      </c>
      <c r="G1297" s="3" t="s">
        <v>677</v>
      </c>
      <c r="H1297" s="2" t="s">
        <v>62</v>
      </c>
      <c r="I1297" s="2" t="s">
        <v>3226</v>
      </c>
      <c r="J1297" s="3" t="str">
        <f>HYPERLINK("https://www.boe.es/gazeta/dias/1814/11/26/pdfs/GMD-1814-157.pdf#page=7","Abrir facsímil")</f>
        <v>Abrir facsímil</v>
      </c>
      <c r="K1297" s="3" t="s">
        <v>64</v>
      </c>
    </row>
    <row r="1298" spans="1:11" ht="42" customHeight="1">
      <c r="A1298" s="2" t="s">
        <v>3227</v>
      </c>
      <c r="B1298" s="2" t="s">
        <v>3228</v>
      </c>
      <c r="C1298" s="2" t="s">
        <v>26</v>
      </c>
      <c r="D1298" s="2" t="s">
        <v>27</v>
      </c>
      <c r="E1298" s="5">
        <v>-31264</v>
      </c>
      <c r="F1298" s="3" t="s">
        <v>396</v>
      </c>
      <c r="G1298" s="3" t="s">
        <v>20</v>
      </c>
      <c r="H1298" s="2" t="s">
        <v>62</v>
      </c>
      <c r="I1298" s="2" t="s">
        <v>3229</v>
      </c>
      <c r="J1298" s="3" t="str">
        <f>HYPERLINK("https://www.boe.es/gazeta/dias/1814/05/26/pdfs/GMD-1814-77.pdf#page=7","Abrir facsímil")</f>
        <v>Abrir facsímil</v>
      </c>
      <c r="K1298" s="3" t="s">
        <v>64</v>
      </c>
    </row>
    <row r="1299" spans="1:11" ht="42" customHeight="1">
      <c r="A1299" s="2" t="s">
        <v>3230</v>
      </c>
      <c r="B1299" s="2" t="s">
        <v>3231</v>
      </c>
      <c r="C1299" s="2" t="s">
        <v>309</v>
      </c>
      <c r="D1299" s="2" t="s">
        <v>18</v>
      </c>
      <c r="E1299" s="5">
        <v>-31129</v>
      </c>
      <c r="F1299" s="3" t="s">
        <v>418</v>
      </c>
      <c r="G1299" s="3" t="s">
        <v>20</v>
      </c>
      <c r="H1299" s="2" t="s">
        <v>62</v>
      </c>
      <c r="I1299" s="2" t="s">
        <v>3232</v>
      </c>
      <c r="J1299" s="3" t="str">
        <f>HYPERLINK("https://www.boe.es/gazeta/dias/1814/10/08/pdfs/GMD-1814-136.pdf#page=7","Abrir facsímil")</f>
        <v>Abrir facsímil</v>
      </c>
      <c r="K1299" s="3" t="s">
        <v>64</v>
      </c>
    </row>
    <row r="1300" spans="1:11" ht="42" customHeight="1">
      <c r="A1300" s="2" t="s">
        <v>3233</v>
      </c>
      <c r="B1300" s="2" t="s">
        <v>3234</v>
      </c>
      <c r="C1300" s="2" t="s">
        <v>26</v>
      </c>
      <c r="D1300" s="2" t="s">
        <v>27</v>
      </c>
      <c r="E1300" s="5">
        <v>-31192</v>
      </c>
      <c r="F1300" s="3" t="s">
        <v>388</v>
      </c>
      <c r="G1300" s="3" t="s">
        <v>20</v>
      </c>
      <c r="H1300" s="2" t="s">
        <v>62</v>
      </c>
      <c r="I1300" s="2" t="s">
        <v>3235</v>
      </c>
      <c r="J1300" s="3" t="str">
        <f>HYPERLINK("https://www.boe.es/gazeta/dias/1814/08/06/pdfs/GMD-1814-108.pdf#page=7","Abrir facsímil")</f>
        <v>Abrir facsímil</v>
      </c>
      <c r="K1300" s="3" t="s">
        <v>64</v>
      </c>
    </row>
    <row r="1301" spans="1:11" ht="42" customHeight="1">
      <c r="A1301" s="2" t="s">
        <v>3236</v>
      </c>
      <c r="B1301" s="2" t="s">
        <v>3237</v>
      </c>
      <c r="C1301" s="2" t="s">
        <v>38</v>
      </c>
      <c r="D1301" s="2" t="s">
        <v>39</v>
      </c>
      <c r="E1301" s="5">
        <v>-31063</v>
      </c>
      <c r="F1301" s="3" t="s">
        <v>649</v>
      </c>
      <c r="G1301" s="3" t="s">
        <v>20</v>
      </c>
      <c r="H1301" s="2" t="s">
        <v>62</v>
      </c>
      <c r="I1301" s="2" t="s">
        <v>3238</v>
      </c>
      <c r="J1301" s="3" t="str">
        <f>HYPERLINK("https://www.boe.es/gazeta/dias/1814/12/13/pdfs/GMD-1814-164.pdf#page=7","Abrir facsímil")</f>
        <v>Abrir facsímil</v>
      </c>
      <c r="K1301" s="3" t="s">
        <v>64</v>
      </c>
    </row>
    <row r="1302" spans="1:11" ht="42" customHeight="1">
      <c r="A1302" s="2" t="s">
        <v>3239</v>
      </c>
      <c r="B1302" s="2" t="s">
        <v>3240</v>
      </c>
      <c r="C1302" s="2" t="s">
        <v>38</v>
      </c>
      <c r="D1302" s="2" t="s">
        <v>39</v>
      </c>
      <c r="E1302" s="5">
        <v>-31192</v>
      </c>
      <c r="F1302" s="3" t="s">
        <v>388</v>
      </c>
      <c r="G1302" s="3" t="s">
        <v>865</v>
      </c>
      <c r="H1302" s="2" t="s">
        <v>21</v>
      </c>
      <c r="I1302" s="2" t="s">
        <v>3241</v>
      </c>
      <c r="J1302" s="3" t="str">
        <f>HYPERLINK("https://www.boe.es/gazeta/dias/1814/08/06/pdfs/GMD-1814-108.pdf#page=5","Abrir facsímil")</f>
        <v>Abrir facsímil</v>
      </c>
      <c r="K1302" s="3" t="s">
        <v>23</v>
      </c>
    </row>
    <row r="1303" spans="1:11" ht="42" customHeight="1">
      <c r="A1303" s="2" t="s">
        <v>3242</v>
      </c>
      <c r="B1303" s="2" t="s">
        <v>3243</v>
      </c>
      <c r="C1303" s="2" t="s">
        <v>38</v>
      </c>
      <c r="D1303" s="2" t="s">
        <v>39</v>
      </c>
      <c r="E1303" s="5">
        <v>-31173</v>
      </c>
      <c r="F1303" s="3" t="s">
        <v>46</v>
      </c>
      <c r="G1303" s="3" t="s">
        <v>52</v>
      </c>
      <c r="H1303" s="2" t="s">
        <v>62</v>
      </c>
      <c r="I1303" s="2" t="s">
        <v>3244</v>
      </c>
      <c r="J1303" s="3" t="str">
        <f>HYPERLINK("https://www.boe.es/gazeta/dias/1814/08/25/pdfs/GMD-1814-116.pdf#page=8","Abrir facsímil")</f>
        <v>Abrir facsímil</v>
      </c>
      <c r="K1303" s="3" t="s">
        <v>64</v>
      </c>
    </row>
    <row r="1304" spans="1:11" ht="42" customHeight="1">
      <c r="A1304" s="2" t="s">
        <v>3245</v>
      </c>
      <c r="B1304" s="2" t="s">
        <v>3245</v>
      </c>
      <c r="C1304" s="2" t="s">
        <v>38</v>
      </c>
      <c r="D1304" s="2" t="s">
        <v>39</v>
      </c>
      <c r="E1304" s="5">
        <v>-31385</v>
      </c>
      <c r="F1304" s="3" t="s">
        <v>783</v>
      </c>
      <c r="G1304" s="3" t="s">
        <v>2135</v>
      </c>
      <c r="H1304" s="2" t="s">
        <v>62</v>
      </c>
      <c r="I1304" s="2" t="s">
        <v>3246</v>
      </c>
      <c r="J1304" s="3" t="str">
        <f>HYPERLINK("https://www.boe.es/gazeta/dias/1814/01/25/pdfs/GRE-1814-12.pdf#page=5","Abrir facsímil")</f>
        <v>Abrir facsímil</v>
      </c>
      <c r="K1304" s="3" t="s">
        <v>64</v>
      </c>
    </row>
    <row r="1305" spans="1:11" ht="42" customHeight="1">
      <c r="A1305" s="2" t="s">
        <v>3245</v>
      </c>
      <c r="B1305" s="2" t="s">
        <v>3245</v>
      </c>
      <c r="C1305" s="2" t="s">
        <v>38</v>
      </c>
      <c r="D1305" s="2" t="s">
        <v>39</v>
      </c>
      <c r="E1305" s="5">
        <v>-31173</v>
      </c>
      <c r="F1305" s="3" t="s">
        <v>46</v>
      </c>
      <c r="G1305" s="3" t="s">
        <v>57</v>
      </c>
      <c r="H1305" s="2" t="s">
        <v>62</v>
      </c>
      <c r="I1305" s="2" t="s">
        <v>3247</v>
      </c>
      <c r="J1305" s="3" t="str">
        <f>HYPERLINK("https://www.boe.es/gazeta/dias/1814/08/25/pdfs/GMD-1814-116.pdf#page=6","Abrir facsímil")</f>
        <v>Abrir facsímil</v>
      </c>
      <c r="K1305" s="3" t="s">
        <v>64</v>
      </c>
    </row>
    <row r="1306" spans="1:11" ht="42" customHeight="1">
      <c r="A1306" s="2" t="s">
        <v>3248</v>
      </c>
      <c r="B1306" s="2" t="s">
        <v>3249</v>
      </c>
      <c r="C1306" s="2" t="s">
        <v>38</v>
      </c>
      <c r="D1306" s="2" t="s">
        <v>39</v>
      </c>
      <c r="E1306" s="5">
        <v>-31049</v>
      </c>
      <c r="F1306" s="3" t="s">
        <v>542</v>
      </c>
      <c r="G1306" s="3" t="s">
        <v>20</v>
      </c>
      <c r="H1306" s="2" t="s">
        <v>62</v>
      </c>
      <c r="I1306" s="2" t="s">
        <v>3250</v>
      </c>
      <c r="J1306" s="3" t="str">
        <f>HYPERLINK("https://www.boe.es/gazeta/dias/1814/12/27/pdfs/GMD-1814-171.pdf#page=7","Abrir facsímil")</f>
        <v>Abrir facsímil</v>
      </c>
      <c r="K1306" s="3" t="s">
        <v>64</v>
      </c>
    </row>
    <row r="1307" spans="1:11" ht="42" customHeight="1">
      <c r="A1307" s="2" t="s">
        <v>3251</v>
      </c>
      <c r="B1307" s="2" t="s">
        <v>3252</v>
      </c>
      <c r="C1307" s="2" t="s">
        <v>38</v>
      </c>
      <c r="D1307" s="2" t="s">
        <v>39</v>
      </c>
      <c r="E1307" s="5">
        <v>-31173</v>
      </c>
      <c r="F1307" s="3" t="s">
        <v>46</v>
      </c>
      <c r="G1307" s="3" t="s">
        <v>57</v>
      </c>
      <c r="H1307" s="2" t="s">
        <v>62</v>
      </c>
      <c r="I1307" s="2" t="s">
        <v>3253</v>
      </c>
      <c r="J1307" s="3" t="str">
        <f>HYPERLINK("https://www.boe.es/gazeta/dias/1814/08/25/pdfs/GMD-1814-116.pdf#page=6","Abrir facsímil")</f>
        <v>Abrir facsímil</v>
      </c>
      <c r="K1307" s="3" t="s">
        <v>64</v>
      </c>
    </row>
    <row r="1308" spans="1:11" ht="42" customHeight="1">
      <c r="A1308" s="2" t="s">
        <v>3254</v>
      </c>
      <c r="B1308" s="2" t="s">
        <v>3255</v>
      </c>
      <c r="C1308" s="2" t="s">
        <v>38</v>
      </c>
      <c r="D1308" s="2" t="s">
        <v>39</v>
      </c>
      <c r="E1308" s="5">
        <v>-31194</v>
      </c>
      <c r="F1308" s="3" t="s">
        <v>333</v>
      </c>
      <c r="G1308" s="3" t="s">
        <v>57</v>
      </c>
      <c r="H1308" s="2" t="s">
        <v>62</v>
      </c>
      <c r="I1308" s="2" t="s">
        <v>3256</v>
      </c>
      <c r="J1308" s="3" t="str">
        <f>HYPERLINK("https://www.boe.es/gazeta/dias/1814/08/04/pdfs/GMD-1814-107.pdf#page=6","Abrir facsímil")</f>
        <v>Abrir facsímil</v>
      </c>
      <c r="K1308" s="3" t="s">
        <v>64</v>
      </c>
    </row>
    <row r="1309" spans="1:11" ht="42" customHeight="1">
      <c r="A1309" s="2" t="s">
        <v>3257</v>
      </c>
      <c r="B1309" s="2" t="s">
        <v>3258</v>
      </c>
      <c r="C1309" s="2" t="s">
        <v>26</v>
      </c>
      <c r="D1309" s="2" t="s">
        <v>27</v>
      </c>
      <c r="E1309" s="5">
        <v>-31262</v>
      </c>
      <c r="F1309" s="3" t="s">
        <v>254</v>
      </c>
      <c r="G1309" s="3" t="s">
        <v>99</v>
      </c>
      <c r="H1309" s="2" t="s">
        <v>62</v>
      </c>
      <c r="I1309" s="2" t="s">
        <v>3259</v>
      </c>
      <c r="J1309" s="3" t="str">
        <f>HYPERLINK("https://www.boe.es/gazeta/dias/1814/05/28/pdfs/GMD-1814-78.pdf#page=5","Abrir facsímil")</f>
        <v>Abrir facsímil</v>
      </c>
      <c r="K1309" s="3" t="s">
        <v>64</v>
      </c>
    </row>
    <row r="1310" spans="1:11" ht="42" customHeight="1">
      <c r="A1310" s="2" t="s">
        <v>3257</v>
      </c>
      <c r="B1310" s="2" t="s">
        <v>3258</v>
      </c>
      <c r="C1310" s="2" t="s">
        <v>32</v>
      </c>
      <c r="D1310" s="2" t="s">
        <v>18</v>
      </c>
      <c r="E1310" s="5">
        <v>-31185</v>
      </c>
      <c r="F1310" s="3" t="s">
        <v>1238</v>
      </c>
      <c r="G1310" s="3" t="s">
        <v>52</v>
      </c>
      <c r="H1310" s="2" t="s">
        <v>62</v>
      </c>
      <c r="I1310" s="2" t="s">
        <v>3260</v>
      </c>
      <c r="J1310" s="3" t="str">
        <f>HYPERLINK("https://www.boe.es/gazeta/dias/1814/08/13/pdfs/GMD-1814-111.pdf#page=8","Abrir facsímil")</f>
        <v>Abrir facsímil</v>
      </c>
      <c r="K1310" s="3" t="s">
        <v>64</v>
      </c>
    </row>
    <row r="1311" spans="1:11" ht="42" customHeight="1">
      <c r="A1311" s="2" t="s">
        <v>3261</v>
      </c>
      <c r="B1311" s="2" t="s">
        <v>3262</v>
      </c>
      <c r="C1311" s="2" t="s">
        <v>38</v>
      </c>
      <c r="D1311" s="2" t="s">
        <v>39</v>
      </c>
      <c r="E1311" s="5">
        <v>-31089</v>
      </c>
      <c r="F1311" s="3" t="s">
        <v>531</v>
      </c>
      <c r="G1311" s="3" t="s">
        <v>3263</v>
      </c>
      <c r="H1311" s="2" t="s">
        <v>62</v>
      </c>
      <c r="I1311" s="2" t="s">
        <v>3264</v>
      </c>
      <c r="J1311" s="3" t="str">
        <f>HYPERLINK("https://www.boe.es/gazeta/dias/1814/11/17/pdfs/GMD-1814-153.pdf#page=4","Abrir facsímil")</f>
        <v>Abrir facsímil</v>
      </c>
      <c r="K1311" s="3" t="s">
        <v>64</v>
      </c>
    </row>
    <row r="1312" spans="1:11" ht="42" customHeight="1">
      <c r="A1312" s="2" t="s">
        <v>3265</v>
      </c>
      <c r="B1312" s="2" t="s">
        <v>3266</v>
      </c>
      <c r="C1312" s="2" t="s">
        <v>26</v>
      </c>
      <c r="D1312" s="2" t="s">
        <v>27</v>
      </c>
      <c r="E1312" s="5">
        <v>-31061</v>
      </c>
      <c r="F1312" s="3" t="s">
        <v>329</v>
      </c>
      <c r="G1312" s="3" t="s">
        <v>99</v>
      </c>
      <c r="H1312" s="2" t="s">
        <v>62</v>
      </c>
      <c r="I1312" s="2" t="s">
        <v>3267</v>
      </c>
      <c r="J1312" s="3" t="str">
        <f>HYPERLINK("https://www.boe.es/gazeta/dias/1814/12/15/pdfs/GMD-1814-165.pdf#page=5","Abrir facsímil")</f>
        <v>Abrir facsímil</v>
      </c>
      <c r="K1312" s="3" t="s">
        <v>64</v>
      </c>
    </row>
    <row r="1313" spans="1:11" ht="42" customHeight="1">
      <c r="A1313" s="2" t="s">
        <v>3268</v>
      </c>
      <c r="B1313" s="2" t="s">
        <v>3268</v>
      </c>
      <c r="C1313" s="2" t="s">
        <v>17</v>
      </c>
      <c r="D1313" s="2" t="s">
        <v>18</v>
      </c>
      <c r="E1313" s="5">
        <v>-31399</v>
      </c>
      <c r="F1313" s="3" t="s">
        <v>218</v>
      </c>
      <c r="G1313" s="3" t="s">
        <v>219</v>
      </c>
      <c r="H1313" s="2" t="s">
        <v>62</v>
      </c>
      <c r="I1313" s="2" t="s">
        <v>3269</v>
      </c>
      <c r="J1313" s="3" t="str">
        <f>HYPERLINK("https://www.boe.es/gazeta/dias/1814/01/11/pdfs/GRE-1814-6.pdf#page=8","Abrir facsímil")</f>
        <v>Abrir facsímil</v>
      </c>
      <c r="K1313" s="3" t="s">
        <v>64</v>
      </c>
    </row>
    <row r="1314" spans="1:11" ht="42" customHeight="1">
      <c r="A1314" s="2" t="s">
        <v>3270</v>
      </c>
      <c r="B1314" s="2" t="s">
        <v>3271</v>
      </c>
      <c r="C1314" s="2" t="s">
        <v>38</v>
      </c>
      <c r="D1314" s="2" t="s">
        <v>39</v>
      </c>
      <c r="E1314" s="5">
        <v>-31355</v>
      </c>
      <c r="F1314" s="3" t="s">
        <v>50</v>
      </c>
      <c r="G1314" s="3" t="s">
        <v>20</v>
      </c>
      <c r="H1314" s="2" t="s">
        <v>62</v>
      </c>
      <c r="I1314" s="2" t="s">
        <v>3272</v>
      </c>
      <c r="J1314" s="3" t="str">
        <f>HYPERLINK("https://www.boe.es/gazeta/dias/1814/02/24/pdfs/GRE-1814-26.pdf#page=7","Abrir facsímil")</f>
        <v>Abrir facsímil</v>
      </c>
      <c r="K1314" s="3" t="s">
        <v>64</v>
      </c>
    </row>
    <row r="1315" spans="1:11" ht="42" customHeight="1">
      <c r="A1315" s="2" t="s">
        <v>3273</v>
      </c>
      <c r="B1315" s="2" t="s">
        <v>3274</v>
      </c>
      <c r="C1315" s="2" t="s">
        <v>38</v>
      </c>
      <c r="D1315" s="2" t="s">
        <v>39</v>
      </c>
      <c r="E1315" s="5">
        <v>-31355</v>
      </c>
      <c r="F1315" s="3" t="s">
        <v>50</v>
      </c>
      <c r="G1315" s="3" t="s">
        <v>20</v>
      </c>
      <c r="H1315" s="2" t="s">
        <v>62</v>
      </c>
      <c r="I1315" s="2" t="s">
        <v>3275</v>
      </c>
      <c r="J1315" s="3" t="str">
        <f>HYPERLINK("https://www.boe.es/gazeta/dias/1814/02/24/pdfs/GRE-1814-26.pdf#page=7","Abrir facsímil")</f>
        <v>Abrir facsímil</v>
      </c>
      <c r="K1315" s="3" t="s">
        <v>64</v>
      </c>
    </row>
    <row r="1316" spans="1:11" ht="42" customHeight="1">
      <c r="A1316" s="2" t="s">
        <v>3276</v>
      </c>
      <c r="B1316" s="2" t="s">
        <v>3277</v>
      </c>
      <c r="C1316" s="2" t="s">
        <v>17</v>
      </c>
      <c r="D1316" s="2" t="s">
        <v>18</v>
      </c>
      <c r="E1316" s="5">
        <v>-31117</v>
      </c>
      <c r="F1316" s="3" t="s">
        <v>172</v>
      </c>
      <c r="G1316" s="3" t="s">
        <v>173</v>
      </c>
      <c r="H1316" s="2" t="s">
        <v>62</v>
      </c>
      <c r="I1316" s="2" t="s">
        <v>3278</v>
      </c>
      <c r="J1316" s="3" t="str">
        <f>HYPERLINK("https://www.boe.es/gazeta/dias/1814/10/20/pdfs/GMD-1814-141.pdf#page=7","Abrir facsímil")</f>
        <v>Abrir facsímil</v>
      </c>
      <c r="K1316" s="3" t="s">
        <v>64</v>
      </c>
    </row>
    <row r="1317" spans="1:11" ht="42" customHeight="1">
      <c r="A1317" s="2" t="s">
        <v>3279</v>
      </c>
      <c r="B1317" s="2" t="s">
        <v>3280</v>
      </c>
      <c r="C1317" s="2" t="s">
        <v>26</v>
      </c>
      <c r="D1317" s="2" t="s">
        <v>27</v>
      </c>
      <c r="E1317" s="5">
        <v>-31084</v>
      </c>
      <c r="F1317" s="3" t="s">
        <v>282</v>
      </c>
      <c r="G1317" s="3" t="s">
        <v>57</v>
      </c>
      <c r="H1317" s="2" t="s">
        <v>62</v>
      </c>
      <c r="I1317" s="2" t="s">
        <v>3281</v>
      </c>
      <c r="J1317" s="3" t="str">
        <f>HYPERLINK("https://www.boe.es/gazeta/dias/1814/11/22/pdfs/GMD-1814-155.pdf#page=6","Abrir facsímil")</f>
        <v>Abrir facsímil</v>
      </c>
      <c r="K1317" s="3" t="s">
        <v>64</v>
      </c>
    </row>
    <row r="1318" spans="1:11" ht="42" customHeight="1">
      <c r="A1318" s="2" t="s">
        <v>3282</v>
      </c>
      <c r="B1318" s="2" t="s">
        <v>3283</v>
      </c>
      <c r="C1318" s="2" t="s">
        <v>17</v>
      </c>
      <c r="D1318" s="2" t="s">
        <v>18</v>
      </c>
      <c r="E1318" s="5">
        <v>-31187</v>
      </c>
      <c r="F1318" s="3" t="s">
        <v>518</v>
      </c>
      <c r="G1318" s="3" t="s">
        <v>99</v>
      </c>
      <c r="H1318" s="2" t="s">
        <v>62</v>
      </c>
      <c r="I1318" s="2" t="s">
        <v>3284</v>
      </c>
      <c r="J1318" s="3" t="str">
        <f>HYPERLINK("https://www.boe.es/gazeta/dias/1814/08/11/pdfs/GMD-1814-110.pdf#page=5","Abrir facsímil")</f>
        <v>Abrir facsímil</v>
      </c>
      <c r="K1318" s="3" t="s">
        <v>64</v>
      </c>
    </row>
    <row r="1319" spans="1:11" ht="42" customHeight="1">
      <c r="A1319" s="2" t="s">
        <v>3285</v>
      </c>
      <c r="B1319" s="2" t="s">
        <v>3285</v>
      </c>
      <c r="C1319" s="2" t="s">
        <v>38</v>
      </c>
      <c r="D1319" s="2" t="s">
        <v>39</v>
      </c>
      <c r="E1319" s="5">
        <v>-31353</v>
      </c>
      <c r="F1319" s="3" t="s">
        <v>247</v>
      </c>
      <c r="G1319" s="3" t="s">
        <v>2040</v>
      </c>
      <c r="H1319" s="2" t="s">
        <v>62</v>
      </c>
      <c r="I1319" s="2" t="s">
        <v>3286</v>
      </c>
      <c r="J1319" s="3" t="str">
        <f>HYPERLINK("https://www.boe.es/gazeta/dias/1814/02/26/pdfs/GRE-1814-27.pdf#page=2","Abrir facsímil")</f>
        <v>Abrir facsímil</v>
      </c>
      <c r="K1319" s="3" t="s">
        <v>64</v>
      </c>
    </row>
    <row r="1320" spans="1:11" ht="42" customHeight="1">
      <c r="A1320" s="2" t="s">
        <v>3287</v>
      </c>
      <c r="B1320" s="2" t="s">
        <v>3288</v>
      </c>
      <c r="C1320" s="2" t="s">
        <v>38</v>
      </c>
      <c r="D1320" s="2" t="s">
        <v>39</v>
      </c>
      <c r="E1320" s="5">
        <v>-31124</v>
      </c>
      <c r="F1320" s="3" t="s">
        <v>383</v>
      </c>
      <c r="G1320" s="3" t="s">
        <v>574</v>
      </c>
      <c r="H1320" s="2" t="s">
        <v>21</v>
      </c>
      <c r="I1320" s="2" t="s">
        <v>3289</v>
      </c>
      <c r="J1320" s="3" t="str">
        <f>HYPERLINK("https://www.boe.es/gazeta/dias/1814/10/13/pdfs/GMD-1814-138.pdf#page=10","Abrir facsímil")</f>
        <v>Abrir facsímil</v>
      </c>
      <c r="K1320" s="3" t="s">
        <v>23</v>
      </c>
    </row>
    <row r="1321" spans="1:11" ht="42" customHeight="1">
      <c r="A1321" s="2" t="s">
        <v>3290</v>
      </c>
      <c r="B1321" s="2" t="s">
        <v>3291</v>
      </c>
      <c r="C1321" s="2" t="s">
        <v>26</v>
      </c>
      <c r="D1321" s="2" t="s">
        <v>27</v>
      </c>
      <c r="E1321" s="5">
        <v>-31220</v>
      </c>
      <c r="F1321" s="3" t="s">
        <v>122</v>
      </c>
      <c r="G1321" s="3" t="s">
        <v>82</v>
      </c>
      <c r="H1321" s="2" t="s">
        <v>21</v>
      </c>
      <c r="I1321" s="2" t="s">
        <v>3292</v>
      </c>
      <c r="J1321" s="3" t="str">
        <f>HYPERLINK("https://www.boe.es/gazeta/dias/1814/07/09/pdfs/GMD-1814-96.pdf#page=3","Abrir facsímil")</f>
        <v>Abrir facsímil</v>
      </c>
      <c r="K1321" s="3" t="s">
        <v>23</v>
      </c>
    </row>
    <row r="1322" spans="1:11" ht="42" customHeight="1">
      <c r="A1322" s="2" t="s">
        <v>3293</v>
      </c>
      <c r="B1322" s="2" t="s">
        <v>3294</v>
      </c>
      <c r="C1322" s="2" t="s">
        <v>26</v>
      </c>
      <c r="D1322" s="2" t="s">
        <v>27</v>
      </c>
      <c r="E1322" s="5">
        <v>-31150</v>
      </c>
      <c r="F1322" s="3" t="s">
        <v>106</v>
      </c>
      <c r="G1322" s="3" t="s">
        <v>52</v>
      </c>
      <c r="H1322" s="2" t="s">
        <v>62</v>
      </c>
      <c r="I1322" s="2" t="s">
        <v>3295</v>
      </c>
      <c r="J1322" s="3" t="str">
        <f>HYPERLINK("https://www.boe.es/gazeta/dias/1814/09/17/pdfs/GMD-1814-127.pdf#page=8","Abrir facsímil")</f>
        <v>Abrir facsímil</v>
      </c>
      <c r="K1322" s="3" t="s">
        <v>64</v>
      </c>
    </row>
    <row r="1323" spans="1:11" ht="42" customHeight="1">
      <c r="A1323" s="2" t="s">
        <v>3296</v>
      </c>
      <c r="B1323" s="2" t="s">
        <v>3297</v>
      </c>
      <c r="C1323" s="2" t="s">
        <v>17</v>
      </c>
      <c r="D1323" s="2" t="s">
        <v>18</v>
      </c>
      <c r="E1323" s="5">
        <v>-31117</v>
      </c>
      <c r="F1323" s="3" t="s">
        <v>172</v>
      </c>
      <c r="G1323" s="3" t="s">
        <v>173</v>
      </c>
      <c r="H1323" s="2" t="s">
        <v>62</v>
      </c>
      <c r="I1323" s="2" t="s">
        <v>3298</v>
      </c>
      <c r="J1323" s="3" t="str">
        <f>HYPERLINK("https://www.boe.es/gazeta/dias/1814/10/20/pdfs/GMD-1814-141.pdf#page=7","Abrir facsímil")</f>
        <v>Abrir facsímil</v>
      </c>
      <c r="K1323" s="3" t="s">
        <v>64</v>
      </c>
    </row>
    <row r="1324" spans="1:11" ht="42" customHeight="1">
      <c r="A1324" s="2" t="s">
        <v>3299</v>
      </c>
      <c r="B1324" s="2" t="s">
        <v>3300</v>
      </c>
      <c r="C1324" s="2" t="s">
        <v>38</v>
      </c>
      <c r="D1324" s="2" t="s">
        <v>39</v>
      </c>
      <c r="E1324" s="5">
        <v>-31094</v>
      </c>
      <c r="F1324" s="3" t="s">
        <v>761</v>
      </c>
      <c r="G1324" s="3" t="s">
        <v>82</v>
      </c>
      <c r="H1324" s="2" t="s">
        <v>62</v>
      </c>
      <c r="I1324" s="2" t="s">
        <v>3301</v>
      </c>
      <c r="J1324" s="3" t="str">
        <f>HYPERLINK("https://www.boe.es/gazeta/dias/1814/11/12/pdfs/GMD-1814-151.pdf#page=3","Abrir facsímil")</f>
        <v>Abrir facsímil</v>
      </c>
      <c r="K1324" s="3" t="s">
        <v>64</v>
      </c>
    </row>
    <row r="1325" spans="1:11" ht="42" customHeight="1">
      <c r="A1325" s="2" t="s">
        <v>3302</v>
      </c>
      <c r="B1325" s="2" t="s">
        <v>3302</v>
      </c>
      <c r="C1325" s="2" t="s">
        <v>38</v>
      </c>
      <c r="D1325" s="2" t="s">
        <v>39</v>
      </c>
      <c r="E1325" s="5">
        <v>-31292</v>
      </c>
      <c r="F1325" s="3" t="s">
        <v>557</v>
      </c>
      <c r="G1325" s="3" t="s">
        <v>107</v>
      </c>
      <c r="H1325" s="2" t="s">
        <v>62</v>
      </c>
      <c r="I1325" s="2" t="s">
        <v>3303</v>
      </c>
      <c r="J1325" s="3" t="str">
        <f>HYPERLINK("https://www.boe.es/gazeta/dias/1814/04/28/pdfs/GRE-1814-63.pdf#page=1","Abrir facsímil")</f>
        <v>Abrir facsímil</v>
      </c>
      <c r="K1325" s="3" t="s">
        <v>64</v>
      </c>
    </row>
    <row r="1326" spans="1:11" ht="42" customHeight="1">
      <c r="A1326" s="2" t="s">
        <v>3304</v>
      </c>
      <c r="B1326" s="2" t="s">
        <v>3305</v>
      </c>
      <c r="C1326" s="2" t="s">
        <v>38</v>
      </c>
      <c r="D1326" s="2" t="s">
        <v>39</v>
      </c>
      <c r="E1326" s="5">
        <v>-31371</v>
      </c>
      <c r="F1326" s="3" t="s">
        <v>1017</v>
      </c>
      <c r="G1326" s="3" t="s">
        <v>82</v>
      </c>
      <c r="H1326" s="2" t="s">
        <v>62</v>
      </c>
      <c r="I1326" s="2" t="s">
        <v>3306</v>
      </c>
      <c r="J1326" s="3" t="str">
        <f>HYPERLINK("https://www.boe.es/gazeta/dias/1814/02/08/pdfs/GRE-1814-18.pdf#page=3","Abrir facsímil")</f>
        <v>Abrir facsímil</v>
      </c>
      <c r="K1326" s="3" t="s">
        <v>64</v>
      </c>
    </row>
    <row r="1327" spans="1:11" ht="42" customHeight="1">
      <c r="A1327" s="2" t="s">
        <v>3307</v>
      </c>
      <c r="B1327" s="2" t="s">
        <v>3307</v>
      </c>
      <c r="C1327" s="2" t="s">
        <v>38</v>
      </c>
      <c r="D1327" s="2" t="s">
        <v>39</v>
      </c>
      <c r="E1327" s="5">
        <v>-31392</v>
      </c>
      <c r="F1327" s="3" t="s">
        <v>195</v>
      </c>
      <c r="G1327" s="3" t="s">
        <v>3308</v>
      </c>
      <c r="H1327" s="2" t="s">
        <v>62</v>
      </c>
      <c r="I1327" s="2" t="s">
        <v>3309</v>
      </c>
      <c r="J1327" s="3" t="str">
        <f>HYPERLINK("https://www.boe.es/gazeta/dias/1814/01/18/pdfs/GRE-1814-9.pdf#page=6","Abrir facsímil")</f>
        <v>Abrir facsímil</v>
      </c>
      <c r="K1327" s="3" t="s">
        <v>64</v>
      </c>
    </row>
    <row r="1328" spans="1:11" ht="42" customHeight="1">
      <c r="A1328" s="2" t="s">
        <v>3310</v>
      </c>
      <c r="B1328" s="2" t="s">
        <v>3311</v>
      </c>
      <c r="C1328" s="2" t="s">
        <v>26</v>
      </c>
      <c r="D1328" s="2" t="s">
        <v>27</v>
      </c>
      <c r="E1328" s="5">
        <v>-31129</v>
      </c>
      <c r="F1328" s="3" t="s">
        <v>418</v>
      </c>
      <c r="G1328" s="3" t="s">
        <v>1366</v>
      </c>
      <c r="H1328" s="2" t="s">
        <v>62</v>
      </c>
      <c r="I1328" s="2" t="s">
        <v>3312</v>
      </c>
      <c r="J1328" s="3" t="str">
        <f>HYPERLINK("https://www.boe.es/gazeta/dias/1814/10/08/pdfs/GMD-1814-136.pdf#page=6","Abrir facsímil")</f>
        <v>Abrir facsímil</v>
      </c>
      <c r="K1328" s="3" t="s">
        <v>64</v>
      </c>
    </row>
    <row r="1329" spans="1:11" ht="42" customHeight="1">
      <c r="A1329" s="2" t="s">
        <v>3313</v>
      </c>
      <c r="B1329" s="2" t="s">
        <v>3314</v>
      </c>
      <c r="C1329" s="2" t="s">
        <v>38</v>
      </c>
      <c r="D1329" s="2" t="s">
        <v>39</v>
      </c>
      <c r="E1329" s="5">
        <v>-31313</v>
      </c>
      <c r="F1329" s="3" t="s">
        <v>239</v>
      </c>
      <c r="G1329" s="3" t="s">
        <v>82</v>
      </c>
      <c r="H1329" s="2" t="s">
        <v>62</v>
      </c>
      <c r="I1329" s="2" t="s">
        <v>3315</v>
      </c>
      <c r="J1329" s="3" t="str">
        <f>HYPERLINK("https://www.boe.es/gazeta/dias/1814/04/07/pdfs/GRE-1814-50.pdf#page=3","Abrir facsímil")</f>
        <v>Abrir facsímil</v>
      </c>
      <c r="K1329" s="3" t="s">
        <v>64</v>
      </c>
    </row>
    <row r="1330" spans="1:11" ht="42" customHeight="1">
      <c r="A1330" s="2" t="s">
        <v>3316</v>
      </c>
      <c r="B1330" s="2" t="s">
        <v>3317</v>
      </c>
      <c r="C1330" s="2" t="s">
        <v>32</v>
      </c>
      <c r="D1330" s="2" t="s">
        <v>18</v>
      </c>
      <c r="E1330" s="5">
        <v>-31138</v>
      </c>
      <c r="F1330" s="3" t="s">
        <v>1363</v>
      </c>
      <c r="G1330" s="3" t="s">
        <v>82</v>
      </c>
      <c r="H1330" s="2" t="s">
        <v>62</v>
      </c>
      <c r="I1330" s="2" t="s">
        <v>3318</v>
      </c>
      <c r="J1330" s="3" t="str">
        <f>HYPERLINK("https://www.boe.es/gazeta/dias/1814/09/29/pdfs/GMD-1814-132.pdf#page=3","Abrir facsímil")</f>
        <v>Abrir facsímil</v>
      </c>
      <c r="K1330" s="3" t="s">
        <v>64</v>
      </c>
    </row>
    <row r="1331" spans="1:11" ht="42" customHeight="1">
      <c r="A1331" s="2" t="s">
        <v>3319</v>
      </c>
      <c r="B1331" s="2" t="s">
        <v>3320</v>
      </c>
      <c r="C1331" s="2" t="s">
        <v>38</v>
      </c>
      <c r="D1331" s="2" t="s">
        <v>314</v>
      </c>
      <c r="E1331" s="5">
        <v>-31296</v>
      </c>
      <c r="F1331" s="3" t="s">
        <v>315</v>
      </c>
      <c r="G1331" s="3" t="s">
        <v>52</v>
      </c>
      <c r="H1331" s="2" t="s">
        <v>62</v>
      </c>
      <c r="I1331" s="2" t="s">
        <v>3321</v>
      </c>
      <c r="J1331" s="3" t="str">
        <f>HYPERLINK("https://www.boe.es/gazeta/dias/1814/04/24/pdfs/GRE-1814-60E.pdf#page=8","Abrir facsímil")</f>
        <v>Abrir facsímil</v>
      </c>
      <c r="K1331" s="3" t="s">
        <v>64</v>
      </c>
    </row>
    <row r="1332" spans="1:11" ht="42" customHeight="1">
      <c r="A1332" s="2" t="s">
        <v>3322</v>
      </c>
      <c r="B1332" s="2" t="s">
        <v>3323</v>
      </c>
      <c r="C1332" s="2" t="s">
        <v>38</v>
      </c>
      <c r="D1332" s="2" t="s">
        <v>39</v>
      </c>
      <c r="E1332" s="5">
        <v>-31171</v>
      </c>
      <c r="F1332" s="3" t="s">
        <v>157</v>
      </c>
      <c r="G1332" s="3" t="s">
        <v>57</v>
      </c>
      <c r="H1332" s="2" t="s">
        <v>62</v>
      </c>
      <c r="I1332" s="2" t="s">
        <v>3324</v>
      </c>
      <c r="J1332" s="3" t="str">
        <f>HYPERLINK("https://www.boe.es/gazeta/dias/1814/08/27/pdfs/GMD-1814-117.pdf#page=6","Abrir facsímil")</f>
        <v>Abrir facsímil</v>
      </c>
      <c r="K1332" s="3" t="s">
        <v>64</v>
      </c>
    </row>
    <row r="1333" spans="1:11" ht="42" customHeight="1">
      <c r="A1333" s="2" t="s">
        <v>3325</v>
      </c>
      <c r="B1333" s="2" t="s">
        <v>3326</v>
      </c>
      <c r="C1333" s="2" t="s">
        <v>38</v>
      </c>
      <c r="D1333" s="2" t="s">
        <v>314</v>
      </c>
      <c r="E1333" s="5">
        <v>-31296</v>
      </c>
      <c r="F1333" s="3" t="s">
        <v>315</v>
      </c>
      <c r="G1333" s="3" t="s">
        <v>20</v>
      </c>
      <c r="H1333" s="2" t="s">
        <v>62</v>
      </c>
      <c r="I1333" s="2" t="s">
        <v>3327</v>
      </c>
      <c r="J1333" s="3" t="str">
        <f>HYPERLINK("https://www.boe.es/gazeta/dias/1814/04/24/pdfs/GRE-1814-60E.pdf#page=7","Abrir facsímil")</f>
        <v>Abrir facsímil</v>
      </c>
      <c r="K1333" s="3" t="s">
        <v>64</v>
      </c>
    </row>
    <row r="1334" spans="1:11" ht="42" customHeight="1">
      <c r="A1334" s="2" t="s">
        <v>3328</v>
      </c>
      <c r="B1334" s="2" t="s">
        <v>3328</v>
      </c>
      <c r="C1334" s="2" t="s">
        <v>38</v>
      </c>
      <c r="D1334" s="2" t="s">
        <v>39</v>
      </c>
      <c r="E1334" s="5">
        <v>-31313</v>
      </c>
      <c r="F1334" s="3" t="s">
        <v>239</v>
      </c>
      <c r="G1334" s="3" t="s">
        <v>87</v>
      </c>
      <c r="H1334" s="2" t="s">
        <v>62</v>
      </c>
      <c r="I1334" s="2" t="s">
        <v>3329</v>
      </c>
      <c r="J1334" s="3" t="str">
        <f>HYPERLINK("https://www.boe.es/gazeta/dias/1814/04/07/pdfs/GRE-1814-50.pdf#page=2","Abrir facsímil")</f>
        <v>Abrir facsímil</v>
      </c>
      <c r="K1334" s="3" t="s">
        <v>64</v>
      </c>
    </row>
    <row r="1335" spans="1:11" ht="42" customHeight="1">
      <c r="A1335" s="2" t="s">
        <v>3330</v>
      </c>
      <c r="B1335" s="2" t="s">
        <v>3330</v>
      </c>
      <c r="C1335" s="2" t="s">
        <v>38</v>
      </c>
      <c r="D1335" s="2" t="s">
        <v>39</v>
      </c>
      <c r="E1335" s="5">
        <v>-31206</v>
      </c>
      <c r="F1335" s="3" t="s">
        <v>1196</v>
      </c>
      <c r="G1335" s="3" t="s">
        <v>3331</v>
      </c>
      <c r="H1335" s="2" t="s">
        <v>62</v>
      </c>
      <c r="I1335" s="2" t="s">
        <v>3332</v>
      </c>
      <c r="J1335" s="3" t="str">
        <f>HYPERLINK("https://www.boe.es/gazeta/dias/1814/07/23/pdfs/GMD-1814-102.pdf#page=6","Abrir facsímil")</f>
        <v>Abrir facsímil</v>
      </c>
      <c r="K1335" s="3" t="s">
        <v>64</v>
      </c>
    </row>
    <row r="1336" spans="1:11" ht="42" customHeight="1">
      <c r="A1336" s="2" t="s">
        <v>3333</v>
      </c>
      <c r="B1336" s="2" t="s">
        <v>3334</v>
      </c>
      <c r="C1336" s="2" t="s">
        <v>26</v>
      </c>
      <c r="D1336" s="2" t="s">
        <v>27</v>
      </c>
      <c r="E1336" s="5">
        <v>-31124</v>
      </c>
      <c r="F1336" s="3" t="s">
        <v>383</v>
      </c>
      <c r="G1336" s="3" t="s">
        <v>384</v>
      </c>
      <c r="H1336" s="2" t="s">
        <v>62</v>
      </c>
      <c r="I1336" s="2" t="s">
        <v>3335</v>
      </c>
      <c r="J1336" s="3" t="str">
        <f>HYPERLINK("https://www.boe.es/gazeta/dias/1814/10/13/pdfs/GMD-1814-138.pdf#page=11","Abrir facsímil")</f>
        <v>Abrir facsímil</v>
      </c>
      <c r="K1336" s="3" t="s">
        <v>64</v>
      </c>
    </row>
    <row r="1337" spans="1:11" ht="42" customHeight="1">
      <c r="A1337" s="2" t="s">
        <v>3336</v>
      </c>
      <c r="B1337" s="2" t="s">
        <v>3337</v>
      </c>
      <c r="C1337" s="2" t="s">
        <v>45</v>
      </c>
      <c r="D1337" s="2" t="s">
        <v>18</v>
      </c>
      <c r="E1337" s="5">
        <v>-31143</v>
      </c>
      <c r="F1337" s="3" t="s">
        <v>787</v>
      </c>
      <c r="G1337" s="3" t="s">
        <v>20</v>
      </c>
      <c r="H1337" s="2" t="s">
        <v>62</v>
      </c>
      <c r="I1337" s="2" t="s">
        <v>3338</v>
      </c>
      <c r="J1337" s="3" t="str">
        <f>HYPERLINK("https://www.boe.es/gazeta/dias/1814/09/24/pdfs/GMD-1814-130.pdf#page=7","Abrir facsímil")</f>
        <v>Abrir facsímil</v>
      </c>
      <c r="K1337" s="3" t="s">
        <v>64</v>
      </c>
    </row>
    <row r="1338" spans="1:11" ht="42" customHeight="1">
      <c r="A1338" s="2" t="s">
        <v>3339</v>
      </c>
      <c r="B1338" s="2" t="s">
        <v>3340</v>
      </c>
      <c r="C1338" s="2" t="s">
        <v>38</v>
      </c>
      <c r="D1338" s="2" t="s">
        <v>39</v>
      </c>
      <c r="E1338" s="5">
        <v>-31238</v>
      </c>
      <c r="F1338" s="3" t="s">
        <v>127</v>
      </c>
      <c r="G1338" s="3" t="s">
        <v>322</v>
      </c>
      <c r="H1338" s="2" t="s">
        <v>62</v>
      </c>
      <c r="I1338" s="2" t="s">
        <v>3341</v>
      </c>
      <c r="J1338" s="3" t="str">
        <f>HYPERLINK("https://www.boe.es/gazeta/dias/1814/06/21/pdfs/GMD-1814-88.pdf#page=12","Abrir facsímil")</f>
        <v>Abrir facsímil</v>
      </c>
      <c r="K1338" s="3" t="s">
        <v>64</v>
      </c>
    </row>
    <row r="1339" spans="1:11" ht="42" customHeight="1">
      <c r="A1339" s="2" t="s">
        <v>3342</v>
      </c>
      <c r="B1339" s="2" t="s">
        <v>3343</v>
      </c>
      <c r="C1339" s="2" t="s">
        <v>38</v>
      </c>
      <c r="D1339" s="2" t="s">
        <v>39</v>
      </c>
      <c r="E1339" s="5">
        <v>-31119</v>
      </c>
      <c r="F1339" s="3" t="s">
        <v>136</v>
      </c>
      <c r="G1339" s="3" t="s">
        <v>704</v>
      </c>
      <c r="H1339" s="2" t="s">
        <v>62</v>
      </c>
      <c r="I1339" s="2" t="s">
        <v>3344</v>
      </c>
      <c r="J1339" s="3" t="str">
        <f>HYPERLINK("https://www.boe.es/gazeta/dias/1814/10/18/pdfs/GMD-1814-140.pdf#page=10","Abrir facsímil")</f>
        <v>Abrir facsímil</v>
      </c>
      <c r="K1339" s="3" t="s">
        <v>64</v>
      </c>
    </row>
    <row r="1340" spans="1:11" ht="42" customHeight="1">
      <c r="A1340" s="2" t="s">
        <v>3345</v>
      </c>
      <c r="B1340" s="2" t="s">
        <v>3345</v>
      </c>
      <c r="C1340" s="2" t="s">
        <v>38</v>
      </c>
      <c r="D1340" s="2" t="s">
        <v>39</v>
      </c>
      <c r="E1340" s="5">
        <v>-31395</v>
      </c>
      <c r="F1340" s="3" t="s">
        <v>662</v>
      </c>
      <c r="G1340" s="3" t="s">
        <v>41</v>
      </c>
      <c r="H1340" s="2" t="s">
        <v>62</v>
      </c>
      <c r="I1340" s="2" t="s">
        <v>3346</v>
      </c>
      <c r="J1340" s="3" t="str">
        <f>HYPERLINK("https://www.boe.es/gazeta/dias/1814/01/15/pdfs/GRE-1814-8.pdf#page=4","Abrir facsímil")</f>
        <v>Abrir facsímil</v>
      </c>
      <c r="K1340" s="3" t="s">
        <v>64</v>
      </c>
    </row>
    <row r="1341" spans="1:11" ht="42" customHeight="1">
      <c r="A1341" s="2" t="s">
        <v>3345</v>
      </c>
      <c r="B1341" s="2" t="s">
        <v>3345</v>
      </c>
      <c r="C1341" s="2" t="s">
        <v>17</v>
      </c>
      <c r="D1341" s="2" t="s">
        <v>18</v>
      </c>
      <c r="E1341" s="5">
        <v>-31385</v>
      </c>
      <c r="F1341" s="3" t="s">
        <v>783</v>
      </c>
      <c r="G1341" s="3" t="s">
        <v>82</v>
      </c>
      <c r="H1341" s="2" t="s">
        <v>62</v>
      </c>
      <c r="I1341" s="2" t="s">
        <v>3347</v>
      </c>
      <c r="J1341" s="3" t="str">
        <f>HYPERLINK("https://www.boe.es/gazeta/dias/1814/01/25/pdfs/GRE-1814-12.pdf#page=3","Abrir facsímil")</f>
        <v>Abrir facsímil</v>
      </c>
      <c r="K1341" s="3" t="s">
        <v>64</v>
      </c>
    </row>
    <row r="1342" spans="1:11" ht="42" customHeight="1">
      <c r="A1342" s="2" t="s">
        <v>3345</v>
      </c>
      <c r="B1342" s="2" t="s">
        <v>3345</v>
      </c>
      <c r="C1342" s="2" t="s">
        <v>38</v>
      </c>
      <c r="D1342" s="2" t="s">
        <v>39</v>
      </c>
      <c r="E1342" s="5">
        <v>-31346</v>
      </c>
      <c r="F1342" s="3" t="s">
        <v>78</v>
      </c>
      <c r="G1342" s="3" t="s">
        <v>521</v>
      </c>
      <c r="H1342" s="2" t="s">
        <v>62</v>
      </c>
      <c r="I1342" s="2" t="s">
        <v>3348</v>
      </c>
      <c r="J1342" s="3" t="str">
        <f>HYPERLINK("https://www.boe.es/gazeta/dias/1814/03/05/pdfs/GRE-1814-30.pdf#page=3","Abrir facsímil")</f>
        <v>Abrir facsímil</v>
      </c>
      <c r="K1342" s="3" t="s">
        <v>64</v>
      </c>
    </row>
    <row r="1343" spans="1:11" ht="42" customHeight="1">
      <c r="A1343" s="2" t="s">
        <v>3349</v>
      </c>
      <c r="B1343" s="2" t="s">
        <v>3349</v>
      </c>
      <c r="C1343" s="2" t="s">
        <v>38</v>
      </c>
      <c r="D1343" s="2" t="s">
        <v>39</v>
      </c>
      <c r="E1343" s="5">
        <v>-31287</v>
      </c>
      <c r="F1343" s="3" t="s">
        <v>491</v>
      </c>
      <c r="G1343" s="3" t="s">
        <v>87</v>
      </c>
      <c r="H1343" s="2" t="s">
        <v>62</v>
      </c>
      <c r="I1343" s="2" t="s">
        <v>3350</v>
      </c>
      <c r="J1343" s="3" t="str">
        <f>HYPERLINK("https://www.boe.es/gazeta/dias/1814/05/03/pdfs/GRE-1814-65.pdf#page=2","Abrir facsímil")</f>
        <v>Abrir facsímil</v>
      </c>
      <c r="K1343" s="3" t="s">
        <v>64</v>
      </c>
    </row>
    <row r="1344" spans="1:11" ht="42" customHeight="1">
      <c r="A1344" s="2" t="s">
        <v>3351</v>
      </c>
      <c r="B1344" s="2" t="s">
        <v>3351</v>
      </c>
      <c r="C1344" s="2" t="s">
        <v>26</v>
      </c>
      <c r="D1344" s="2" t="s">
        <v>27</v>
      </c>
      <c r="E1344" s="5">
        <v>-31066</v>
      </c>
      <c r="F1344" s="3" t="s">
        <v>1323</v>
      </c>
      <c r="G1344" s="3" t="s">
        <v>82</v>
      </c>
      <c r="H1344" s="2" t="s">
        <v>62</v>
      </c>
      <c r="I1344" s="2" t="s">
        <v>3352</v>
      </c>
      <c r="J1344" s="3" t="str">
        <f>HYPERLINK("https://www.boe.es/gazeta/dias/1814/12/10/pdfs/GMD-1814-163.pdf#page=3","Abrir facsímil")</f>
        <v>Abrir facsímil</v>
      </c>
      <c r="K1344" s="3" t="s">
        <v>64</v>
      </c>
    </row>
    <row r="1345" spans="1:11" ht="42" customHeight="1">
      <c r="A1345" s="2" t="s">
        <v>3353</v>
      </c>
      <c r="B1345" s="2" t="s">
        <v>3353</v>
      </c>
      <c r="C1345" s="2" t="s">
        <v>45</v>
      </c>
      <c r="D1345" s="2" t="s">
        <v>18</v>
      </c>
      <c r="E1345" s="5">
        <v>-31110</v>
      </c>
      <c r="F1345" s="3" t="s">
        <v>149</v>
      </c>
      <c r="G1345" s="3" t="s">
        <v>52</v>
      </c>
      <c r="H1345" s="2" t="s">
        <v>62</v>
      </c>
      <c r="I1345" s="2" t="s">
        <v>3354</v>
      </c>
      <c r="J1345" s="3" t="str">
        <f>HYPERLINK("https://www.boe.es/gazeta/dias/1814/10/27/pdfs/GMD-1814-144.pdf#page=8","Abrir facsímil")</f>
        <v>Abrir facsímil</v>
      </c>
      <c r="K1345" s="3" t="s">
        <v>64</v>
      </c>
    </row>
    <row r="1346" spans="1:11" ht="42" customHeight="1">
      <c r="A1346" s="2" t="s">
        <v>3355</v>
      </c>
      <c r="B1346" s="2" t="s">
        <v>3356</v>
      </c>
      <c r="C1346" s="2" t="s">
        <v>38</v>
      </c>
      <c r="D1346" s="2" t="s">
        <v>39</v>
      </c>
      <c r="E1346" s="5">
        <v>-31271</v>
      </c>
      <c r="F1346" s="3" t="s">
        <v>243</v>
      </c>
      <c r="G1346" s="3" t="s">
        <v>41</v>
      </c>
      <c r="H1346" s="2" t="s">
        <v>62</v>
      </c>
      <c r="I1346" s="2" t="s">
        <v>3357</v>
      </c>
      <c r="J1346" s="3" t="str">
        <f>HYPERLINK("https://www.boe.es/gazeta/dias/1814/05/19/pdfs/GMD-1814-74.pdf#page=4","Abrir facsímil")</f>
        <v>Abrir facsímil</v>
      </c>
      <c r="K1346" s="3" t="s">
        <v>64</v>
      </c>
    </row>
    <row r="1347" spans="1:11" ht="42" customHeight="1">
      <c r="A1347" s="2" t="s">
        <v>3355</v>
      </c>
      <c r="B1347" s="2" t="s">
        <v>3356</v>
      </c>
      <c r="C1347" s="2" t="s">
        <v>38</v>
      </c>
      <c r="D1347" s="2" t="s">
        <v>39</v>
      </c>
      <c r="E1347" s="5">
        <v>-31264</v>
      </c>
      <c r="F1347" s="3" t="s">
        <v>396</v>
      </c>
      <c r="G1347" s="3" t="s">
        <v>99</v>
      </c>
      <c r="H1347" s="2" t="s">
        <v>62</v>
      </c>
      <c r="I1347" s="2" t="s">
        <v>3358</v>
      </c>
      <c r="J1347" s="3" t="str">
        <f>HYPERLINK("https://www.boe.es/gazeta/dias/1814/05/26/pdfs/GMD-1814-77.pdf#page=5","Abrir facsímil")</f>
        <v>Abrir facsímil</v>
      </c>
      <c r="K1347" s="3" t="s">
        <v>64</v>
      </c>
    </row>
    <row r="1348" spans="1:11" ht="42" customHeight="1">
      <c r="A1348" s="2" t="s">
        <v>3359</v>
      </c>
      <c r="B1348" s="2" t="s">
        <v>3360</v>
      </c>
      <c r="C1348" s="2" t="s">
        <v>38</v>
      </c>
      <c r="D1348" s="2" t="s">
        <v>314</v>
      </c>
      <c r="E1348" s="5">
        <v>-31328</v>
      </c>
      <c r="F1348" s="3" t="s">
        <v>442</v>
      </c>
      <c r="G1348" s="3" t="s">
        <v>20</v>
      </c>
      <c r="H1348" s="2" t="s">
        <v>62</v>
      </c>
      <c r="I1348" s="2" t="s">
        <v>3361</v>
      </c>
      <c r="J1348" s="3" t="str">
        <f>HYPERLINK("https://www.boe.es/gazeta/dias/1814/03/23/pdfs/GRE-1814-40E.pdf#page=7","Abrir facsímil")</f>
        <v>Abrir facsímil</v>
      </c>
      <c r="K1348" s="3" t="s">
        <v>64</v>
      </c>
    </row>
    <row r="1349" spans="1:11" ht="42" customHeight="1">
      <c r="A1349" s="2" t="s">
        <v>3362</v>
      </c>
      <c r="B1349" s="2" t="s">
        <v>3362</v>
      </c>
      <c r="C1349" s="2" t="s">
        <v>38</v>
      </c>
      <c r="D1349" s="2" t="s">
        <v>39</v>
      </c>
      <c r="E1349" s="5">
        <v>-31124</v>
      </c>
      <c r="F1349" s="3" t="s">
        <v>383</v>
      </c>
      <c r="G1349" s="3" t="s">
        <v>107</v>
      </c>
      <c r="H1349" s="2" t="s">
        <v>62</v>
      </c>
      <c r="I1349" s="2" t="s">
        <v>3363</v>
      </c>
      <c r="J1349" s="3" t="str">
        <f>HYPERLINK("https://www.boe.es/gazeta/dias/1814/10/13/pdfs/GMD-1814-138.pdf#page=1","Abrir facsímil")</f>
        <v>Abrir facsímil</v>
      </c>
      <c r="K1349" s="3" t="s">
        <v>64</v>
      </c>
    </row>
    <row r="1350" spans="1:11" ht="42" customHeight="1">
      <c r="A1350" s="2" t="s">
        <v>3364</v>
      </c>
      <c r="B1350" s="2" t="s">
        <v>3364</v>
      </c>
      <c r="C1350" s="2" t="s">
        <v>38</v>
      </c>
      <c r="D1350" s="2" t="s">
        <v>39</v>
      </c>
      <c r="E1350" s="5">
        <v>-31301</v>
      </c>
      <c r="F1350" s="3" t="s">
        <v>81</v>
      </c>
      <c r="G1350" s="3" t="s">
        <v>82</v>
      </c>
      <c r="H1350" s="2" t="s">
        <v>62</v>
      </c>
      <c r="I1350" s="2" t="s">
        <v>3365</v>
      </c>
      <c r="J1350" s="3" t="str">
        <f>HYPERLINK("https://www.boe.es/gazeta/dias/1814/04/19/pdfs/GRE-1814-56.pdf#page=3","Abrir facsímil")</f>
        <v>Abrir facsímil</v>
      </c>
      <c r="K1350" s="3" t="s">
        <v>64</v>
      </c>
    </row>
    <row r="1351" spans="1:11" ht="42" customHeight="1">
      <c r="A1351" s="2" t="s">
        <v>3364</v>
      </c>
      <c r="B1351" s="2" t="s">
        <v>3364</v>
      </c>
      <c r="C1351" s="2" t="s">
        <v>38</v>
      </c>
      <c r="D1351" s="2" t="s">
        <v>39</v>
      </c>
      <c r="E1351" s="5">
        <v>-31301</v>
      </c>
      <c r="F1351" s="3" t="s">
        <v>81</v>
      </c>
      <c r="G1351" s="3" t="s">
        <v>41</v>
      </c>
      <c r="H1351" s="2" t="s">
        <v>62</v>
      </c>
      <c r="I1351" s="2" t="s">
        <v>3366</v>
      </c>
      <c r="J1351" s="3" t="str">
        <f>HYPERLINK("https://www.boe.es/gazeta/dias/1814/04/19/pdfs/GRE-1814-56.pdf#page=4","Abrir facsímil")</f>
        <v>Abrir facsímil</v>
      </c>
      <c r="K1351" s="3" t="s">
        <v>64</v>
      </c>
    </row>
    <row r="1352" spans="1:11" ht="42" customHeight="1">
      <c r="A1352" s="2" t="s">
        <v>3367</v>
      </c>
      <c r="B1352" s="2" t="s">
        <v>3367</v>
      </c>
      <c r="C1352" s="2" t="s">
        <v>38</v>
      </c>
      <c r="D1352" s="2" t="s">
        <v>39</v>
      </c>
      <c r="E1352" s="5">
        <v>-31405</v>
      </c>
      <c r="F1352" s="3" t="s">
        <v>1754</v>
      </c>
      <c r="G1352" s="3" t="s">
        <v>3368</v>
      </c>
      <c r="H1352" s="2" t="s">
        <v>62</v>
      </c>
      <c r="I1352" s="2" t="s">
        <v>3369</v>
      </c>
      <c r="J1352" s="3" t="str">
        <f>HYPERLINK("https://www.boe.es/gazeta/dias/1814/01/05/pdfs/GRE-1814-5.pdf#page=8","Abrir facsímil")</f>
        <v>Abrir facsímil</v>
      </c>
      <c r="K1352" s="3" t="s">
        <v>64</v>
      </c>
    </row>
    <row r="1353" spans="1:11" ht="42" customHeight="1">
      <c r="A1353" s="2" t="s">
        <v>3367</v>
      </c>
      <c r="B1353" s="2" t="s">
        <v>3367</v>
      </c>
      <c r="C1353" s="2" t="s">
        <v>38</v>
      </c>
      <c r="D1353" s="2" t="s">
        <v>39</v>
      </c>
      <c r="E1353" s="5">
        <v>-31402</v>
      </c>
      <c r="F1353" s="3" t="s">
        <v>1754</v>
      </c>
      <c r="G1353" s="3" t="s">
        <v>3368</v>
      </c>
      <c r="H1353" s="2" t="s">
        <v>62</v>
      </c>
      <c r="I1353" s="2" t="s">
        <v>3369</v>
      </c>
      <c r="J1353" s="3" t="str">
        <f>HYPERLINK("https://www.boe.es/gazeta/dias/1814/01/08/pdfs/GRE-1814-5.pdf#page=8","Abrir facsímil")</f>
        <v>Abrir facsímil</v>
      </c>
      <c r="K1353" s="3" t="s">
        <v>64</v>
      </c>
    </row>
    <row r="1354" spans="1:11" ht="42" customHeight="1">
      <c r="A1354" s="2" t="s">
        <v>3367</v>
      </c>
      <c r="B1354" s="2" t="s">
        <v>3367</v>
      </c>
      <c r="C1354" s="2" t="s">
        <v>38</v>
      </c>
      <c r="D1354" s="2" t="s">
        <v>39</v>
      </c>
      <c r="E1354" s="5">
        <v>-31381</v>
      </c>
      <c r="F1354" s="3" t="s">
        <v>989</v>
      </c>
      <c r="G1354" s="3" t="s">
        <v>20</v>
      </c>
      <c r="H1354" s="2" t="s">
        <v>62</v>
      </c>
      <c r="I1354" s="2" t="s">
        <v>3370</v>
      </c>
      <c r="J1354" s="3" t="str">
        <f>HYPERLINK("https://www.boe.es/gazeta/dias/1814/01/29/pdfs/GRE-1814-14.pdf#page=7","Abrir facsímil")</f>
        <v>Abrir facsímil</v>
      </c>
      <c r="K1354" s="3" t="s">
        <v>64</v>
      </c>
    </row>
    <row r="1355" spans="1:11" ht="42" customHeight="1">
      <c r="A1355" s="2" t="s">
        <v>3367</v>
      </c>
      <c r="B1355" s="2" t="s">
        <v>3367</v>
      </c>
      <c r="C1355" s="2" t="s">
        <v>38</v>
      </c>
      <c r="D1355" s="2" t="s">
        <v>314</v>
      </c>
      <c r="E1355" s="5">
        <v>-31341</v>
      </c>
      <c r="F1355" s="3" t="s">
        <v>354</v>
      </c>
      <c r="G1355" s="3" t="s">
        <v>82</v>
      </c>
      <c r="H1355" s="2" t="s">
        <v>62</v>
      </c>
      <c r="I1355" s="2" t="s">
        <v>3371</v>
      </c>
      <c r="J1355" s="3" t="str">
        <f>HYPERLINK("https://www.boe.es/gazeta/dias/1814/03/10/pdfs/GRE-1814-34E.pdf#page=3","Abrir facsímil")</f>
        <v>Abrir facsímil</v>
      </c>
      <c r="K1355" s="3" t="s">
        <v>64</v>
      </c>
    </row>
    <row r="1356" spans="1:11" ht="42" customHeight="1">
      <c r="A1356" s="2" t="s">
        <v>3367</v>
      </c>
      <c r="B1356" s="2" t="s">
        <v>3367</v>
      </c>
      <c r="C1356" s="2" t="s">
        <v>38</v>
      </c>
      <c r="D1356" s="2" t="s">
        <v>39</v>
      </c>
      <c r="E1356" s="5">
        <v>-31313</v>
      </c>
      <c r="F1356" s="3" t="s">
        <v>239</v>
      </c>
      <c r="G1356" s="3" t="s">
        <v>20</v>
      </c>
      <c r="H1356" s="2" t="s">
        <v>62</v>
      </c>
      <c r="I1356" s="2" t="s">
        <v>3372</v>
      </c>
      <c r="J1356" s="3" t="str">
        <f>HYPERLINK("https://www.boe.es/gazeta/dias/1814/04/07/pdfs/GRE-1814-50.pdf#page=7","Abrir facsímil")</f>
        <v>Abrir facsímil</v>
      </c>
      <c r="K1356" s="3" t="s">
        <v>64</v>
      </c>
    </row>
    <row r="1357" spans="1:11" ht="42" customHeight="1">
      <c r="A1357" s="2" t="s">
        <v>3367</v>
      </c>
      <c r="B1357" s="2" t="s">
        <v>3367</v>
      </c>
      <c r="C1357" s="2" t="s">
        <v>38</v>
      </c>
      <c r="D1357" s="2" t="s">
        <v>314</v>
      </c>
      <c r="E1357" s="5">
        <v>-31296</v>
      </c>
      <c r="F1357" s="3" t="s">
        <v>315</v>
      </c>
      <c r="G1357" s="3" t="s">
        <v>82</v>
      </c>
      <c r="H1357" s="2" t="s">
        <v>62</v>
      </c>
      <c r="I1357" s="2" t="s">
        <v>3373</v>
      </c>
      <c r="J1357" s="3" t="str">
        <f>HYPERLINK("https://www.boe.es/gazeta/dias/1814/04/24/pdfs/GRE-1814-60E.pdf#page=3","Abrir facsímil")</f>
        <v>Abrir facsímil</v>
      </c>
      <c r="K1357" s="3" t="s">
        <v>64</v>
      </c>
    </row>
    <row r="1358" spans="1:11" ht="42" customHeight="1">
      <c r="A1358" s="2" t="s">
        <v>3367</v>
      </c>
      <c r="B1358" s="2" t="s">
        <v>3367</v>
      </c>
      <c r="C1358" s="2" t="s">
        <v>38</v>
      </c>
      <c r="D1358" s="2" t="s">
        <v>314</v>
      </c>
      <c r="E1358" s="5">
        <v>-31294</v>
      </c>
      <c r="F1358" s="3" t="s">
        <v>2505</v>
      </c>
      <c r="G1358" s="3" t="s">
        <v>87</v>
      </c>
      <c r="H1358" s="2" t="s">
        <v>62</v>
      </c>
      <c r="I1358" s="2" t="s">
        <v>3374</v>
      </c>
      <c r="J1358" s="3" t="str">
        <f>HYPERLINK("https://www.boe.es/gazeta/dias/1814/04/26/pdfs/GRE-1814-62E.pdf#page=2","Abrir facsímil")</f>
        <v>Abrir facsímil</v>
      </c>
      <c r="K1358" s="3" t="s">
        <v>64</v>
      </c>
    </row>
    <row r="1359" spans="1:11" ht="42" customHeight="1">
      <c r="A1359" s="2" t="s">
        <v>3375</v>
      </c>
      <c r="B1359" s="2" t="s">
        <v>3376</v>
      </c>
      <c r="C1359" s="2" t="s">
        <v>38</v>
      </c>
      <c r="D1359" s="2" t="s">
        <v>39</v>
      </c>
      <c r="E1359" s="5">
        <v>-31376</v>
      </c>
      <c r="F1359" s="3" t="s">
        <v>1954</v>
      </c>
      <c r="G1359" s="3" t="s">
        <v>2778</v>
      </c>
      <c r="H1359" s="2" t="s">
        <v>62</v>
      </c>
      <c r="I1359" s="2" t="s">
        <v>3377</v>
      </c>
      <c r="J1359" s="3" t="str">
        <f>HYPERLINK("https://www.boe.es/gazeta/dias/1814/02/03/pdfs/GRE-1814-16.pdf#page=7","Abrir facsímil")</f>
        <v>Abrir facsímil</v>
      </c>
      <c r="K1359" s="3" t="s">
        <v>64</v>
      </c>
    </row>
    <row r="1360" spans="1:11" ht="42" customHeight="1">
      <c r="A1360" s="2" t="s">
        <v>3375</v>
      </c>
      <c r="B1360" s="2" t="s">
        <v>3376</v>
      </c>
      <c r="C1360" s="2" t="s">
        <v>38</v>
      </c>
      <c r="D1360" s="2" t="s">
        <v>39</v>
      </c>
      <c r="E1360" s="5">
        <v>-31369</v>
      </c>
      <c r="F1360" s="3" t="s">
        <v>695</v>
      </c>
      <c r="G1360" s="3" t="s">
        <v>20</v>
      </c>
      <c r="H1360" s="2" t="s">
        <v>62</v>
      </c>
      <c r="I1360" s="2" t="s">
        <v>3378</v>
      </c>
      <c r="J1360" s="3" t="str">
        <f>HYPERLINK("https://www.boe.es/gazeta/dias/1814/02/10/pdfs/GRE-1814-19.pdf#page=7","Abrir facsímil")</f>
        <v>Abrir facsímil</v>
      </c>
      <c r="K1360" s="3" t="s">
        <v>64</v>
      </c>
    </row>
    <row r="1361" spans="1:11" ht="42" customHeight="1">
      <c r="A1361" s="2" t="s">
        <v>3375</v>
      </c>
      <c r="B1361" s="2" t="s">
        <v>3376</v>
      </c>
      <c r="C1361" s="2" t="s">
        <v>38</v>
      </c>
      <c r="D1361" s="2" t="s">
        <v>39</v>
      </c>
      <c r="E1361" s="5">
        <v>-31290</v>
      </c>
      <c r="F1361" s="3" t="s">
        <v>488</v>
      </c>
      <c r="G1361" s="3" t="s">
        <v>57</v>
      </c>
      <c r="H1361" s="2" t="s">
        <v>62</v>
      </c>
      <c r="I1361" s="2" t="s">
        <v>3379</v>
      </c>
      <c r="J1361" s="3" t="str">
        <f>HYPERLINK("https://www.boe.es/gazeta/dias/1814/04/30/pdfs/GRE-1814-64.pdf#page=6","Abrir facsímil")</f>
        <v>Abrir facsímil</v>
      </c>
      <c r="K1361" s="3" t="s">
        <v>64</v>
      </c>
    </row>
    <row r="1362" spans="1:11" ht="42" customHeight="1">
      <c r="A1362" s="2" t="s">
        <v>3380</v>
      </c>
      <c r="B1362" s="2" t="s">
        <v>3381</v>
      </c>
      <c r="C1362" s="2" t="s">
        <v>38</v>
      </c>
      <c r="D1362" s="2" t="s">
        <v>39</v>
      </c>
      <c r="E1362" s="5">
        <v>-31245</v>
      </c>
      <c r="F1362" s="3" t="s">
        <v>908</v>
      </c>
      <c r="G1362" s="3" t="s">
        <v>384</v>
      </c>
      <c r="H1362" s="2" t="s">
        <v>21</v>
      </c>
      <c r="I1362" s="2" t="s">
        <v>3382</v>
      </c>
      <c r="J1362" s="3" t="str">
        <f>HYPERLINK("https://www.boe.es/gazeta/dias/1814/06/14/pdfs/GMD-1814-85.pdf#page=11","Abrir facsímil")</f>
        <v>Abrir facsímil</v>
      </c>
      <c r="K1362" s="3" t="s">
        <v>23</v>
      </c>
    </row>
    <row r="1363" spans="1:11" ht="42" customHeight="1">
      <c r="A1363" s="2" t="s">
        <v>3383</v>
      </c>
      <c r="B1363" s="2" t="s">
        <v>3383</v>
      </c>
      <c r="C1363" s="2" t="s">
        <v>38</v>
      </c>
      <c r="D1363" s="2" t="s">
        <v>39</v>
      </c>
      <c r="E1363" s="5">
        <v>-31136</v>
      </c>
      <c r="F1363" s="3" t="s">
        <v>956</v>
      </c>
      <c r="G1363" s="3" t="s">
        <v>87</v>
      </c>
      <c r="H1363" s="2" t="s">
        <v>62</v>
      </c>
      <c r="I1363" s="2" t="s">
        <v>3384</v>
      </c>
      <c r="J1363" s="3" t="str">
        <f>HYPERLINK("https://www.boe.es/gazeta/dias/1814/10/01/pdfs/GMD-1814-133.pdf#page=2","Abrir facsímil")</f>
        <v>Abrir facsímil</v>
      </c>
      <c r="K1363" s="3" t="s">
        <v>64</v>
      </c>
    </row>
    <row r="1364" spans="1:11" ht="42" customHeight="1">
      <c r="A1364" s="2" t="s">
        <v>3385</v>
      </c>
      <c r="B1364" s="2" t="s">
        <v>3386</v>
      </c>
      <c r="C1364" s="2" t="s">
        <v>17</v>
      </c>
      <c r="D1364" s="2" t="s">
        <v>18</v>
      </c>
      <c r="E1364" s="5">
        <v>-31115</v>
      </c>
      <c r="F1364" s="3" t="s">
        <v>805</v>
      </c>
      <c r="G1364" s="3" t="s">
        <v>20</v>
      </c>
      <c r="H1364" s="2" t="s">
        <v>62</v>
      </c>
      <c r="I1364" s="2" t="s">
        <v>3387</v>
      </c>
      <c r="J1364" s="3" t="str">
        <f>HYPERLINK("https://www.boe.es/gazeta/dias/1814/10/22/pdfs/GMD-1814-142.pdf#page=7","Abrir facsímil")</f>
        <v>Abrir facsímil</v>
      </c>
      <c r="K1364" s="3" t="s">
        <v>64</v>
      </c>
    </row>
    <row r="1365" spans="1:11" ht="42" customHeight="1">
      <c r="A1365" s="2" t="s">
        <v>3388</v>
      </c>
      <c r="B1365" s="2" t="s">
        <v>3388</v>
      </c>
      <c r="C1365" s="2" t="s">
        <v>105</v>
      </c>
      <c r="D1365" s="2" t="s">
        <v>18</v>
      </c>
      <c r="E1365" s="5">
        <v>-31154</v>
      </c>
      <c r="F1365" s="3" t="s">
        <v>688</v>
      </c>
      <c r="G1365" s="3" t="s">
        <v>107</v>
      </c>
      <c r="H1365" s="2" t="s">
        <v>62</v>
      </c>
      <c r="I1365" s="2" t="s">
        <v>3389</v>
      </c>
      <c r="J1365" s="3" t="str">
        <f>HYPERLINK("https://www.boe.es/gazeta/dias/1814/09/13/pdfs/GMD-1814-125.pdf#page=1","Abrir facsímil")</f>
        <v>Abrir facsímil</v>
      </c>
      <c r="K1365" s="3" t="s">
        <v>64</v>
      </c>
    </row>
    <row r="1366" spans="1:11" ht="42" customHeight="1">
      <c r="A1366" s="2" t="s">
        <v>3390</v>
      </c>
      <c r="B1366" s="2" t="s">
        <v>3390</v>
      </c>
      <c r="C1366" s="2" t="s">
        <v>144</v>
      </c>
      <c r="D1366" s="2" t="s">
        <v>18</v>
      </c>
      <c r="E1366" s="5">
        <v>-31045</v>
      </c>
      <c r="F1366" s="3" t="s">
        <v>165</v>
      </c>
      <c r="G1366" s="3" t="s">
        <v>52</v>
      </c>
      <c r="H1366" s="2" t="s">
        <v>62</v>
      </c>
      <c r="I1366" s="2" t="s">
        <v>3391</v>
      </c>
      <c r="J1366" s="3" t="str">
        <f>HYPERLINK("https://www.boe.es/gazeta/dias/1814/12/31/pdfs/GMD-1814-173.pdf#page=8","Abrir facsímil")</f>
        <v>Abrir facsímil</v>
      </c>
      <c r="K1366" s="3" t="s">
        <v>64</v>
      </c>
    </row>
    <row r="1367" spans="1:11" ht="42" customHeight="1">
      <c r="A1367" s="2" t="s">
        <v>3392</v>
      </c>
      <c r="B1367" s="2" t="s">
        <v>3393</v>
      </c>
      <c r="C1367" s="2" t="s">
        <v>38</v>
      </c>
      <c r="D1367" s="2" t="s">
        <v>39</v>
      </c>
      <c r="E1367" s="5">
        <v>-31318</v>
      </c>
      <c r="F1367" s="3" t="s">
        <v>400</v>
      </c>
      <c r="G1367" s="3" t="s">
        <v>99</v>
      </c>
      <c r="H1367" s="2" t="s">
        <v>62</v>
      </c>
      <c r="I1367" s="2" t="s">
        <v>3394</v>
      </c>
      <c r="J1367" s="3" t="str">
        <f>HYPERLINK("https://www.boe.es/gazeta/dias/1814/04/02/pdfs/GRE-1814-47.pdf#page=5","Abrir facsímil")</f>
        <v>Abrir facsímil</v>
      </c>
      <c r="K1367" s="3" t="s">
        <v>64</v>
      </c>
    </row>
    <row r="1368" spans="1:11" ht="42" customHeight="1">
      <c r="A1368" s="2" t="s">
        <v>3395</v>
      </c>
      <c r="B1368" s="2" t="s">
        <v>3396</v>
      </c>
      <c r="C1368" s="2" t="s">
        <v>38</v>
      </c>
      <c r="D1368" s="2" t="s">
        <v>39</v>
      </c>
      <c r="E1368" s="5">
        <v>-31115</v>
      </c>
      <c r="F1368" s="3" t="s">
        <v>805</v>
      </c>
      <c r="G1368" s="3" t="s">
        <v>52</v>
      </c>
      <c r="H1368" s="2" t="s">
        <v>62</v>
      </c>
      <c r="I1368" s="2" t="s">
        <v>3397</v>
      </c>
      <c r="J1368" s="3" t="str">
        <f>HYPERLINK("https://www.boe.es/gazeta/dias/1814/10/22/pdfs/GMD-1814-142.pdf#page=8","Abrir facsímil")</f>
        <v>Abrir facsímil</v>
      </c>
      <c r="K1368" s="3" t="s">
        <v>64</v>
      </c>
    </row>
    <row r="1369" spans="1:11" ht="42" customHeight="1">
      <c r="A1369" s="2" t="s">
        <v>3398</v>
      </c>
      <c r="B1369" s="2" t="s">
        <v>3398</v>
      </c>
      <c r="C1369" s="2" t="s">
        <v>38</v>
      </c>
      <c r="D1369" s="2" t="s">
        <v>39</v>
      </c>
      <c r="E1369" s="5">
        <v>-31126</v>
      </c>
      <c r="F1369" s="3" t="s">
        <v>56</v>
      </c>
      <c r="G1369" s="3" t="s">
        <v>87</v>
      </c>
      <c r="H1369" s="2" t="s">
        <v>62</v>
      </c>
      <c r="I1369" s="2" t="s">
        <v>3399</v>
      </c>
      <c r="J1369" s="3" t="str">
        <f>HYPERLINK("https://www.boe.es/gazeta/dias/1814/10/11/pdfs/GMD-1814-137.pdf#page=2","Abrir facsímil")</f>
        <v>Abrir facsímil</v>
      </c>
      <c r="K1369" s="3" t="s">
        <v>64</v>
      </c>
    </row>
    <row r="1370" spans="1:11" ht="42" customHeight="1">
      <c r="A1370" s="2" t="s">
        <v>3398</v>
      </c>
      <c r="B1370" s="2" t="s">
        <v>3398</v>
      </c>
      <c r="C1370" s="2" t="s">
        <v>26</v>
      </c>
      <c r="D1370" s="2" t="s">
        <v>27</v>
      </c>
      <c r="E1370" s="5">
        <v>-31091</v>
      </c>
      <c r="F1370" s="3" t="s">
        <v>1156</v>
      </c>
      <c r="G1370" s="3" t="s">
        <v>107</v>
      </c>
      <c r="H1370" s="2" t="s">
        <v>62</v>
      </c>
      <c r="I1370" s="2" t="s">
        <v>3400</v>
      </c>
      <c r="J1370" s="3" t="str">
        <f>HYPERLINK("https://www.boe.es/gazeta/dias/1814/11/15/pdfs/GMD-1814-152.pdf#page=1","Abrir facsímil")</f>
        <v>Abrir facsímil</v>
      </c>
      <c r="K1370" s="3" t="s">
        <v>64</v>
      </c>
    </row>
    <row r="1371" spans="1:11" ht="42" customHeight="1">
      <c r="A1371" s="2" t="s">
        <v>3401</v>
      </c>
      <c r="B1371" s="2" t="s">
        <v>3402</v>
      </c>
      <c r="C1371" s="2" t="s">
        <v>38</v>
      </c>
      <c r="D1371" s="2" t="s">
        <v>39</v>
      </c>
      <c r="E1371" s="5">
        <v>-31304</v>
      </c>
      <c r="F1371" s="3" t="s">
        <v>1964</v>
      </c>
      <c r="G1371" s="3" t="s">
        <v>3403</v>
      </c>
      <c r="H1371" s="2" t="s">
        <v>62</v>
      </c>
      <c r="I1371" s="2" t="s">
        <v>3404</v>
      </c>
      <c r="J1371" s="3" t="str">
        <f>HYPERLINK("https://www.boe.es/gazeta/dias/1814/04/16/pdfs/GRE-1814-55.pdf#page=8","Abrir facsímil")</f>
        <v>Abrir facsímil</v>
      </c>
      <c r="K1371" s="3" t="s">
        <v>64</v>
      </c>
    </row>
    <row r="1372" spans="1:11" ht="42" customHeight="1">
      <c r="A1372" s="2" t="s">
        <v>3405</v>
      </c>
      <c r="B1372" s="2" t="s">
        <v>3406</v>
      </c>
      <c r="C1372" s="2" t="s">
        <v>26</v>
      </c>
      <c r="D1372" s="2" t="s">
        <v>27</v>
      </c>
      <c r="E1372" s="5">
        <v>-31080</v>
      </c>
      <c r="F1372" s="3" t="s">
        <v>286</v>
      </c>
      <c r="G1372" s="3" t="s">
        <v>677</v>
      </c>
      <c r="H1372" s="2" t="s">
        <v>62</v>
      </c>
      <c r="I1372" s="2" t="s">
        <v>3407</v>
      </c>
      <c r="J1372" s="3" t="str">
        <f>HYPERLINK("https://www.boe.es/gazeta/dias/1814/11/26/pdfs/GMD-1814-157.pdf#page=7","Abrir facsímil")</f>
        <v>Abrir facsímil</v>
      </c>
      <c r="K1372" s="3" t="s">
        <v>64</v>
      </c>
    </row>
    <row r="1373" spans="1:11" ht="42" customHeight="1">
      <c r="A1373" s="2" t="s">
        <v>3408</v>
      </c>
      <c r="B1373" s="2" t="s">
        <v>3408</v>
      </c>
      <c r="C1373" s="2" t="s">
        <v>38</v>
      </c>
      <c r="D1373" s="2" t="s">
        <v>314</v>
      </c>
      <c r="E1373" s="5">
        <v>-31341</v>
      </c>
      <c r="F1373" s="3" t="s">
        <v>354</v>
      </c>
      <c r="G1373" s="3" t="s">
        <v>82</v>
      </c>
      <c r="H1373" s="2" t="s">
        <v>62</v>
      </c>
      <c r="I1373" s="2" t="s">
        <v>3409</v>
      </c>
      <c r="J1373" s="3" t="str">
        <f>HYPERLINK("https://www.boe.es/gazeta/dias/1814/03/10/pdfs/GRE-1814-34E.pdf#page=3","Abrir facsímil")</f>
        <v>Abrir facsímil</v>
      </c>
      <c r="K1373" s="3" t="s">
        <v>64</v>
      </c>
    </row>
    <row r="1374" spans="1:11" ht="42" customHeight="1">
      <c r="A1374" s="2" t="s">
        <v>3410</v>
      </c>
      <c r="B1374" s="2" t="s">
        <v>3411</v>
      </c>
      <c r="C1374" s="2" t="s">
        <v>17</v>
      </c>
      <c r="D1374" s="2" t="s">
        <v>18</v>
      </c>
      <c r="E1374" s="5">
        <v>-31119</v>
      </c>
      <c r="F1374" s="3" t="s">
        <v>136</v>
      </c>
      <c r="G1374" s="3" t="s">
        <v>137</v>
      </c>
      <c r="H1374" s="2" t="s">
        <v>62</v>
      </c>
      <c r="I1374" s="2" t="s">
        <v>3412</v>
      </c>
      <c r="J1374" s="3" t="str">
        <f>HYPERLINK("https://www.boe.es/gazeta/dias/1814/10/18/pdfs/GMD-1814-140.pdf#page=9","Abrir facsímil")</f>
        <v>Abrir facsímil</v>
      </c>
      <c r="K1374" s="3" t="s">
        <v>64</v>
      </c>
    </row>
    <row r="1375" spans="1:11" ht="42" customHeight="1">
      <c r="A1375" s="2" t="s">
        <v>3413</v>
      </c>
      <c r="B1375" s="2" t="s">
        <v>3414</v>
      </c>
      <c r="C1375" s="2" t="s">
        <v>38</v>
      </c>
      <c r="D1375" s="2" t="s">
        <v>39</v>
      </c>
      <c r="E1375" s="5">
        <v>-31049</v>
      </c>
      <c r="F1375" s="3" t="s">
        <v>542</v>
      </c>
      <c r="G1375" s="3" t="s">
        <v>20</v>
      </c>
      <c r="H1375" s="2" t="s">
        <v>62</v>
      </c>
      <c r="I1375" s="2" t="s">
        <v>3415</v>
      </c>
      <c r="J1375" s="3" t="str">
        <f>HYPERLINK("https://www.boe.es/gazeta/dias/1814/12/27/pdfs/GMD-1814-171.pdf#page=7","Abrir facsímil")</f>
        <v>Abrir facsímil</v>
      </c>
      <c r="K1375" s="3" t="s">
        <v>64</v>
      </c>
    </row>
    <row r="1376" spans="1:11" ht="42" customHeight="1">
      <c r="A1376" s="2" t="s">
        <v>3416</v>
      </c>
      <c r="B1376" s="2" t="s">
        <v>3417</v>
      </c>
      <c r="C1376" s="2" t="s">
        <v>38</v>
      </c>
      <c r="D1376" s="2" t="s">
        <v>39</v>
      </c>
      <c r="E1376" s="5">
        <v>-31049</v>
      </c>
      <c r="F1376" s="3" t="s">
        <v>542</v>
      </c>
      <c r="G1376" s="3" t="s">
        <v>20</v>
      </c>
      <c r="H1376" s="2" t="s">
        <v>62</v>
      </c>
      <c r="I1376" s="2" t="s">
        <v>3418</v>
      </c>
      <c r="J1376" s="3" t="str">
        <f>HYPERLINK("https://www.boe.es/gazeta/dias/1814/12/27/pdfs/GMD-1814-171.pdf#page=7","Abrir facsímil")</f>
        <v>Abrir facsímil</v>
      </c>
      <c r="K1376" s="3" t="s">
        <v>64</v>
      </c>
    </row>
    <row r="1377" spans="1:11" ht="42" customHeight="1">
      <c r="A1377" s="2" t="s">
        <v>3419</v>
      </c>
      <c r="B1377" s="2" t="s">
        <v>3419</v>
      </c>
      <c r="C1377" s="2" t="s">
        <v>38</v>
      </c>
      <c r="D1377" s="2" t="s">
        <v>314</v>
      </c>
      <c r="E1377" s="5">
        <v>-31341</v>
      </c>
      <c r="F1377" s="3" t="s">
        <v>354</v>
      </c>
      <c r="G1377" s="3" t="s">
        <v>87</v>
      </c>
      <c r="H1377" s="2" t="s">
        <v>62</v>
      </c>
      <c r="I1377" s="2" t="s">
        <v>3420</v>
      </c>
      <c r="J1377" s="3" t="str">
        <f>HYPERLINK("https://www.boe.es/gazeta/dias/1814/03/10/pdfs/GRE-1814-34E.pdf#page=2","Abrir facsímil")</f>
        <v>Abrir facsímil</v>
      </c>
      <c r="K1377" s="3" t="s">
        <v>64</v>
      </c>
    </row>
    <row r="1378" spans="1:11" ht="42" customHeight="1">
      <c r="A1378" s="2" t="s">
        <v>3419</v>
      </c>
      <c r="B1378" s="2" t="s">
        <v>3419</v>
      </c>
      <c r="C1378" s="2" t="s">
        <v>38</v>
      </c>
      <c r="D1378" s="2" t="s">
        <v>314</v>
      </c>
      <c r="E1378" s="5">
        <v>-31341</v>
      </c>
      <c r="F1378" s="3" t="s">
        <v>354</v>
      </c>
      <c r="G1378" s="3" t="s">
        <v>99</v>
      </c>
      <c r="H1378" s="2" t="s">
        <v>62</v>
      </c>
      <c r="I1378" s="2" t="s">
        <v>3421</v>
      </c>
      <c r="J1378" s="3" t="str">
        <f>HYPERLINK("https://www.boe.es/gazeta/dias/1814/03/10/pdfs/GRE-1814-34E.pdf#page=5","Abrir facsímil")</f>
        <v>Abrir facsímil</v>
      </c>
      <c r="K1378" s="3" t="s">
        <v>64</v>
      </c>
    </row>
    <row r="1379" spans="1:11" ht="42" customHeight="1">
      <c r="A1379" s="2" t="s">
        <v>3422</v>
      </c>
      <c r="B1379" s="2" t="s">
        <v>3422</v>
      </c>
      <c r="C1379" s="2" t="s">
        <v>38</v>
      </c>
      <c r="D1379" s="2" t="s">
        <v>314</v>
      </c>
      <c r="E1379" s="5">
        <v>-31296</v>
      </c>
      <c r="F1379" s="3" t="s">
        <v>315</v>
      </c>
      <c r="G1379" s="3" t="s">
        <v>82</v>
      </c>
      <c r="H1379" s="2" t="s">
        <v>62</v>
      </c>
      <c r="I1379" s="2" t="s">
        <v>3423</v>
      </c>
      <c r="J1379" s="3" t="str">
        <f>HYPERLINK("https://www.boe.es/gazeta/dias/1814/04/24/pdfs/GRE-1814-60E.pdf#page=3","Abrir facsímil")</f>
        <v>Abrir facsímil</v>
      </c>
      <c r="K1379" s="3" t="s">
        <v>64</v>
      </c>
    </row>
    <row r="1380" spans="1:11" ht="42" customHeight="1">
      <c r="A1380" s="2" t="s">
        <v>3424</v>
      </c>
      <c r="B1380" s="2" t="s">
        <v>3425</v>
      </c>
      <c r="C1380" s="2" t="s">
        <v>38</v>
      </c>
      <c r="D1380" s="2" t="s">
        <v>39</v>
      </c>
      <c r="E1380" s="5">
        <v>-31357</v>
      </c>
      <c r="F1380" s="3" t="s">
        <v>1460</v>
      </c>
      <c r="G1380" s="3" t="s">
        <v>107</v>
      </c>
      <c r="H1380" s="2" t="s">
        <v>62</v>
      </c>
      <c r="I1380" s="2" t="s">
        <v>3426</v>
      </c>
      <c r="J1380" s="3" t="str">
        <f>HYPERLINK("https://www.boe.es/gazeta/dias/1814/02/22/pdfs/GRE-1814-25.pdf#page=1","Abrir facsímil")</f>
        <v>Abrir facsímil</v>
      </c>
      <c r="K1380" s="3" t="s">
        <v>64</v>
      </c>
    </row>
    <row r="1381" spans="1:11" ht="42" customHeight="1">
      <c r="A1381" s="2" t="s">
        <v>3427</v>
      </c>
      <c r="B1381" s="2" t="s">
        <v>3428</v>
      </c>
      <c r="C1381" s="2" t="s">
        <v>38</v>
      </c>
      <c r="D1381" s="2" t="s">
        <v>39</v>
      </c>
      <c r="E1381" s="5">
        <v>-31080</v>
      </c>
      <c r="F1381" s="3" t="s">
        <v>286</v>
      </c>
      <c r="G1381" s="3" t="s">
        <v>677</v>
      </c>
      <c r="H1381" s="2" t="s">
        <v>62</v>
      </c>
      <c r="I1381" s="2" t="s">
        <v>3429</v>
      </c>
      <c r="J1381" s="3" t="str">
        <f>HYPERLINK("https://www.boe.es/gazeta/dias/1814/11/26/pdfs/GMD-1814-157.pdf#page=7","Abrir facsímil")</f>
        <v>Abrir facsímil</v>
      </c>
      <c r="K1381" s="3" t="s">
        <v>64</v>
      </c>
    </row>
    <row r="1382" spans="1:11" ht="42" customHeight="1">
      <c r="A1382" s="2" t="s">
        <v>3430</v>
      </c>
      <c r="B1382" s="2" t="s">
        <v>3431</v>
      </c>
      <c r="C1382" s="2" t="s">
        <v>38</v>
      </c>
      <c r="D1382" s="2" t="s">
        <v>39</v>
      </c>
      <c r="E1382" s="5">
        <v>-31367</v>
      </c>
      <c r="F1382" s="3" t="s">
        <v>857</v>
      </c>
      <c r="G1382" s="3" t="s">
        <v>41</v>
      </c>
      <c r="H1382" s="2" t="s">
        <v>62</v>
      </c>
      <c r="I1382" s="2" t="s">
        <v>3432</v>
      </c>
      <c r="J1382" s="3" t="str">
        <f>HYPERLINK("https://www.boe.es/gazeta/dias/1814/02/12/pdfs/GRE-1814-20.pdf#page=4","Abrir facsímil")</f>
        <v>Abrir facsímil</v>
      </c>
      <c r="K1382" s="3" t="s">
        <v>64</v>
      </c>
    </row>
    <row r="1383" spans="1:11" ht="42" customHeight="1">
      <c r="A1383" s="2" t="s">
        <v>3433</v>
      </c>
      <c r="B1383" s="2" t="s">
        <v>3434</v>
      </c>
      <c r="C1383" s="2" t="s">
        <v>38</v>
      </c>
      <c r="D1383" s="2" t="s">
        <v>39</v>
      </c>
      <c r="E1383" s="5">
        <v>-31371</v>
      </c>
      <c r="F1383" s="3" t="s">
        <v>1017</v>
      </c>
      <c r="G1383" s="3" t="s">
        <v>87</v>
      </c>
      <c r="H1383" s="2" t="s">
        <v>62</v>
      </c>
      <c r="I1383" s="2" t="s">
        <v>3435</v>
      </c>
      <c r="J1383" s="3" t="str">
        <f>HYPERLINK("https://www.boe.es/gazeta/dias/1814/02/08/pdfs/GRE-1814-18.pdf#page=2","Abrir facsímil")</f>
        <v>Abrir facsímil</v>
      </c>
      <c r="K1383" s="3" t="s">
        <v>64</v>
      </c>
    </row>
    <row r="1384" spans="1:11" ht="42" customHeight="1">
      <c r="A1384" s="2" t="s">
        <v>3436</v>
      </c>
      <c r="B1384" s="2" t="s">
        <v>3437</v>
      </c>
      <c r="C1384" s="2" t="s">
        <v>17</v>
      </c>
      <c r="D1384" s="2" t="s">
        <v>18</v>
      </c>
      <c r="E1384" s="5">
        <v>-31241</v>
      </c>
      <c r="F1384" s="3" t="s">
        <v>703</v>
      </c>
      <c r="G1384" s="3" t="s">
        <v>137</v>
      </c>
      <c r="H1384" s="2" t="s">
        <v>62</v>
      </c>
      <c r="I1384" s="2" t="s">
        <v>3438</v>
      </c>
      <c r="J1384" s="3" t="str">
        <f>HYPERLINK("https://www.boe.es/gazeta/dias/1814/06/18/pdfs/GMD-1814-87.pdf#page=9","Abrir facsímil")</f>
        <v>Abrir facsímil</v>
      </c>
      <c r="K1384" s="3" t="s">
        <v>64</v>
      </c>
    </row>
    <row r="1385" spans="1:11" ht="42" customHeight="1">
      <c r="A1385" s="2" t="s">
        <v>3436</v>
      </c>
      <c r="B1385" s="2" t="s">
        <v>3437</v>
      </c>
      <c r="C1385" s="2" t="s">
        <v>38</v>
      </c>
      <c r="D1385" s="2" t="s">
        <v>39</v>
      </c>
      <c r="E1385" s="5">
        <v>-31220</v>
      </c>
      <c r="F1385" s="3" t="s">
        <v>122</v>
      </c>
      <c r="G1385" s="3" t="s">
        <v>57</v>
      </c>
      <c r="H1385" s="2" t="s">
        <v>62</v>
      </c>
      <c r="I1385" s="2" t="s">
        <v>3439</v>
      </c>
      <c r="J1385" s="3" t="str">
        <f>HYPERLINK("https://www.boe.es/gazeta/dias/1814/07/09/pdfs/GMD-1814-96.pdf#page=6","Abrir facsímil")</f>
        <v>Abrir facsímil</v>
      </c>
      <c r="K1385" s="3" t="s">
        <v>64</v>
      </c>
    </row>
    <row r="1386" spans="1:11" ht="42" customHeight="1">
      <c r="A1386" s="2" t="s">
        <v>3440</v>
      </c>
      <c r="B1386" s="2" t="s">
        <v>3441</v>
      </c>
      <c r="C1386" s="2" t="s">
        <v>38</v>
      </c>
      <c r="D1386" s="2" t="s">
        <v>314</v>
      </c>
      <c r="E1386" s="5">
        <v>-31296</v>
      </c>
      <c r="F1386" s="3" t="s">
        <v>315</v>
      </c>
      <c r="G1386" s="3" t="s">
        <v>52</v>
      </c>
      <c r="H1386" s="2" t="s">
        <v>62</v>
      </c>
      <c r="I1386" s="2" t="s">
        <v>3442</v>
      </c>
      <c r="J1386" s="3" t="str">
        <f>HYPERLINK("https://www.boe.es/gazeta/dias/1814/04/24/pdfs/GRE-1814-60E.pdf#page=8","Abrir facsímil")</f>
        <v>Abrir facsímil</v>
      </c>
      <c r="K1386" s="3" t="s">
        <v>64</v>
      </c>
    </row>
    <row r="1387" spans="1:11" ht="42" customHeight="1">
      <c r="A1387" s="2" t="s">
        <v>3443</v>
      </c>
      <c r="B1387" s="2" t="s">
        <v>3443</v>
      </c>
      <c r="C1387" s="2" t="s">
        <v>38</v>
      </c>
      <c r="D1387" s="2" t="s">
        <v>39</v>
      </c>
      <c r="E1387" s="5">
        <v>-31346</v>
      </c>
      <c r="F1387" s="3" t="s">
        <v>78</v>
      </c>
      <c r="G1387" s="3" t="s">
        <v>521</v>
      </c>
      <c r="H1387" s="2" t="s">
        <v>62</v>
      </c>
      <c r="I1387" s="2" t="s">
        <v>3444</v>
      </c>
      <c r="J1387" s="3" t="str">
        <f>HYPERLINK("https://www.boe.es/gazeta/dias/1814/03/05/pdfs/GRE-1814-30.pdf#page=3","Abrir facsímil")</f>
        <v>Abrir facsímil</v>
      </c>
      <c r="K1387" s="3" t="s">
        <v>64</v>
      </c>
    </row>
    <row r="1388" spans="1:11" ht="42" customHeight="1">
      <c r="A1388" s="2" t="s">
        <v>3445</v>
      </c>
      <c r="B1388" s="2" t="s">
        <v>3446</v>
      </c>
      <c r="C1388" s="2" t="s">
        <v>26</v>
      </c>
      <c r="D1388" s="2" t="s">
        <v>27</v>
      </c>
      <c r="E1388" s="5">
        <v>-31262</v>
      </c>
      <c r="F1388" s="3" t="s">
        <v>254</v>
      </c>
      <c r="G1388" s="3" t="s">
        <v>99</v>
      </c>
      <c r="H1388" s="2" t="s">
        <v>21</v>
      </c>
      <c r="I1388" s="2" t="s">
        <v>3447</v>
      </c>
      <c r="J1388" s="3" t="str">
        <f>HYPERLINK("https://www.boe.es/gazeta/dias/1814/05/28/pdfs/GMD-1814-78.pdf#page=5","Abrir facsímil")</f>
        <v>Abrir facsímil</v>
      </c>
      <c r="K1388" s="3" t="s">
        <v>23</v>
      </c>
    </row>
    <row r="1389" spans="1:11" ht="42" customHeight="1">
      <c r="A1389" s="2" t="s">
        <v>3448</v>
      </c>
      <c r="B1389" s="2" t="s">
        <v>3449</v>
      </c>
      <c r="C1389" s="2" t="s">
        <v>26</v>
      </c>
      <c r="D1389" s="2" t="s">
        <v>27</v>
      </c>
      <c r="E1389" s="5">
        <v>-31250</v>
      </c>
      <c r="F1389" s="3" t="s">
        <v>177</v>
      </c>
      <c r="G1389" s="3" t="s">
        <v>52</v>
      </c>
      <c r="H1389" s="2" t="s">
        <v>62</v>
      </c>
      <c r="I1389" s="2" t="s">
        <v>3450</v>
      </c>
      <c r="J1389" s="3" t="str">
        <f>HYPERLINK("https://www.boe.es/gazeta/dias/1814/06/09/pdfs/GMD-1814-83.pdf#page=8","Abrir facsímil")</f>
        <v>Abrir facsímil</v>
      </c>
      <c r="K1389" s="3" t="s">
        <v>64</v>
      </c>
    </row>
    <row r="1390" spans="1:11" ht="42" customHeight="1">
      <c r="A1390" s="2" t="s">
        <v>3451</v>
      </c>
      <c r="B1390" s="2" t="s">
        <v>3452</v>
      </c>
      <c r="C1390" s="2" t="s">
        <v>38</v>
      </c>
      <c r="D1390" s="2" t="s">
        <v>39</v>
      </c>
      <c r="E1390" s="5">
        <v>-31236</v>
      </c>
      <c r="F1390" s="3" t="s">
        <v>33</v>
      </c>
      <c r="G1390" s="3" t="s">
        <v>3453</v>
      </c>
      <c r="H1390" s="2" t="s">
        <v>62</v>
      </c>
      <c r="I1390" s="2" t="s">
        <v>3454</v>
      </c>
      <c r="J1390" s="3" t="str">
        <f>HYPERLINK("https://www.boe.es/gazeta/dias/1814/06/23/pdfs/GMD-1814-89.pdf#page=5","Abrir facsímil")</f>
        <v>Abrir facsímil</v>
      </c>
      <c r="K1390" s="3" t="s">
        <v>64</v>
      </c>
    </row>
    <row r="1391" spans="1:11" ht="42" customHeight="1">
      <c r="A1391" s="2" t="s">
        <v>3451</v>
      </c>
      <c r="B1391" s="2" t="s">
        <v>3452</v>
      </c>
      <c r="C1391" s="2" t="s">
        <v>26</v>
      </c>
      <c r="D1391" s="2" t="s">
        <v>27</v>
      </c>
      <c r="E1391" s="5">
        <v>-31208</v>
      </c>
      <c r="F1391" s="3" t="s">
        <v>509</v>
      </c>
      <c r="G1391" s="3" t="s">
        <v>3455</v>
      </c>
      <c r="H1391" s="2" t="s">
        <v>62</v>
      </c>
      <c r="I1391" s="2" t="s">
        <v>3456</v>
      </c>
      <c r="J1391" s="3" t="str">
        <f>HYPERLINK("https://www.boe.es/gazeta/dias/1814/07/21/pdfs/GMD-1814-101.pdf#page=8","Abrir facsímil")</f>
        <v>Abrir facsímil</v>
      </c>
      <c r="K1391" s="3" t="s">
        <v>64</v>
      </c>
    </row>
    <row r="1392" spans="1:11" ht="42" customHeight="1">
      <c r="A1392" s="2" t="s">
        <v>3457</v>
      </c>
      <c r="B1392" s="2" t="s">
        <v>3458</v>
      </c>
      <c r="C1392" s="2" t="s">
        <v>26</v>
      </c>
      <c r="D1392" s="2" t="s">
        <v>27</v>
      </c>
      <c r="E1392" s="5">
        <v>-31217</v>
      </c>
      <c r="F1392" s="3" t="s">
        <v>506</v>
      </c>
      <c r="G1392" s="3" t="s">
        <v>704</v>
      </c>
      <c r="H1392" s="2" t="s">
        <v>62</v>
      </c>
      <c r="I1392" s="2" t="s">
        <v>3459</v>
      </c>
      <c r="J1392" s="3" t="str">
        <f>HYPERLINK("https://www.boe.es/gazeta/dias/1814/07/12/pdfs/GMD-1814-97.pdf#page=10","Abrir facsímil")</f>
        <v>Abrir facsímil</v>
      </c>
      <c r="K1392" s="3" t="s">
        <v>64</v>
      </c>
    </row>
    <row r="1393" spans="1:11" ht="42" customHeight="1">
      <c r="A1393" s="2" t="s">
        <v>3460</v>
      </c>
      <c r="B1393" s="2" t="s">
        <v>3461</v>
      </c>
      <c r="C1393" s="2" t="s">
        <v>38</v>
      </c>
      <c r="D1393" s="2" t="s">
        <v>39</v>
      </c>
      <c r="E1393" s="5">
        <v>-31213</v>
      </c>
      <c r="F1393" s="3" t="s">
        <v>276</v>
      </c>
      <c r="G1393" s="3" t="s">
        <v>41</v>
      </c>
      <c r="H1393" s="2" t="s">
        <v>62</v>
      </c>
      <c r="I1393" s="2" t="s">
        <v>3462</v>
      </c>
      <c r="J1393" s="3" t="str">
        <f>HYPERLINK("https://www.boe.es/gazeta/dias/1814/07/16/pdfs/GMD-1814-99.pdf#page=4","Abrir facsímil")</f>
        <v>Abrir facsímil</v>
      </c>
      <c r="K1393" s="3" t="s">
        <v>64</v>
      </c>
    </row>
    <row r="1394" spans="1:11" ht="42" customHeight="1">
      <c r="A1394" s="2" t="s">
        <v>3463</v>
      </c>
      <c r="B1394" s="2" t="s">
        <v>3463</v>
      </c>
      <c r="C1394" s="2" t="s">
        <v>38</v>
      </c>
      <c r="D1394" s="2" t="s">
        <v>314</v>
      </c>
      <c r="E1394" s="5">
        <v>-31305</v>
      </c>
      <c r="F1394" s="3" t="s">
        <v>3464</v>
      </c>
      <c r="G1394" s="3" t="s">
        <v>107</v>
      </c>
      <c r="H1394" s="2" t="s">
        <v>62</v>
      </c>
      <c r="I1394" s="2" t="s">
        <v>3465</v>
      </c>
      <c r="J1394" s="3" t="str">
        <f>HYPERLINK("https://www.boe.es/gazeta/dias/1814/04/15/pdfs/GRE-1814-54E.pdf#page=1","Abrir facsímil")</f>
        <v>Abrir facsímil</v>
      </c>
      <c r="K1394" s="3" t="s">
        <v>64</v>
      </c>
    </row>
    <row r="1395" spans="1:11" ht="42" customHeight="1">
      <c r="A1395" s="2" t="s">
        <v>3466</v>
      </c>
      <c r="B1395" s="2" t="s">
        <v>3467</v>
      </c>
      <c r="C1395" s="2" t="s">
        <v>45</v>
      </c>
      <c r="D1395" s="2" t="s">
        <v>18</v>
      </c>
      <c r="E1395" s="5">
        <v>-31131</v>
      </c>
      <c r="F1395" s="3" t="s">
        <v>132</v>
      </c>
      <c r="G1395" s="3" t="s">
        <v>20</v>
      </c>
      <c r="H1395" s="2" t="s">
        <v>62</v>
      </c>
      <c r="I1395" s="2" t="s">
        <v>3468</v>
      </c>
      <c r="J1395" s="3" t="str">
        <f>HYPERLINK("https://www.boe.es/gazeta/dias/1814/10/06/pdfs/GMD-1814-135.pdf#page=7","Abrir facsímil")</f>
        <v>Abrir facsímil</v>
      </c>
      <c r="K1395" s="3" t="s">
        <v>64</v>
      </c>
    </row>
    <row r="1396" spans="1:11" ht="42" customHeight="1">
      <c r="A1396" s="2" t="s">
        <v>3469</v>
      </c>
      <c r="B1396" s="2" t="s">
        <v>3470</v>
      </c>
      <c r="C1396" s="2" t="s">
        <v>26</v>
      </c>
      <c r="D1396" s="2" t="s">
        <v>27</v>
      </c>
      <c r="E1396" s="5">
        <v>-31103</v>
      </c>
      <c r="F1396" s="3" t="s">
        <v>1260</v>
      </c>
      <c r="G1396" s="3" t="s">
        <v>20</v>
      </c>
      <c r="H1396" s="2" t="s">
        <v>62</v>
      </c>
      <c r="I1396" s="2" t="s">
        <v>3471</v>
      </c>
      <c r="J1396" s="3" t="str">
        <f>HYPERLINK("https://www.boe.es/gazeta/dias/1814/11/03/pdfs/GMD-1814-147.pdf#page=7","Abrir facsímil")</f>
        <v>Abrir facsímil</v>
      </c>
      <c r="K1396" s="3" t="s">
        <v>64</v>
      </c>
    </row>
    <row r="1397" spans="1:11" ht="42" customHeight="1">
      <c r="A1397" s="2" t="s">
        <v>3472</v>
      </c>
      <c r="B1397" s="2" t="s">
        <v>3472</v>
      </c>
      <c r="C1397" s="2" t="s">
        <v>38</v>
      </c>
      <c r="D1397" s="2" t="s">
        <v>39</v>
      </c>
      <c r="E1397" s="5">
        <v>-31108</v>
      </c>
      <c r="F1397" s="3" t="s">
        <v>528</v>
      </c>
      <c r="G1397" s="3" t="s">
        <v>529</v>
      </c>
      <c r="H1397" s="2" t="s">
        <v>62</v>
      </c>
      <c r="I1397" s="2" t="s">
        <v>3473</v>
      </c>
      <c r="J1397" s="3" t="str">
        <f>HYPERLINK("https://www.boe.es/gazeta/dias/1814/10/29/pdfs/GMD-1814-145.pdf#page=2","Abrir facsímil")</f>
        <v>Abrir facsímil</v>
      </c>
      <c r="K1397" s="3" t="s">
        <v>64</v>
      </c>
    </row>
    <row r="1398" spans="1:11" ht="42" customHeight="1">
      <c r="A1398" s="2" t="s">
        <v>3474</v>
      </c>
      <c r="B1398" s="2" t="s">
        <v>3474</v>
      </c>
      <c r="C1398" s="2" t="s">
        <v>38</v>
      </c>
      <c r="D1398" s="2" t="s">
        <v>39</v>
      </c>
      <c r="E1398" s="5">
        <v>-31332</v>
      </c>
      <c r="F1398" s="3" t="s">
        <v>343</v>
      </c>
      <c r="G1398" s="3" t="s">
        <v>87</v>
      </c>
      <c r="H1398" s="2" t="s">
        <v>62</v>
      </c>
      <c r="I1398" s="2" t="s">
        <v>3475</v>
      </c>
      <c r="J1398" s="3" t="str">
        <f>HYPERLINK("https://www.boe.es/gazeta/dias/1814/03/19/pdfs/GRE-1814-38.pdf#page=2","Abrir facsímil")</f>
        <v>Abrir facsímil</v>
      </c>
      <c r="K1398" s="3" t="s">
        <v>64</v>
      </c>
    </row>
    <row r="1399" spans="1:11" ht="42" customHeight="1">
      <c r="A1399" s="2" t="s">
        <v>3474</v>
      </c>
      <c r="B1399" s="2" t="s">
        <v>3474</v>
      </c>
      <c r="C1399" s="2" t="s">
        <v>26</v>
      </c>
      <c r="D1399" s="2" t="s">
        <v>27</v>
      </c>
      <c r="E1399" s="5">
        <v>-31136</v>
      </c>
      <c r="F1399" s="3" t="s">
        <v>956</v>
      </c>
      <c r="G1399" s="3" t="s">
        <v>87</v>
      </c>
      <c r="H1399" s="2" t="s">
        <v>62</v>
      </c>
      <c r="I1399" s="2" t="s">
        <v>3476</v>
      </c>
      <c r="J1399" s="3" t="str">
        <f>HYPERLINK("https://www.boe.es/gazeta/dias/1814/10/01/pdfs/GMD-1814-133.pdf#page=2","Abrir facsímil")</f>
        <v>Abrir facsímil</v>
      </c>
      <c r="K1399" s="3" t="s">
        <v>64</v>
      </c>
    </row>
    <row r="1400" spans="1:11" ht="42" customHeight="1">
      <c r="A1400" s="2" t="s">
        <v>3477</v>
      </c>
      <c r="B1400" s="2" t="s">
        <v>3478</v>
      </c>
      <c r="C1400" s="2" t="s">
        <v>26</v>
      </c>
      <c r="D1400" s="2" t="s">
        <v>27</v>
      </c>
      <c r="E1400" s="5">
        <v>-31217</v>
      </c>
      <c r="F1400" s="3" t="s">
        <v>506</v>
      </c>
      <c r="G1400" s="3" t="s">
        <v>704</v>
      </c>
      <c r="H1400" s="2" t="s">
        <v>62</v>
      </c>
      <c r="I1400" s="2" t="s">
        <v>3479</v>
      </c>
      <c r="J1400" s="3" t="str">
        <f>HYPERLINK("https://www.boe.es/gazeta/dias/1814/07/12/pdfs/GMD-1814-97.pdf#page=10","Abrir facsímil")</f>
        <v>Abrir facsímil</v>
      </c>
      <c r="K1400" s="3" t="s">
        <v>64</v>
      </c>
    </row>
    <row r="1401" spans="1:11" ht="42" customHeight="1">
      <c r="A1401" s="2" t="s">
        <v>3480</v>
      </c>
      <c r="B1401" s="2" t="s">
        <v>3480</v>
      </c>
      <c r="C1401" s="2" t="s">
        <v>17</v>
      </c>
      <c r="D1401" s="2" t="s">
        <v>18</v>
      </c>
      <c r="E1401" s="5">
        <v>-31290</v>
      </c>
      <c r="F1401" s="3" t="s">
        <v>488</v>
      </c>
      <c r="G1401" s="3" t="s">
        <v>87</v>
      </c>
      <c r="H1401" s="2" t="s">
        <v>62</v>
      </c>
      <c r="I1401" s="2" t="s">
        <v>3481</v>
      </c>
      <c r="J1401" s="3" t="str">
        <f>HYPERLINK("https://www.boe.es/gazeta/dias/1814/04/30/pdfs/GRE-1814-64.pdf#page=2","Abrir facsímil")</f>
        <v>Abrir facsímil</v>
      </c>
      <c r="K1401" s="3" t="s">
        <v>64</v>
      </c>
    </row>
    <row r="1402" spans="1:11" ht="42" customHeight="1">
      <c r="A1402" s="2" t="s">
        <v>3480</v>
      </c>
      <c r="B1402" s="2" t="s">
        <v>3480</v>
      </c>
      <c r="C1402" s="2" t="s">
        <v>38</v>
      </c>
      <c r="D1402" s="2" t="s">
        <v>39</v>
      </c>
      <c r="E1402" s="5">
        <v>-31287</v>
      </c>
      <c r="F1402" s="3" t="s">
        <v>491</v>
      </c>
      <c r="G1402" s="3" t="s">
        <v>99</v>
      </c>
      <c r="H1402" s="2" t="s">
        <v>62</v>
      </c>
      <c r="I1402" s="2" t="s">
        <v>3482</v>
      </c>
      <c r="J1402" s="3" t="str">
        <f>HYPERLINK("https://www.boe.es/gazeta/dias/1814/05/03/pdfs/GRE-1814-65.pdf#page=5","Abrir facsímil")</f>
        <v>Abrir facsímil</v>
      </c>
      <c r="K1402" s="3" t="s">
        <v>64</v>
      </c>
    </row>
    <row r="1403" spans="1:11" ht="42" customHeight="1">
      <c r="A1403" s="2" t="s">
        <v>3480</v>
      </c>
      <c r="B1403" s="2" t="s">
        <v>3480</v>
      </c>
      <c r="C1403" s="2" t="s">
        <v>38</v>
      </c>
      <c r="D1403" s="2" t="s">
        <v>39</v>
      </c>
      <c r="E1403" s="5">
        <v>-31283</v>
      </c>
      <c r="F1403" s="3" t="s">
        <v>701</v>
      </c>
      <c r="G1403" s="3" t="s">
        <v>82</v>
      </c>
      <c r="H1403" s="2" t="s">
        <v>62</v>
      </c>
      <c r="I1403" s="2" t="s">
        <v>3483</v>
      </c>
      <c r="J1403" s="3" t="str">
        <f>HYPERLINK("https://www.boe.es/gazeta/dias/1814/05/07/pdfs/GRE-1814-67.pdf#page=3","Abrir facsímil")</f>
        <v>Abrir facsímil</v>
      </c>
      <c r="K1403" s="3" t="s">
        <v>64</v>
      </c>
    </row>
    <row r="1404" spans="1:11" ht="42" customHeight="1">
      <c r="A1404" s="2" t="s">
        <v>3480</v>
      </c>
      <c r="B1404" s="2" t="s">
        <v>3480</v>
      </c>
      <c r="C1404" s="2" t="s">
        <v>38</v>
      </c>
      <c r="D1404" s="2" t="s">
        <v>39</v>
      </c>
      <c r="E1404" s="5">
        <v>-31243</v>
      </c>
      <c r="F1404" s="3" t="s">
        <v>500</v>
      </c>
      <c r="G1404" s="3" t="s">
        <v>107</v>
      </c>
      <c r="H1404" s="2" t="s">
        <v>62</v>
      </c>
      <c r="I1404" s="2" t="s">
        <v>3484</v>
      </c>
      <c r="J1404" s="3" t="str">
        <f>HYPERLINK("https://www.boe.es/gazeta/dias/1814/06/16/pdfs/GMD-1814-86.pdf#page=1","Abrir facsímil")</f>
        <v>Abrir facsímil</v>
      </c>
      <c r="K1404" s="3" t="s">
        <v>64</v>
      </c>
    </row>
    <row r="1405" spans="1:11" ht="42" customHeight="1">
      <c r="A1405" s="2" t="s">
        <v>3480</v>
      </c>
      <c r="B1405" s="2" t="s">
        <v>3480</v>
      </c>
      <c r="C1405" s="2" t="s">
        <v>26</v>
      </c>
      <c r="D1405" s="2" t="s">
        <v>27</v>
      </c>
      <c r="E1405" s="5">
        <v>-31222</v>
      </c>
      <c r="F1405" s="3" t="s">
        <v>153</v>
      </c>
      <c r="G1405" s="3" t="s">
        <v>82</v>
      </c>
      <c r="H1405" s="2" t="s">
        <v>62</v>
      </c>
      <c r="I1405" s="2" t="s">
        <v>3485</v>
      </c>
      <c r="J1405" s="3" t="str">
        <f>HYPERLINK("https://www.boe.es/gazeta/dias/1814/07/07/pdfs/GMD-1814-95.pdf#page=3","Abrir facsímil")</f>
        <v>Abrir facsímil</v>
      </c>
      <c r="K1405" s="3" t="s">
        <v>64</v>
      </c>
    </row>
    <row r="1406" spans="1:11" ht="42" customHeight="1">
      <c r="A1406" s="2" t="s">
        <v>3480</v>
      </c>
      <c r="B1406" s="2" t="s">
        <v>3480</v>
      </c>
      <c r="C1406" s="2" t="s">
        <v>17</v>
      </c>
      <c r="D1406" s="2" t="s">
        <v>18</v>
      </c>
      <c r="E1406" s="5">
        <v>-31199</v>
      </c>
      <c r="F1406" s="3" t="s">
        <v>453</v>
      </c>
      <c r="G1406" s="3" t="s">
        <v>107</v>
      </c>
      <c r="H1406" s="2" t="s">
        <v>62</v>
      </c>
      <c r="I1406" s="2" t="s">
        <v>3486</v>
      </c>
      <c r="J1406" s="3" t="str">
        <f>HYPERLINK("https://www.boe.es/gazeta/dias/1814/07/30/pdfs/GMD-1814-105.pdf#page=1","Abrir facsímil")</f>
        <v>Abrir facsímil</v>
      </c>
      <c r="K1406" s="3" t="s">
        <v>64</v>
      </c>
    </row>
    <row r="1407" spans="1:11" ht="42" customHeight="1">
      <c r="A1407" s="2" t="s">
        <v>3480</v>
      </c>
      <c r="B1407" s="2" t="s">
        <v>3480</v>
      </c>
      <c r="C1407" s="2" t="s">
        <v>144</v>
      </c>
      <c r="D1407" s="2" t="s">
        <v>18</v>
      </c>
      <c r="E1407" s="5">
        <v>-31143</v>
      </c>
      <c r="F1407" s="3" t="s">
        <v>787</v>
      </c>
      <c r="G1407" s="3" t="s">
        <v>107</v>
      </c>
      <c r="H1407" s="2" t="s">
        <v>62</v>
      </c>
      <c r="I1407" s="2" t="s">
        <v>3487</v>
      </c>
      <c r="J1407" s="3" t="str">
        <f>HYPERLINK("https://www.boe.es/gazeta/dias/1814/09/24/pdfs/GMD-1814-130.pdf#page=1","Abrir facsímil")</f>
        <v>Abrir facsímil</v>
      </c>
      <c r="K1407" s="3" t="s">
        <v>64</v>
      </c>
    </row>
    <row r="1408" spans="1:11" ht="42" customHeight="1">
      <c r="A1408" s="2" t="s">
        <v>3480</v>
      </c>
      <c r="B1408" s="2" t="s">
        <v>3480</v>
      </c>
      <c r="C1408" s="2" t="s">
        <v>26</v>
      </c>
      <c r="D1408" s="2" t="s">
        <v>27</v>
      </c>
      <c r="E1408" s="5">
        <v>-31140</v>
      </c>
      <c r="F1408" s="3" t="s">
        <v>525</v>
      </c>
      <c r="G1408" s="3" t="s">
        <v>87</v>
      </c>
      <c r="H1408" s="2" t="s">
        <v>62</v>
      </c>
      <c r="I1408" s="2" t="s">
        <v>3488</v>
      </c>
      <c r="J1408" s="3" t="str">
        <f>HYPERLINK("https://www.boe.es/gazeta/dias/1814/09/27/pdfs/GMD-1814-131.pdf#page=2","Abrir facsímil")</f>
        <v>Abrir facsímil</v>
      </c>
      <c r="K1408" s="3" t="s">
        <v>64</v>
      </c>
    </row>
    <row r="1409" spans="1:11" ht="42" customHeight="1">
      <c r="A1409" s="2" t="s">
        <v>3480</v>
      </c>
      <c r="B1409" s="2" t="s">
        <v>3480</v>
      </c>
      <c r="C1409" s="2" t="s">
        <v>38</v>
      </c>
      <c r="D1409" s="2" t="s">
        <v>39</v>
      </c>
      <c r="E1409" s="5">
        <v>-31117</v>
      </c>
      <c r="F1409" s="3" t="s">
        <v>172</v>
      </c>
      <c r="G1409" s="3" t="s">
        <v>87</v>
      </c>
      <c r="H1409" s="2" t="s">
        <v>62</v>
      </c>
      <c r="I1409" s="2" t="s">
        <v>3489</v>
      </c>
      <c r="J1409" s="3" t="str">
        <f>HYPERLINK("https://www.boe.es/gazeta/dias/1814/10/20/pdfs/GMD-1814-141.pdf#page=2","Abrir facsímil")</f>
        <v>Abrir facsímil</v>
      </c>
      <c r="K1409" s="3" t="s">
        <v>64</v>
      </c>
    </row>
    <row r="1410" spans="1:11" ht="42" customHeight="1">
      <c r="A1410" s="2" t="s">
        <v>3480</v>
      </c>
      <c r="B1410" s="2" t="s">
        <v>3480</v>
      </c>
      <c r="C1410" s="2" t="s">
        <v>26</v>
      </c>
      <c r="D1410" s="2" t="s">
        <v>27</v>
      </c>
      <c r="E1410" s="5">
        <v>-31103</v>
      </c>
      <c r="F1410" s="3" t="s">
        <v>1260</v>
      </c>
      <c r="G1410" s="3" t="s">
        <v>82</v>
      </c>
      <c r="H1410" s="2" t="s">
        <v>62</v>
      </c>
      <c r="I1410" s="2" t="s">
        <v>3490</v>
      </c>
      <c r="J1410" s="3" t="str">
        <f>HYPERLINK("https://www.boe.es/gazeta/dias/1814/11/03/pdfs/GMD-1814-147.pdf#page=3","Abrir facsímil")</f>
        <v>Abrir facsímil</v>
      </c>
      <c r="K1410" s="3" t="s">
        <v>64</v>
      </c>
    </row>
    <row r="1411" spans="1:11" ht="42" customHeight="1">
      <c r="A1411" s="2" t="s">
        <v>3480</v>
      </c>
      <c r="B1411" s="2" t="s">
        <v>3480</v>
      </c>
      <c r="C1411" s="2" t="s">
        <v>105</v>
      </c>
      <c r="D1411" s="2" t="s">
        <v>18</v>
      </c>
      <c r="E1411" s="5">
        <v>-31094</v>
      </c>
      <c r="F1411" s="3" t="s">
        <v>761</v>
      </c>
      <c r="G1411" s="3" t="s">
        <v>82</v>
      </c>
      <c r="H1411" s="2" t="s">
        <v>62</v>
      </c>
      <c r="I1411" s="2" t="s">
        <v>3491</v>
      </c>
      <c r="J1411" s="3" t="str">
        <f>HYPERLINK("https://www.boe.es/gazeta/dias/1814/11/12/pdfs/GMD-1814-151.pdf#page=3","Abrir facsímil")</f>
        <v>Abrir facsímil</v>
      </c>
      <c r="K1411" s="3" t="s">
        <v>64</v>
      </c>
    </row>
    <row r="1412" spans="1:11" ht="42" customHeight="1">
      <c r="A1412" s="2" t="s">
        <v>3480</v>
      </c>
      <c r="B1412" s="2" t="s">
        <v>3480</v>
      </c>
      <c r="C1412" s="2" t="s">
        <v>38</v>
      </c>
      <c r="D1412" s="2" t="s">
        <v>39</v>
      </c>
      <c r="E1412" s="5">
        <v>-31091</v>
      </c>
      <c r="F1412" s="3" t="s">
        <v>1156</v>
      </c>
      <c r="G1412" s="3" t="s">
        <v>82</v>
      </c>
      <c r="H1412" s="2" t="s">
        <v>62</v>
      </c>
      <c r="I1412" s="2" t="s">
        <v>3492</v>
      </c>
      <c r="J1412" s="3" t="str">
        <f>HYPERLINK("https://www.boe.es/gazeta/dias/1814/11/15/pdfs/GMD-1814-152.pdf#page=3","Abrir facsímil")</f>
        <v>Abrir facsímil</v>
      </c>
      <c r="K1412" s="3" t="s">
        <v>64</v>
      </c>
    </row>
    <row r="1413" spans="1:11" ht="42" customHeight="1">
      <c r="A1413" s="2" t="s">
        <v>3480</v>
      </c>
      <c r="B1413" s="2" t="s">
        <v>3480</v>
      </c>
      <c r="C1413" s="2" t="s">
        <v>38</v>
      </c>
      <c r="D1413" s="2" t="s">
        <v>39</v>
      </c>
      <c r="E1413" s="5">
        <v>-31084</v>
      </c>
      <c r="F1413" s="3" t="s">
        <v>282</v>
      </c>
      <c r="G1413" s="3" t="s">
        <v>107</v>
      </c>
      <c r="H1413" s="2" t="s">
        <v>62</v>
      </c>
      <c r="I1413" s="2" t="s">
        <v>3493</v>
      </c>
      <c r="J1413" s="3" t="str">
        <f>HYPERLINK("https://www.boe.es/gazeta/dias/1814/11/22/pdfs/GMD-1814-155.pdf#page=1","Abrir facsímil")</f>
        <v>Abrir facsímil</v>
      </c>
      <c r="K1413" s="3" t="s">
        <v>64</v>
      </c>
    </row>
    <row r="1414" spans="1:11" ht="42" customHeight="1">
      <c r="A1414" s="2" t="s">
        <v>3480</v>
      </c>
      <c r="B1414" s="2" t="s">
        <v>3480</v>
      </c>
      <c r="C1414" s="2" t="s">
        <v>38</v>
      </c>
      <c r="D1414" s="2" t="s">
        <v>39</v>
      </c>
      <c r="E1414" s="5">
        <v>-31049</v>
      </c>
      <c r="F1414" s="3" t="s">
        <v>542</v>
      </c>
      <c r="G1414" s="3" t="s">
        <v>87</v>
      </c>
      <c r="H1414" s="2" t="s">
        <v>62</v>
      </c>
      <c r="I1414" s="2" t="s">
        <v>3494</v>
      </c>
      <c r="J1414" s="3" t="str">
        <f>HYPERLINK("https://www.boe.es/gazeta/dias/1814/12/27/pdfs/GMD-1814-171.pdf#page=2","Abrir facsímil")</f>
        <v>Abrir facsímil</v>
      </c>
      <c r="K1414" s="3" t="s">
        <v>64</v>
      </c>
    </row>
    <row r="1415" spans="1:11" ht="42" customHeight="1">
      <c r="A1415" s="2" t="s">
        <v>3495</v>
      </c>
      <c r="B1415" s="2" t="s">
        <v>3496</v>
      </c>
      <c r="C1415" s="2" t="s">
        <v>26</v>
      </c>
      <c r="D1415" s="2" t="s">
        <v>27</v>
      </c>
      <c r="E1415" s="5">
        <v>-31385</v>
      </c>
      <c r="F1415" s="3" t="s">
        <v>783</v>
      </c>
      <c r="G1415" s="3" t="s">
        <v>1117</v>
      </c>
      <c r="H1415" s="2" t="s">
        <v>62</v>
      </c>
      <c r="I1415" s="2" t="s">
        <v>3497</v>
      </c>
      <c r="J1415" s="3" t="str">
        <f>HYPERLINK("https://www.boe.es/gazeta/dias/1814/01/25/pdfs/GRE-1814-12.pdf#page=7","Abrir facsímil")</f>
        <v>Abrir facsímil</v>
      </c>
      <c r="K1415" s="3" t="s">
        <v>64</v>
      </c>
    </row>
    <row r="1416" spans="1:11" ht="42" customHeight="1">
      <c r="A1416" s="2" t="s">
        <v>3498</v>
      </c>
      <c r="B1416" s="2" t="s">
        <v>3499</v>
      </c>
      <c r="C1416" s="2" t="s">
        <v>26</v>
      </c>
      <c r="D1416" s="2" t="s">
        <v>27</v>
      </c>
      <c r="E1416" s="5">
        <v>-31154</v>
      </c>
      <c r="F1416" s="3" t="s">
        <v>688</v>
      </c>
      <c r="G1416" s="3" t="s">
        <v>831</v>
      </c>
      <c r="H1416" s="2" t="s">
        <v>62</v>
      </c>
      <c r="I1416" s="2" t="s">
        <v>3500</v>
      </c>
      <c r="J1416" s="3" t="str">
        <f>HYPERLINK("https://www.boe.es/gazeta/dias/1814/09/13/pdfs/GMD-1814-125.pdf#page=3","Abrir facsímil")</f>
        <v>Abrir facsímil</v>
      </c>
      <c r="K1416" s="3" t="s">
        <v>64</v>
      </c>
    </row>
    <row r="1417" spans="1:11" ht="42" customHeight="1">
      <c r="A1417" s="2" t="s">
        <v>3501</v>
      </c>
      <c r="B1417" s="2" t="s">
        <v>3502</v>
      </c>
      <c r="C1417" s="2" t="s">
        <v>17</v>
      </c>
      <c r="D1417" s="2" t="s">
        <v>18</v>
      </c>
      <c r="E1417" s="5">
        <v>-31250</v>
      </c>
      <c r="F1417" s="3" t="s">
        <v>177</v>
      </c>
      <c r="G1417" s="3" t="s">
        <v>52</v>
      </c>
      <c r="H1417" s="2" t="s">
        <v>62</v>
      </c>
      <c r="I1417" s="2" t="s">
        <v>3503</v>
      </c>
      <c r="J1417" s="3" t="str">
        <f>HYPERLINK("https://www.boe.es/gazeta/dias/1814/06/09/pdfs/GMD-1814-83.pdf#page=8","Abrir facsímil")</f>
        <v>Abrir facsímil</v>
      </c>
      <c r="K1417" s="3" t="s">
        <v>64</v>
      </c>
    </row>
    <row r="1418" spans="1:11" ht="42" customHeight="1">
      <c r="A1418" s="2" t="s">
        <v>3501</v>
      </c>
      <c r="B1418" s="2" t="s">
        <v>3502</v>
      </c>
      <c r="C1418" s="2" t="s">
        <v>17</v>
      </c>
      <c r="D1418" s="2" t="s">
        <v>18</v>
      </c>
      <c r="E1418" s="5">
        <v>-31224</v>
      </c>
      <c r="F1418" s="3" t="s">
        <v>609</v>
      </c>
      <c r="G1418" s="3" t="s">
        <v>384</v>
      </c>
      <c r="H1418" s="2" t="s">
        <v>62</v>
      </c>
      <c r="I1418" s="2" t="s">
        <v>3504</v>
      </c>
      <c r="J1418" s="3" t="str">
        <f>HYPERLINK("https://www.boe.es/gazeta/dias/1814/07/05/pdfs/GMD-1814-94.pdf#page=11","Abrir facsímil")</f>
        <v>Abrir facsímil</v>
      </c>
      <c r="K1418" s="3" t="s">
        <v>64</v>
      </c>
    </row>
    <row r="1419" spans="1:11" ht="42" customHeight="1">
      <c r="A1419" s="2" t="s">
        <v>3501</v>
      </c>
      <c r="B1419" s="2" t="s">
        <v>3502</v>
      </c>
      <c r="C1419" s="2" t="s">
        <v>26</v>
      </c>
      <c r="D1419" s="2" t="s">
        <v>27</v>
      </c>
      <c r="E1419" s="5">
        <v>-31161</v>
      </c>
      <c r="F1419" s="3" t="s">
        <v>407</v>
      </c>
      <c r="G1419" s="3" t="s">
        <v>1361</v>
      </c>
      <c r="H1419" s="2" t="s">
        <v>62</v>
      </c>
      <c r="I1419" s="2" t="s">
        <v>3505</v>
      </c>
      <c r="J1419" s="3" t="str">
        <f>HYPERLINK("https://www.boe.es/gazeta/dias/1814/09/06/pdfs/GMD-1814-122.pdf#page=7","Abrir facsímil")</f>
        <v>Abrir facsímil</v>
      </c>
      <c r="K1419" s="3" t="s">
        <v>64</v>
      </c>
    </row>
    <row r="1420" spans="1:11" ht="42" customHeight="1">
      <c r="A1420" s="2" t="s">
        <v>3501</v>
      </c>
      <c r="B1420" s="2" t="s">
        <v>3502</v>
      </c>
      <c r="C1420" s="2" t="s">
        <v>26</v>
      </c>
      <c r="D1420" s="2" t="s">
        <v>27</v>
      </c>
      <c r="E1420" s="5">
        <v>-31138</v>
      </c>
      <c r="F1420" s="3" t="s">
        <v>1363</v>
      </c>
      <c r="G1420" s="3" t="s">
        <v>1364</v>
      </c>
      <c r="H1420" s="2" t="s">
        <v>62</v>
      </c>
      <c r="I1420" s="2" t="s">
        <v>3506</v>
      </c>
      <c r="J1420" s="3" t="str">
        <f>HYPERLINK("https://www.boe.es/gazeta/dias/1814/09/29/pdfs/GMD-1814-132.pdf#page=7","Abrir facsímil")</f>
        <v>Abrir facsímil</v>
      </c>
      <c r="K1420" s="3" t="s">
        <v>64</v>
      </c>
    </row>
    <row r="1421" spans="1:11" ht="42" customHeight="1">
      <c r="A1421" s="2" t="s">
        <v>3501</v>
      </c>
      <c r="B1421" s="2" t="s">
        <v>3502</v>
      </c>
      <c r="C1421" s="2" t="s">
        <v>26</v>
      </c>
      <c r="D1421" s="2" t="s">
        <v>27</v>
      </c>
      <c r="E1421" s="5">
        <v>-31129</v>
      </c>
      <c r="F1421" s="3" t="s">
        <v>418</v>
      </c>
      <c r="G1421" s="3" t="s">
        <v>1366</v>
      </c>
      <c r="H1421" s="2" t="s">
        <v>62</v>
      </c>
      <c r="I1421" s="2" t="s">
        <v>3507</v>
      </c>
      <c r="J1421" s="3" t="str">
        <f>HYPERLINK("https://www.boe.es/gazeta/dias/1814/10/08/pdfs/GMD-1814-136.pdf#page=6","Abrir facsímil")</f>
        <v>Abrir facsímil</v>
      </c>
      <c r="K1421" s="3" t="s">
        <v>64</v>
      </c>
    </row>
    <row r="1422" spans="1:11" ht="42" customHeight="1">
      <c r="A1422" s="2" t="s">
        <v>3508</v>
      </c>
      <c r="B1422" s="2" t="s">
        <v>3509</v>
      </c>
      <c r="C1422" s="2" t="s">
        <v>45</v>
      </c>
      <c r="D1422" s="2" t="s">
        <v>18</v>
      </c>
      <c r="E1422" s="5">
        <v>-31143</v>
      </c>
      <c r="F1422" s="3" t="s">
        <v>787</v>
      </c>
      <c r="G1422" s="3" t="s">
        <v>20</v>
      </c>
      <c r="H1422" s="2" t="s">
        <v>62</v>
      </c>
      <c r="I1422" s="2" t="s">
        <v>3510</v>
      </c>
      <c r="J1422" s="3" t="str">
        <f>HYPERLINK("https://www.boe.es/gazeta/dias/1814/09/24/pdfs/GMD-1814-130.pdf#page=7","Abrir facsímil")</f>
        <v>Abrir facsímil</v>
      </c>
      <c r="K1422" s="3" t="s">
        <v>64</v>
      </c>
    </row>
    <row r="1423" spans="1:11" ht="42" customHeight="1">
      <c r="A1423" s="2" t="s">
        <v>3511</v>
      </c>
      <c r="B1423" s="2" t="s">
        <v>3511</v>
      </c>
      <c r="C1423" s="2" t="s">
        <v>38</v>
      </c>
      <c r="D1423" s="2" t="s">
        <v>314</v>
      </c>
      <c r="E1423" s="5">
        <v>-31299</v>
      </c>
      <c r="F1423" s="3" t="s">
        <v>484</v>
      </c>
      <c r="G1423" s="3" t="s">
        <v>107</v>
      </c>
      <c r="H1423" s="2" t="s">
        <v>62</v>
      </c>
      <c r="I1423" s="2" t="s">
        <v>3512</v>
      </c>
      <c r="J1423" s="3" t="str">
        <f>HYPERLINK("https://www.boe.es/gazeta/dias/1814/04/21/pdfs/GRE-1814-58E.pdf#page=1","Abrir facsímil")</f>
        <v>Abrir facsímil</v>
      </c>
      <c r="K1423" s="3" t="s">
        <v>64</v>
      </c>
    </row>
    <row r="1424" spans="1:11" ht="42" customHeight="1">
      <c r="A1424" s="2" t="s">
        <v>3511</v>
      </c>
      <c r="B1424" s="2" t="s">
        <v>3511</v>
      </c>
      <c r="C1424" s="2" t="s">
        <v>38</v>
      </c>
      <c r="D1424" s="2" t="s">
        <v>314</v>
      </c>
      <c r="E1424" s="5">
        <v>-31294</v>
      </c>
      <c r="F1424" s="3" t="s">
        <v>2505</v>
      </c>
      <c r="G1424" s="3" t="s">
        <v>87</v>
      </c>
      <c r="H1424" s="2" t="s">
        <v>62</v>
      </c>
      <c r="I1424" s="2" t="s">
        <v>3513</v>
      </c>
      <c r="J1424" s="3" t="str">
        <f>HYPERLINK("https://www.boe.es/gazeta/dias/1814/04/26/pdfs/GRE-1814-62E.pdf#page=2","Abrir facsímil")</f>
        <v>Abrir facsímil</v>
      </c>
      <c r="K1424" s="3" t="s">
        <v>64</v>
      </c>
    </row>
    <row r="1425" spans="1:11" ht="42" customHeight="1">
      <c r="A1425" s="2" t="s">
        <v>3511</v>
      </c>
      <c r="B1425" s="2" t="s">
        <v>3511</v>
      </c>
      <c r="C1425" s="2" t="s">
        <v>38</v>
      </c>
      <c r="D1425" s="2" t="s">
        <v>314</v>
      </c>
      <c r="E1425" s="5">
        <v>-31294</v>
      </c>
      <c r="F1425" s="3" t="s">
        <v>2505</v>
      </c>
      <c r="G1425" s="3" t="s">
        <v>82</v>
      </c>
      <c r="H1425" s="2" t="s">
        <v>62</v>
      </c>
      <c r="I1425" s="2" t="s">
        <v>3514</v>
      </c>
      <c r="J1425" s="3" t="str">
        <f>HYPERLINK("https://www.boe.es/gazeta/dias/1814/04/26/pdfs/GRE-1814-62E.pdf#page=3","Abrir facsímil")</f>
        <v>Abrir facsímil</v>
      </c>
      <c r="K1425" s="3" t="s">
        <v>64</v>
      </c>
    </row>
    <row r="1426" spans="1:11" ht="42" customHeight="1">
      <c r="A1426" s="2" t="s">
        <v>3515</v>
      </c>
      <c r="B1426" s="2" t="s">
        <v>3515</v>
      </c>
      <c r="C1426" s="2" t="s">
        <v>38</v>
      </c>
      <c r="D1426" s="2" t="s">
        <v>39</v>
      </c>
      <c r="E1426" s="5">
        <v>-31395</v>
      </c>
      <c r="F1426" s="3" t="s">
        <v>662</v>
      </c>
      <c r="G1426" s="3" t="s">
        <v>99</v>
      </c>
      <c r="H1426" s="2" t="s">
        <v>62</v>
      </c>
      <c r="I1426" s="2" t="s">
        <v>3516</v>
      </c>
      <c r="J1426" s="3" t="str">
        <f>HYPERLINK("https://www.boe.es/gazeta/dias/1814/01/15/pdfs/GRE-1814-8.pdf#page=5","Abrir facsímil")</f>
        <v>Abrir facsímil</v>
      </c>
      <c r="K1426" s="3" t="s">
        <v>64</v>
      </c>
    </row>
    <row r="1427" spans="1:11" ht="42" customHeight="1">
      <c r="A1427" s="2" t="s">
        <v>3515</v>
      </c>
      <c r="B1427" s="2" t="s">
        <v>3515</v>
      </c>
      <c r="C1427" s="2" t="s">
        <v>38</v>
      </c>
      <c r="D1427" s="2" t="s">
        <v>39</v>
      </c>
      <c r="E1427" s="5">
        <v>-31301</v>
      </c>
      <c r="F1427" s="3" t="s">
        <v>81</v>
      </c>
      <c r="G1427" s="3" t="s">
        <v>107</v>
      </c>
      <c r="H1427" s="2" t="s">
        <v>62</v>
      </c>
      <c r="I1427" s="2" t="s">
        <v>3517</v>
      </c>
      <c r="J1427" s="3" t="str">
        <f>HYPERLINK("https://www.boe.es/gazeta/dias/1814/04/19/pdfs/GRE-1814-56.pdf#page=1","Abrir facsímil")</f>
        <v>Abrir facsímil</v>
      </c>
      <c r="K1427" s="3" t="s">
        <v>64</v>
      </c>
    </row>
    <row r="1428" spans="1:11" ht="42" customHeight="1">
      <c r="A1428" s="2" t="s">
        <v>3515</v>
      </c>
      <c r="B1428" s="2" t="s">
        <v>3515</v>
      </c>
      <c r="C1428" s="2" t="s">
        <v>38</v>
      </c>
      <c r="D1428" s="2" t="s">
        <v>39</v>
      </c>
      <c r="E1428" s="5">
        <v>-31301</v>
      </c>
      <c r="F1428" s="3" t="s">
        <v>81</v>
      </c>
      <c r="G1428" s="3" t="s">
        <v>87</v>
      </c>
      <c r="H1428" s="2" t="s">
        <v>62</v>
      </c>
      <c r="I1428" s="2" t="s">
        <v>3518</v>
      </c>
      <c r="J1428" s="3" t="str">
        <f>HYPERLINK("https://www.boe.es/gazeta/dias/1814/04/19/pdfs/GRE-1814-56.pdf#page=2","Abrir facsímil")</f>
        <v>Abrir facsímil</v>
      </c>
      <c r="K1428" s="3" t="s">
        <v>64</v>
      </c>
    </row>
    <row r="1429" spans="1:11" ht="42" customHeight="1">
      <c r="A1429" s="2" t="s">
        <v>3515</v>
      </c>
      <c r="B1429" s="2" t="s">
        <v>3515</v>
      </c>
      <c r="C1429" s="2" t="s">
        <v>38</v>
      </c>
      <c r="D1429" s="2" t="s">
        <v>39</v>
      </c>
      <c r="E1429" s="5">
        <v>-31301</v>
      </c>
      <c r="F1429" s="3" t="s">
        <v>81</v>
      </c>
      <c r="G1429" s="3" t="s">
        <v>82</v>
      </c>
      <c r="H1429" s="2" t="s">
        <v>62</v>
      </c>
      <c r="I1429" s="2" t="s">
        <v>3519</v>
      </c>
      <c r="J1429" s="3" t="str">
        <f>HYPERLINK("https://www.boe.es/gazeta/dias/1814/04/19/pdfs/GRE-1814-56.pdf#page=3","Abrir facsímil")</f>
        <v>Abrir facsímil</v>
      </c>
      <c r="K1429" s="3" t="s">
        <v>64</v>
      </c>
    </row>
    <row r="1430" spans="1:11" ht="42" customHeight="1">
      <c r="A1430" s="2" t="s">
        <v>3515</v>
      </c>
      <c r="B1430" s="2" t="s">
        <v>3515</v>
      </c>
      <c r="C1430" s="2" t="s">
        <v>38</v>
      </c>
      <c r="D1430" s="2" t="s">
        <v>39</v>
      </c>
      <c r="E1430" s="5">
        <v>-31301</v>
      </c>
      <c r="F1430" s="3" t="s">
        <v>81</v>
      </c>
      <c r="G1430" s="3" t="s">
        <v>41</v>
      </c>
      <c r="H1430" s="2" t="s">
        <v>62</v>
      </c>
      <c r="I1430" s="2" t="s">
        <v>3520</v>
      </c>
      <c r="J1430" s="3" t="str">
        <f>HYPERLINK("https://www.boe.es/gazeta/dias/1814/04/19/pdfs/GRE-1814-56.pdf#page=4","Abrir facsímil")</f>
        <v>Abrir facsímil</v>
      </c>
      <c r="K1430" s="3" t="s">
        <v>64</v>
      </c>
    </row>
    <row r="1431" spans="1:11" ht="42" customHeight="1">
      <c r="A1431" s="2" t="s">
        <v>3521</v>
      </c>
      <c r="B1431" s="2" t="s">
        <v>3521</v>
      </c>
      <c r="C1431" s="2" t="s">
        <v>38</v>
      </c>
      <c r="D1431" s="2" t="s">
        <v>314</v>
      </c>
      <c r="E1431" s="5">
        <v>-31322</v>
      </c>
      <c r="F1431" s="3" t="s">
        <v>883</v>
      </c>
      <c r="G1431" s="3" t="s">
        <v>107</v>
      </c>
      <c r="H1431" s="2" t="s">
        <v>62</v>
      </c>
      <c r="I1431" s="2" t="s">
        <v>3522</v>
      </c>
      <c r="J1431" s="3" t="str">
        <f>HYPERLINK("https://www.boe.es/gazeta/dias/1814/03/29/pdfs/GRE-1814-45E.pdf#page=1","Abrir facsímil")</f>
        <v>Abrir facsímil</v>
      </c>
      <c r="K1431" s="3" t="s">
        <v>64</v>
      </c>
    </row>
    <row r="1432" spans="1:11" ht="42" customHeight="1">
      <c r="A1432" s="2" t="s">
        <v>3521</v>
      </c>
      <c r="B1432" s="2" t="s">
        <v>3521</v>
      </c>
      <c r="C1432" s="2" t="s">
        <v>38</v>
      </c>
      <c r="D1432" s="2" t="s">
        <v>39</v>
      </c>
      <c r="E1432" s="5">
        <v>-31299</v>
      </c>
      <c r="F1432" s="3" t="s">
        <v>71</v>
      </c>
      <c r="G1432" s="3" t="s">
        <v>57</v>
      </c>
      <c r="H1432" s="2" t="s">
        <v>62</v>
      </c>
      <c r="I1432" s="2" t="s">
        <v>3523</v>
      </c>
      <c r="J1432" s="3" t="str">
        <f>HYPERLINK("https://www.boe.es/gazeta/dias/1814/04/21/pdfs/GRE-1814-57.pdf#page=6","Abrir facsímil")</f>
        <v>Abrir facsímil</v>
      </c>
      <c r="K1432" s="3" t="s">
        <v>64</v>
      </c>
    </row>
    <row r="1433" spans="1:11" ht="42" customHeight="1">
      <c r="A1433" s="2" t="s">
        <v>3524</v>
      </c>
      <c r="B1433" s="2" t="s">
        <v>3524</v>
      </c>
      <c r="C1433" s="2" t="s">
        <v>38</v>
      </c>
      <c r="D1433" s="2" t="s">
        <v>39</v>
      </c>
      <c r="E1433" s="5">
        <v>-31283</v>
      </c>
      <c r="F1433" s="3" t="s">
        <v>701</v>
      </c>
      <c r="G1433" s="3" t="s">
        <v>99</v>
      </c>
      <c r="H1433" s="2" t="s">
        <v>62</v>
      </c>
      <c r="I1433" s="2" t="s">
        <v>3525</v>
      </c>
      <c r="J1433" s="3" t="str">
        <f>HYPERLINK("https://www.boe.es/gazeta/dias/1814/05/07/pdfs/GRE-1814-67.pdf#page=5","Abrir facsímil")</f>
        <v>Abrir facsímil</v>
      </c>
      <c r="K1433" s="3" t="s">
        <v>64</v>
      </c>
    </row>
    <row r="1434" spans="1:11" ht="42" customHeight="1">
      <c r="A1434" s="2" t="s">
        <v>3526</v>
      </c>
      <c r="B1434" s="2" t="s">
        <v>3527</v>
      </c>
      <c r="C1434" s="2" t="s">
        <v>38</v>
      </c>
      <c r="D1434" s="2" t="s">
        <v>39</v>
      </c>
      <c r="E1434" s="5">
        <v>-31180</v>
      </c>
      <c r="F1434" s="3" t="s">
        <v>520</v>
      </c>
      <c r="G1434" s="3" t="s">
        <v>20</v>
      </c>
      <c r="H1434" s="2" t="s">
        <v>62</v>
      </c>
      <c r="I1434" s="2" t="s">
        <v>3528</v>
      </c>
      <c r="J1434" s="3" t="str">
        <f>HYPERLINK("https://www.boe.es/gazeta/dias/1814/08/18/pdfs/GMD-1814-113.pdf#page=7","Abrir facsímil")</f>
        <v>Abrir facsímil</v>
      </c>
      <c r="K1434" s="3" t="s">
        <v>64</v>
      </c>
    </row>
    <row r="1435" spans="1:11" ht="42" customHeight="1">
      <c r="A1435" s="2" t="s">
        <v>3529</v>
      </c>
      <c r="B1435" s="2" t="s">
        <v>3530</v>
      </c>
      <c r="C1435" s="2" t="s">
        <v>45</v>
      </c>
      <c r="D1435" s="2" t="s">
        <v>18</v>
      </c>
      <c r="E1435" s="5">
        <v>-31054</v>
      </c>
      <c r="F1435" s="3" t="s">
        <v>952</v>
      </c>
      <c r="G1435" s="3" t="s">
        <v>99</v>
      </c>
      <c r="H1435" s="2" t="s">
        <v>62</v>
      </c>
      <c r="I1435" s="2" t="s">
        <v>3531</v>
      </c>
      <c r="J1435" s="3" t="str">
        <f>HYPERLINK("https://www.boe.es/gazeta/dias/1814/12/22/pdfs/GMD-1814-169.pdf#page=5","Abrir facsímil")</f>
        <v>Abrir facsímil</v>
      </c>
      <c r="K1435" s="3" t="s">
        <v>64</v>
      </c>
    </row>
    <row r="1436" spans="1:11" ht="42" customHeight="1">
      <c r="A1436" s="2" t="s">
        <v>3532</v>
      </c>
      <c r="B1436" s="2" t="s">
        <v>3533</v>
      </c>
      <c r="C1436" s="2" t="s">
        <v>38</v>
      </c>
      <c r="D1436" s="2" t="s">
        <v>39</v>
      </c>
      <c r="E1436" s="5">
        <v>-31404</v>
      </c>
      <c r="F1436" s="3" t="s">
        <v>630</v>
      </c>
      <c r="G1436" s="3" t="s">
        <v>52</v>
      </c>
      <c r="H1436" s="2" t="s">
        <v>62</v>
      </c>
      <c r="I1436" s="2" t="s">
        <v>3534</v>
      </c>
      <c r="J1436" s="3" t="str">
        <f>HYPERLINK("https://www.boe.es/gazeta/dias/1814/01/06/pdfs/GRE-1814-3.pdf#page=8","Abrir facsímil")</f>
        <v>Abrir facsímil</v>
      </c>
      <c r="K1436" s="3" t="s">
        <v>64</v>
      </c>
    </row>
    <row r="1437" spans="1:11" ht="42" customHeight="1">
      <c r="A1437" s="2" t="s">
        <v>3535</v>
      </c>
      <c r="B1437" s="2" t="s">
        <v>3536</v>
      </c>
      <c r="C1437" s="2" t="s">
        <v>309</v>
      </c>
      <c r="D1437" s="2" t="s">
        <v>18</v>
      </c>
      <c r="E1437" s="5">
        <v>-31094</v>
      </c>
      <c r="F1437" s="3" t="s">
        <v>761</v>
      </c>
      <c r="G1437" s="3" t="s">
        <v>41</v>
      </c>
      <c r="H1437" s="2" t="s">
        <v>62</v>
      </c>
      <c r="I1437" s="2" t="s">
        <v>3537</v>
      </c>
      <c r="J1437" s="3" t="str">
        <f>HYPERLINK("https://www.boe.es/gazeta/dias/1814/11/12/pdfs/GMD-1814-151.pdf#page=4","Abrir facsímil")</f>
        <v>Abrir facsímil</v>
      </c>
      <c r="K1437" s="3" t="s">
        <v>64</v>
      </c>
    </row>
    <row r="1438" spans="1:11" ht="42" customHeight="1">
      <c r="A1438" s="2" t="s">
        <v>3538</v>
      </c>
      <c r="B1438" s="2" t="s">
        <v>3539</v>
      </c>
      <c r="C1438" s="2" t="s">
        <v>38</v>
      </c>
      <c r="D1438" s="2" t="s">
        <v>39</v>
      </c>
      <c r="E1438" s="5">
        <v>-31325</v>
      </c>
      <c r="F1438" s="3" t="s">
        <v>67</v>
      </c>
      <c r="G1438" s="3" t="s">
        <v>57</v>
      </c>
      <c r="H1438" s="2" t="s">
        <v>62</v>
      </c>
      <c r="I1438" s="2" t="s">
        <v>3540</v>
      </c>
      <c r="J1438" s="3" t="str">
        <f>HYPERLINK("https://www.boe.es/gazeta/dias/1814/03/26/pdfs/GRE-1814-43.pdf#page=6","Abrir facsímil")</f>
        <v>Abrir facsímil</v>
      </c>
      <c r="K1438" s="3" t="s">
        <v>64</v>
      </c>
    </row>
    <row r="1439" spans="1:11" ht="42" customHeight="1">
      <c r="A1439" s="2" t="s">
        <v>3541</v>
      </c>
      <c r="B1439" s="2" t="s">
        <v>3542</v>
      </c>
      <c r="C1439" s="2" t="s">
        <v>38</v>
      </c>
      <c r="D1439" s="2" t="s">
        <v>39</v>
      </c>
      <c r="E1439" s="5">
        <v>-31213</v>
      </c>
      <c r="F1439" s="3" t="s">
        <v>276</v>
      </c>
      <c r="G1439" s="3" t="s">
        <v>57</v>
      </c>
      <c r="H1439" s="2" t="s">
        <v>62</v>
      </c>
      <c r="I1439" s="2" t="s">
        <v>3543</v>
      </c>
      <c r="J1439" s="3" t="str">
        <f>HYPERLINK("https://www.boe.es/gazeta/dias/1814/07/16/pdfs/GMD-1814-99.pdf#page=6","Abrir facsímil")</f>
        <v>Abrir facsímil</v>
      </c>
      <c r="K1439" s="3" t="s">
        <v>64</v>
      </c>
    </row>
    <row r="1440" spans="1:11" ht="42" customHeight="1">
      <c r="A1440" s="2" t="s">
        <v>3544</v>
      </c>
      <c r="B1440" s="2" t="s">
        <v>3545</v>
      </c>
      <c r="C1440" s="2" t="s">
        <v>38</v>
      </c>
      <c r="D1440" s="2" t="s">
        <v>39</v>
      </c>
      <c r="E1440" s="5">
        <v>-31182</v>
      </c>
      <c r="F1440" s="3" t="s">
        <v>19</v>
      </c>
      <c r="G1440" s="3" t="s">
        <v>57</v>
      </c>
      <c r="H1440" s="2" t="s">
        <v>62</v>
      </c>
      <c r="I1440" s="2" t="s">
        <v>3546</v>
      </c>
      <c r="J1440" s="3" t="str">
        <f>HYPERLINK("https://www.boe.es/gazeta/dias/1814/08/16/pdfs/GMD-1814-112.pdf#page=6","Abrir facsímil")</f>
        <v>Abrir facsímil</v>
      </c>
      <c r="K1440" s="3" t="s">
        <v>64</v>
      </c>
    </row>
    <row r="1441" spans="1:11" ht="42" customHeight="1">
      <c r="A1441" s="2" t="s">
        <v>3547</v>
      </c>
      <c r="B1441" s="2" t="s">
        <v>3548</v>
      </c>
      <c r="C1441" s="2" t="s">
        <v>17</v>
      </c>
      <c r="D1441" s="2" t="s">
        <v>18</v>
      </c>
      <c r="E1441" s="5">
        <v>-31383</v>
      </c>
      <c r="F1441" s="3" t="s">
        <v>715</v>
      </c>
      <c r="G1441" s="3" t="s">
        <v>57</v>
      </c>
      <c r="H1441" s="2" t="s">
        <v>62</v>
      </c>
      <c r="I1441" s="2" t="s">
        <v>3549</v>
      </c>
      <c r="J1441" s="3" t="str">
        <f>HYPERLINK("https://www.boe.es/gazeta/dias/1814/01/27/pdfs/GRE-1814-13.pdf#page=6","Abrir facsímil")</f>
        <v>Abrir facsímil</v>
      </c>
      <c r="K1441" s="3" t="s">
        <v>64</v>
      </c>
    </row>
    <row r="1442" spans="1:11" ht="42" customHeight="1">
      <c r="A1442" s="2" t="s">
        <v>3550</v>
      </c>
      <c r="B1442" s="2" t="s">
        <v>3551</v>
      </c>
      <c r="C1442" s="2" t="s">
        <v>26</v>
      </c>
      <c r="D1442" s="2" t="s">
        <v>27</v>
      </c>
      <c r="E1442" s="5">
        <v>-31080</v>
      </c>
      <c r="F1442" s="3" t="s">
        <v>286</v>
      </c>
      <c r="G1442" s="3" t="s">
        <v>677</v>
      </c>
      <c r="H1442" s="2" t="s">
        <v>62</v>
      </c>
      <c r="I1442" s="2" t="s">
        <v>3552</v>
      </c>
      <c r="J1442" s="3" t="str">
        <f>HYPERLINK("https://www.boe.es/gazeta/dias/1814/11/26/pdfs/GMD-1814-157.pdf#page=7","Abrir facsímil")</f>
        <v>Abrir facsímil</v>
      </c>
      <c r="K1442" s="3" t="s">
        <v>64</v>
      </c>
    </row>
    <row r="1443" spans="1:11" ht="42" customHeight="1">
      <c r="A1443" s="2" t="s">
        <v>3553</v>
      </c>
      <c r="B1443" s="2" t="s">
        <v>3554</v>
      </c>
      <c r="C1443" s="2" t="s">
        <v>17</v>
      </c>
      <c r="D1443" s="2" t="s">
        <v>18</v>
      </c>
      <c r="E1443" s="5">
        <v>-31077</v>
      </c>
      <c r="F1443" s="3" t="s">
        <v>414</v>
      </c>
      <c r="G1443" s="3" t="s">
        <v>57</v>
      </c>
      <c r="H1443" s="2" t="s">
        <v>62</v>
      </c>
      <c r="I1443" s="2" t="s">
        <v>3555</v>
      </c>
      <c r="J1443" s="3" t="str">
        <f>HYPERLINK("https://www.boe.es/gazeta/dias/1814/11/29/pdfs/GMD-1814-158.pdf#page=6","Abrir facsímil")</f>
        <v>Abrir facsímil</v>
      </c>
      <c r="K1443" s="3" t="s">
        <v>64</v>
      </c>
    </row>
    <row r="1444" spans="1:11" ht="42" customHeight="1">
      <c r="A1444" s="2" t="s">
        <v>3556</v>
      </c>
      <c r="B1444" s="2" t="s">
        <v>3557</v>
      </c>
      <c r="C1444" s="2" t="s">
        <v>17</v>
      </c>
      <c r="D1444" s="2" t="s">
        <v>18</v>
      </c>
      <c r="E1444" s="5">
        <v>-31243</v>
      </c>
      <c r="F1444" s="3" t="s">
        <v>500</v>
      </c>
      <c r="G1444" s="3" t="s">
        <v>20</v>
      </c>
      <c r="H1444" s="2" t="s">
        <v>21</v>
      </c>
      <c r="I1444" s="2" t="s">
        <v>3558</v>
      </c>
      <c r="J1444" s="3" t="str">
        <f>HYPERLINK("https://www.boe.es/gazeta/dias/1814/06/16/pdfs/GMD-1814-86.pdf#page=7","Abrir facsímil")</f>
        <v>Abrir facsímil</v>
      </c>
      <c r="K1444" s="3" t="s">
        <v>23</v>
      </c>
    </row>
    <row r="1445" spans="1:11" ht="42" customHeight="1">
      <c r="A1445" s="2" t="s">
        <v>3559</v>
      </c>
      <c r="B1445" s="2" t="s">
        <v>3560</v>
      </c>
      <c r="C1445" s="2" t="s">
        <v>38</v>
      </c>
      <c r="D1445" s="2" t="s">
        <v>39</v>
      </c>
      <c r="E1445" s="5">
        <v>-31355</v>
      </c>
      <c r="F1445" s="3" t="s">
        <v>50</v>
      </c>
      <c r="G1445" s="3" t="s">
        <v>20</v>
      </c>
      <c r="H1445" s="2" t="s">
        <v>62</v>
      </c>
      <c r="I1445" s="2" t="s">
        <v>3561</v>
      </c>
      <c r="J1445" s="3" t="str">
        <f>HYPERLINK("https://www.boe.es/gazeta/dias/1814/02/24/pdfs/GRE-1814-26.pdf#page=7","Abrir facsímil")</f>
        <v>Abrir facsímil</v>
      </c>
      <c r="K1445" s="3" t="s">
        <v>64</v>
      </c>
    </row>
    <row r="1446" spans="1:11" ht="42" customHeight="1">
      <c r="A1446" s="2" t="s">
        <v>3562</v>
      </c>
      <c r="B1446" s="2" t="s">
        <v>3563</v>
      </c>
      <c r="C1446" s="2" t="s">
        <v>38</v>
      </c>
      <c r="D1446" s="2" t="s">
        <v>39</v>
      </c>
      <c r="E1446" s="5">
        <v>-31364</v>
      </c>
      <c r="F1446" s="3" t="s">
        <v>594</v>
      </c>
      <c r="G1446" s="3" t="s">
        <v>57</v>
      </c>
      <c r="H1446" s="2" t="s">
        <v>62</v>
      </c>
      <c r="I1446" s="2" t="s">
        <v>3564</v>
      </c>
      <c r="J1446" s="3" t="str">
        <f>HYPERLINK("https://www.boe.es/gazeta/dias/1814/02/15/pdfs/GRE-1814-21.pdf#page=6","Abrir facsímil")</f>
        <v>Abrir facsímil</v>
      </c>
      <c r="K1446" s="3" t="s">
        <v>64</v>
      </c>
    </row>
    <row r="1447" spans="1:11" ht="42" customHeight="1">
      <c r="A1447" s="2" t="s">
        <v>3562</v>
      </c>
      <c r="B1447" s="2" t="s">
        <v>3563</v>
      </c>
      <c r="C1447" s="2" t="s">
        <v>38</v>
      </c>
      <c r="D1447" s="2" t="s">
        <v>39</v>
      </c>
      <c r="E1447" s="5">
        <v>-31229</v>
      </c>
      <c r="F1447" s="3" t="s">
        <v>502</v>
      </c>
      <c r="G1447" s="3" t="s">
        <v>52</v>
      </c>
      <c r="H1447" s="2" t="s">
        <v>62</v>
      </c>
      <c r="I1447" s="2" t="s">
        <v>3565</v>
      </c>
      <c r="J1447" s="3" t="str">
        <f>HYPERLINK("https://www.boe.es/gazeta/dias/1814/06/30/pdfs/GMD-1814-92.pdf#page=8","Abrir facsímil")</f>
        <v>Abrir facsímil</v>
      </c>
      <c r="K1447" s="3" t="s">
        <v>64</v>
      </c>
    </row>
    <row r="1448" spans="1:11" ht="42" customHeight="1">
      <c r="A1448" s="2" t="s">
        <v>3566</v>
      </c>
      <c r="B1448" s="2" t="s">
        <v>3567</v>
      </c>
      <c r="C1448" s="2" t="s">
        <v>38</v>
      </c>
      <c r="D1448" s="2" t="s">
        <v>39</v>
      </c>
      <c r="E1448" s="5">
        <v>-31259</v>
      </c>
      <c r="F1448" s="3" t="s">
        <v>853</v>
      </c>
      <c r="G1448" s="3" t="s">
        <v>82</v>
      </c>
      <c r="H1448" s="2" t="s">
        <v>62</v>
      </c>
      <c r="I1448" s="2" t="s">
        <v>3568</v>
      </c>
      <c r="J1448" s="3" t="str">
        <f>HYPERLINK("https://www.boe.es/gazeta/dias/1814/05/31/pdfs/GMD-1814-79.pdf#page=3","Abrir facsímil")</f>
        <v>Abrir facsímil</v>
      </c>
      <c r="K1448" s="3" t="s">
        <v>64</v>
      </c>
    </row>
    <row r="1449" spans="1:11" ht="42" customHeight="1">
      <c r="A1449" s="2" t="s">
        <v>3566</v>
      </c>
      <c r="B1449" s="2" t="s">
        <v>3567</v>
      </c>
      <c r="C1449" s="2" t="s">
        <v>38</v>
      </c>
      <c r="D1449" s="2" t="s">
        <v>39</v>
      </c>
      <c r="E1449" s="5">
        <v>-31259</v>
      </c>
      <c r="F1449" s="3" t="s">
        <v>853</v>
      </c>
      <c r="G1449" s="3" t="s">
        <v>41</v>
      </c>
      <c r="H1449" s="2" t="s">
        <v>62</v>
      </c>
      <c r="I1449" s="2" t="s">
        <v>3569</v>
      </c>
      <c r="J1449" s="3" t="str">
        <f>HYPERLINK("https://www.boe.es/gazeta/dias/1814/05/31/pdfs/GMD-1814-79.pdf#page=4","Abrir facsímil")</f>
        <v>Abrir facsímil</v>
      </c>
      <c r="K1449" s="3" t="s">
        <v>64</v>
      </c>
    </row>
    <row r="1450" spans="1:11" ht="42" customHeight="1">
      <c r="A1450" s="2" t="s">
        <v>3570</v>
      </c>
      <c r="B1450" s="2" t="s">
        <v>3571</v>
      </c>
      <c r="C1450" s="2" t="s">
        <v>38</v>
      </c>
      <c r="D1450" s="2" t="s">
        <v>39</v>
      </c>
      <c r="E1450" s="5">
        <v>-31318</v>
      </c>
      <c r="F1450" s="3" t="s">
        <v>400</v>
      </c>
      <c r="G1450" s="3" t="s">
        <v>99</v>
      </c>
      <c r="H1450" s="2" t="s">
        <v>62</v>
      </c>
      <c r="I1450" s="2" t="s">
        <v>3572</v>
      </c>
      <c r="J1450" s="3" t="str">
        <f>HYPERLINK("https://www.boe.es/gazeta/dias/1814/04/02/pdfs/GRE-1814-47.pdf#page=5","Abrir facsímil")</f>
        <v>Abrir facsímil</v>
      </c>
      <c r="K1450" s="3" t="s">
        <v>64</v>
      </c>
    </row>
    <row r="1451" spans="1:11" ht="42" customHeight="1">
      <c r="A1451" s="2" t="s">
        <v>3573</v>
      </c>
      <c r="B1451" s="2" t="s">
        <v>3574</v>
      </c>
      <c r="C1451" s="2" t="s">
        <v>38</v>
      </c>
      <c r="D1451" s="2" t="s">
        <v>39</v>
      </c>
      <c r="E1451" s="5">
        <v>-31171</v>
      </c>
      <c r="F1451" s="3" t="s">
        <v>157</v>
      </c>
      <c r="G1451" s="3" t="s">
        <v>57</v>
      </c>
      <c r="H1451" s="2" t="s">
        <v>62</v>
      </c>
      <c r="I1451" s="2" t="s">
        <v>3575</v>
      </c>
      <c r="J1451" s="3" t="str">
        <f>HYPERLINK("https://www.boe.es/gazeta/dias/1814/08/27/pdfs/GMD-1814-117.pdf#page=6","Abrir facsímil")</f>
        <v>Abrir facsímil</v>
      </c>
      <c r="K1451" s="3" t="s">
        <v>64</v>
      </c>
    </row>
    <row r="1452" spans="1:11" ht="42" customHeight="1">
      <c r="A1452" s="2" t="s">
        <v>3576</v>
      </c>
      <c r="B1452" s="2" t="s">
        <v>3577</v>
      </c>
      <c r="C1452" s="2" t="s">
        <v>17</v>
      </c>
      <c r="D1452" s="2" t="s">
        <v>18</v>
      </c>
      <c r="E1452" s="5">
        <v>-31236</v>
      </c>
      <c r="F1452" s="3" t="s">
        <v>33</v>
      </c>
      <c r="G1452" s="3" t="s">
        <v>3453</v>
      </c>
      <c r="H1452" s="2" t="s">
        <v>62</v>
      </c>
      <c r="I1452" s="2" t="s">
        <v>3578</v>
      </c>
      <c r="J1452" s="3" t="str">
        <f>HYPERLINK("https://www.boe.es/gazeta/dias/1814/06/23/pdfs/GMD-1814-89.pdf#page=5","Abrir facsímil")</f>
        <v>Abrir facsímil</v>
      </c>
      <c r="K1452" s="3" t="s">
        <v>64</v>
      </c>
    </row>
    <row r="1453" spans="1:11" ht="42" customHeight="1">
      <c r="A1453" s="2" t="s">
        <v>3579</v>
      </c>
      <c r="B1453" s="2" t="s">
        <v>3580</v>
      </c>
      <c r="C1453" s="2" t="s">
        <v>17</v>
      </c>
      <c r="D1453" s="2" t="s">
        <v>18</v>
      </c>
      <c r="E1453" s="5">
        <v>-31250</v>
      </c>
      <c r="F1453" s="3" t="s">
        <v>177</v>
      </c>
      <c r="G1453" s="3" t="s">
        <v>52</v>
      </c>
      <c r="H1453" s="2" t="s">
        <v>62</v>
      </c>
      <c r="I1453" s="2" t="s">
        <v>3581</v>
      </c>
      <c r="J1453" s="3" t="str">
        <f>HYPERLINK("https://www.boe.es/gazeta/dias/1814/06/09/pdfs/GMD-1814-83.pdf#page=8","Abrir facsímil")</f>
        <v>Abrir facsímil</v>
      </c>
      <c r="K1453" s="3" t="s">
        <v>64</v>
      </c>
    </row>
    <row r="1454" spans="1:11" ht="42" customHeight="1">
      <c r="A1454" s="2" t="s">
        <v>3579</v>
      </c>
      <c r="B1454" s="2" t="s">
        <v>3580</v>
      </c>
      <c r="C1454" s="2" t="s">
        <v>38</v>
      </c>
      <c r="D1454" s="2" t="s">
        <v>39</v>
      </c>
      <c r="E1454" s="5">
        <v>-31199</v>
      </c>
      <c r="F1454" s="3" t="s">
        <v>453</v>
      </c>
      <c r="G1454" s="3" t="s">
        <v>20</v>
      </c>
      <c r="H1454" s="2" t="s">
        <v>62</v>
      </c>
      <c r="I1454" s="2" t="s">
        <v>3582</v>
      </c>
      <c r="J1454" s="3" t="str">
        <f>HYPERLINK("https://www.boe.es/gazeta/dias/1814/07/30/pdfs/GMD-1814-105.pdf#page=7","Abrir facsímil")</f>
        <v>Abrir facsímil</v>
      </c>
      <c r="K1454" s="3" t="s">
        <v>64</v>
      </c>
    </row>
    <row r="1455" spans="1:11" ht="42" customHeight="1">
      <c r="A1455" s="2" t="s">
        <v>3579</v>
      </c>
      <c r="B1455" s="2" t="s">
        <v>3580</v>
      </c>
      <c r="C1455" s="2" t="s">
        <v>26</v>
      </c>
      <c r="D1455" s="2" t="s">
        <v>27</v>
      </c>
      <c r="E1455" s="5">
        <v>-31075</v>
      </c>
      <c r="F1455" s="3" t="s">
        <v>537</v>
      </c>
      <c r="G1455" s="3" t="s">
        <v>20</v>
      </c>
      <c r="H1455" s="2" t="s">
        <v>62</v>
      </c>
      <c r="I1455" s="2" t="s">
        <v>3583</v>
      </c>
      <c r="J1455" s="3" t="str">
        <f>HYPERLINK("https://www.boe.es/gazeta/dias/1814/12/01/pdfs/GMD-1814-159.pdf#page=7","Abrir facsímil")</f>
        <v>Abrir facsímil</v>
      </c>
      <c r="K1455" s="3" t="s">
        <v>64</v>
      </c>
    </row>
    <row r="1456" spans="1:11" ht="42" customHeight="1">
      <c r="A1456" s="2" t="s">
        <v>3584</v>
      </c>
      <c r="B1456" s="2" t="s">
        <v>3585</v>
      </c>
      <c r="C1456" s="2" t="s">
        <v>32</v>
      </c>
      <c r="D1456" s="2" t="s">
        <v>18</v>
      </c>
      <c r="E1456" s="5">
        <v>-31245</v>
      </c>
      <c r="F1456" s="3" t="s">
        <v>908</v>
      </c>
      <c r="G1456" s="3" t="s">
        <v>322</v>
      </c>
      <c r="H1456" s="2" t="s">
        <v>62</v>
      </c>
      <c r="I1456" s="2" t="s">
        <v>3586</v>
      </c>
      <c r="J1456" s="3" t="str">
        <f>HYPERLINK("https://www.boe.es/gazeta/dias/1814/06/14/pdfs/GMD-1814-85.pdf#page=12","Abrir facsímil")</f>
        <v>Abrir facsímil</v>
      </c>
      <c r="K1456" s="3" t="s">
        <v>64</v>
      </c>
    </row>
    <row r="1457" spans="1:11" ht="42" customHeight="1">
      <c r="A1457" s="2" t="s">
        <v>3587</v>
      </c>
      <c r="B1457" s="2" t="s">
        <v>3588</v>
      </c>
      <c r="C1457" s="2" t="s">
        <v>38</v>
      </c>
      <c r="D1457" s="2" t="s">
        <v>39</v>
      </c>
      <c r="E1457" s="5">
        <v>-31194</v>
      </c>
      <c r="F1457" s="3" t="s">
        <v>333</v>
      </c>
      <c r="G1457" s="3" t="s">
        <v>57</v>
      </c>
      <c r="H1457" s="2" t="s">
        <v>62</v>
      </c>
      <c r="I1457" s="2" t="s">
        <v>3589</v>
      </c>
      <c r="J1457" s="3" t="str">
        <f>HYPERLINK("https://www.boe.es/gazeta/dias/1814/08/04/pdfs/GMD-1814-107.pdf#page=6","Abrir facsímil")</f>
        <v>Abrir facsímil</v>
      </c>
      <c r="K1457" s="3" t="s">
        <v>64</v>
      </c>
    </row>
    <row r="1458" spans="1:11" ht="42" customHeight="1">
      <c r="A1458" s="2" t="s">
        <v>3590</v>
      </c>
      <c r="B1458" s="2" t="s">
        <v>3591</v>
      </c>
      <c r="C1458" s="2" t="s">
        <v>309</v>
      </c>
      <c r="D1458" s="2" t="s">
        <v>18</v>
      </c>
      <c r="E1458" s="5">
        <v>-31252</v>
      </c>
      <c r="F1458" s="3" t="s">
        <v>364</v>
      </c>
      <c r="G1458" s="3" t="s">
        <v>1437</v>
      </c>
      <c r="H1458" s="2" t="s">
        <v>62</v>
      </c>
      <c r="I1458" s="2" t="s">
        <v>3592</v>
      </c>
      <c r="J1458" s="3" t="str">
        <f>HYPERLINK("https://www.boe.es/gazeta/dias/1814/06/07/pdfs/GMD-1814-82.pdf#page=11","Abrir facsímil")</f>
        <v>Abrir facsímil</v>
      </c>
      <c r="K1458" s="3" t="s">
        <v>64</v>
      </c>
    </row>
    <row r="1459" spans="1:11" ht="42" customHeight="1">
      <c r="A1459" s="2" t="s">
        <v>3593</v>
      </c>
      <c r="B1459" s="2" t="s">
        <v>3593</v>
      </c>
      <c r="C1459" s="2" t="s">
        <v>38</v>
      </c>
      <c r="D1459" s="2" t="s">
        <v>39</v>
      </c>
      <c r="E1459" s="5">
        <v>-31248</v>
      </c>
      <c r="F1459" s="3" t="s">
        <v>1123</v>
      </c>
      <c r="G1459" s="3" t="s">
        <v>99</v>
      </c>
      <c r="H1459" s="2" t="s">
        <v>62</v>
      </c>
      <c r="I1459" s="2" t="s">
        <v>3594</v>
      </c>
      <c r="J1459" s="3" t="str">
        <f>HYPERLINK("https://www.boe.es/gazeta/dias/1814/06/11/pdfs/GMD-1814-84.pdf#page=5","Abrir facsímil")</f>
        <v>Abrir facsímil</v>
      </c>
      <c r="K1459" s="3" t="s">
        <v>64</v>
      </c>
    </row>
    <row r="1460" spans="1:11" ht="42" customHeight="1">
      <c r="A1460" s="2" t="s">
        <v>3595</v>
      </c>
      <c r="B1460" s="2" t="s">
        <v>3596</v>
      </c>
      <c r="C1460" s="2" t="s">
        <v>38</v>
      </c>
      <c r="D1460" s="2" t="s">
        <v>39</v>
      </c>
      <c r="E1460" s="5">
        <v>-31049</v>
      </c>
      <c r="F1460" s="3" t="s">
        <v>542</v>
      </c>
      <c r="G1460" s="3" t="s">
        <v>20</v>
      </c>
      <c r="H1460" s="2" t="s">
        <v>62</v>
      </c>
      <c r="I1460" s="2" t="s">
        <v>3597</v>
      </c>
      <c r="J1460" s="3" t="str">
        <f>HYPERLINK("https://www.boe.es/gazeta/dias/1814/12/27/pdfs/GMD-1814-171.pdf#page=7","Abrir facsímil")</f>
        <v>Abrir facsímil</v>
      </c>
      <c r="K1460" s="3" t="s">
        <v>64</v>
      </c>
    </row>
    <row r="1461" spans="1:11" ht="42" customHeight="1">
      <c r="A1461" s="2" t="s">
        <v>3598</v>
      </c>
      <c r="B1461" s="2" t="s">
        <v>3599</v>
      </c>
      <c r="C1461" s="2" t="s">
        <v>38</v>
      </c>
      <c r="D1461" s="2" t="s">
        <v>39</v>
      </c>
      <c r="E1461" s="5">
        <v>-31252</v>
      </c>
      <c r="F1461" s="3" t="s">
        <v>364</v>
      </c>
      <c r="G1461" s="3" t="s">
        <v>82</v>
      </c>
      <c r="H1461" s="2" t="s">
        <v>62</v>
      </c>
      <c r="I1461" s="2" t="s">
        <v>3600</v>
      </c>
      <c r="J1461" s="3" t="str">
        <f>HYPERLINK("https://www.boe.es/gazeta/dias/1814/06/07/pdfs/GMD-1814-82.pdf#page=3","Abrir facsímil")</f>
        <v>Abrir facsímil</v>
      </c>
      <c r="K1461" s="3" t="s">
        <v>64</v>
      </c>
    </row>
    <row r="1462" spans="1:11" ht="42" customHeight="1">
      <c r="A1462" s="2" t="s">
        <v>3601</v>
      </c>
      <c r="B1462" s="2" t="s">
        <v>3602</v>
      </c>
      <c r="C1462" s="2" t="s">
        <v>38</v>
      </c>
      <c r="D1462" s="2" t="s">
        <v>39</v>
      </c>
      <c r="E1462" s="5">
        <v>-31308</v>
      </c>
      <c r="F1462" s="3" t="s">
        <v>210</v>
      </c>
      <c r="G1462" s="3" t="s">
        <v>20</v>
      </c>
      <c r="H1462" s="2" t="s">
        <v>62</v>
      </c>
      <c r="I1462" s="2" t="s">
        <v>3603</v>
      </c>
      <c r="J1462" s="3" t="str">
        <f>HYPERLINK("https://www.boe.es/gazeta/dias/1814/04/12/pdfs/GRE-1814-52.pdf#page=7","Abrir facsímil")</f>
        <v>Abrir facsímil</v>
      </c>
      <c r="K1462" s="3" t="s">
        <v>64</v>
      </c>
    </row>
    <row r="1463" spans="1:11" ht="42" customHeight="1">
      <c r="A1463" s="2" t="s">
        <v>3604</v>
      </c>
      <c r="B1463" s="2" t="s">
        <v>3605</v>
      </c>
      <c r="C1463" s="2" t="s">
        <v>38</v>
      </c>
      <c r="D1463" s="2" t="s">
        <v>39</v>
      </c>
      <c r="E1463" s="5">
        <v>-31383</v>
      </c>
      <c r="F1463" s="3" t="s">
        <v>715</v>
      </c>
      <c r="G1463" s="3" t="s">
        <v>2727</v>
      </c>
      <c r="H1463" s="2" t="s">
        <v>62</v>
      </c>
      <c r="I1463" s="2" t="s">
        <v>3606</v>
      </c>
      <c r="J1463" s="3" t="str">
        <f>HYPERLINK("https://www.boe.es/gazeta/dias/1814/01/27/pdfs/GRE-1814-13.pdf#page=4","Abrir facsímil")</f>
        <v>Abrir facsímil</v>
      </c>
      <c r="K1463" s="3" t="s">
        <v>64</v>
      </c>
    </row>
    <row r="1464" spans="1:11" ht="42" customHeight="1">
      <c r="A1464" s="2" t="s">
        <v>3607</v>
      </c>
      <c r="B1464" s="2" t="s">
        <v>3608</v>
      </c>
      <c r="C1464" s="2" t="s">
        <v>26</v>
      </c>
      <c r="D1464" s="2" t="s">
        <v>27</v>
      </c>
      <c r="E1464" s="5">
        <v>-31243</v>
      </c>
      <c r="F1464" s="3" t="s">
        <v>500</v>
      </c>
      <c r="G1464" s="3" t="s">
        <v>384</v>
      </c>
      <c r="H1464" s="2" t="s">
        <v>62</v>
      </c>
      <c r="I1464" s="2" t="s">
        <v>3609</v>
      </c>
      <c r="J1464" s="3" t="str">
        <f>HYPERLINK("https://www.boe.es/gazeta/dias/1814/06/16/pdfs/GMD-1814-86.pdf#page=11","Abrir facsímil")</f>
        <v>Abrir facsímil</v>
      </c>
      <c r="K1464" s="3" t="s">
        <v>64</v>
      </c>
    </row>
    <row r="1465" spans="1:11" ht="42" customHeight="1">
      <c r="A1465" s="2" t="s">
        <v>3610</v>
      </c>
      <c r="B1465" s="2" t="s">
        <v>3611</v>
      </c>
      <c r="C1465" s="2" t="s">
        <v>38</v>
      </c>
      <c r="D1465" s="2" t="s">
        <v>39</v>
      </c>
      <c r="E1465" s="5">
        <v>-31140</v>
      </c>
      <c r="F1465" s="3" t="s">
        <v>525</v>
      </c>
      <c r="G1465" s="3" t="s">
        <v>57</v>
      </c>
      <c r="H1465" s="2" t="s">
        <v>62</v>
      </c>
      <c r="I1465" s="2" t="s">
        <v>3612</v>
      </c>
      <c r="J1465" s="3" t="str">
        <f>HYPERLINK("https://www.boe.es/gazeta/dias/1814/09/27/pdfs/GMD-1814-131.pdf#page=6","Abrir facsímil")</f>
        <v>Abrir facsímil</v>
      </c>
      <c r="K1465" s="3" t="s">
        <v>64</v>
      </c>
    </row>
    <row r="1466" spans="1:11" ht="42" customHeight="1">
      <c r="A1466" s="2" t="s">
        <v>3613</v>
      </c>
      <c r="B1466" s="2" t="s">
        <v>3614</v>
      </c>
      <c r="C1466" s="2" t="s">
        <v>45</v>
      </c>
      <c r="D1466" s="2" t="s">
        <v>18</v>
      </c>
      <c r="E1466" s="5">
        <v>-31173</v>
      </c>
      <c r="F1466" s="3" t="s">
        <v>46</v>
      </c>
      <c r="G1466" s="3" t="s">
        <v>20</v>
      </c>
      <c r="H1466" s="2" t="s">
        <v>62</v>
      </c>
      <c r="I1466" s="2" t="s">
        <v>3615</v>
      </c>
      <c r="J1466" s="3" t="str">
        <f>HYPERLINK("https://www.boe.es/gazeta/dias/1814/08/25/pdfs/GMD-1814-116.pdf#page=7","Abrir facsímil")</f>
        <v>Abrir facsímil</v>
      </c>
      <c r="K1466" s="3" t="s">
        <v>64</v>
      </c>
    </row>
    <row r="1467" spans="1:11" ht="42" customHeight="1">
      <c r="A1467" s="2" t="s">
        <v>3613</v>
      </c>
      <c r="B1467" s="2" t="s">
        <v>3614</v>
      </c>
      <c r="C1467" s="2" t="s">
        <v>17</v>
      </c>
      <c r="D1467" s="2" t="s">
        <v>18</v>
      </c>
      <c r="E1467" s="5">
        <v>-31143</v>
      </c>
      <c r="F1467" s="3" t="s">
        <v>787</v>
      </c>
      <c r="G1467" s="3" t="s">
        <v>2367</v>
      </c>
      <c r="H1467" s="2" t="s">
        <v>62</v>
      </c>
      <c r="I1467" s="2" t="s">
        <v>3616</v>
      </c>
      <c r="J1467" s="3" t="str">
        <f>HYPERLINK("https://www.boe.es/gazeta/dias/1814/09/24/pdfs/GMD-1814-130.pdf#page=2","Abrir facsímil")</f>
        <v>Abrir facsímil</v>
      </c>
      <c r="K1467" s="3" t="s">
        <v>64</v>
      </c>
    </row>
    <row r="1468" spans="1:11" ht="42" customHeight="1">
      <c r="A1468" s="2" t="s">
        <v>3613</v>
      </c>
      <c r="B1468" s="2" t="s">
        <v>3614</v>
      </c>
      <c r="C1468" s="2" t="s">
        <v>45</v>
      </c>
      <c r="D1468" s="2" t="s">
        <v>18</v>
      </c>
      <c r="E1468" s="5">
        <v>-31131</v>
      </c>
      <c r="F1468" s="3" t="s">
        <v>132</v>
      </c>
      <c r="G1468" s="3" t="s">
        <v>2188</v>
      </c>
      <c r="H1468" s="2" t="s">
        <v>62</v>
      </c>
      <c r="I1468" s="2" t="s">
        <v>3617</v>
      </c>
      <c r="J1468" s="3" t="str">
        <f>HYPERLINK("https://www.boe.es/gazeta/dias/1814/10/06/pdfs/GMD-1814-135.pdf#page=6","Abrir facsímil")</f>
        <v>Abrir facsímil</v>
      </c>
      <c r="K1468" s="3" t="s">
        <v>64</v>
      </c>
    </row>
    <row r="1469" spans="1:11" ht="42" customHeight="1">
      <c r="A1469" s="2" t="s">
        <v>3618</v>
      </c>
      <c r="B1469" s="2" t="s">
        <v>3618</v>
      </c>
      <c r="C1469" s="2" t="s">
        <v>144</v>
      </c>
      <c r="D1469" s="2" t="s">
        <v>18</v>
      </c>
      <c r="E1469" s="5">
        <v>-31045</v>
      </c>
      <c r="F1469" s="3" t="s">
        <v>165</v>
      </c>
      <c r="G1469" s="3" t="s">
        <v>52</v>
      </c>
      <c r="H1469" s="2" t="s">
        <v>62</v>
      </c>
      <c r="I1469" s="2" t="s">
        <v>3619</v>
      </c>
      <c r="J1469" s="3" t="str">
        <f>HYPERLINK("https://www.boe.es/gazeta/dias/1814/12/31/pdfs/GMD-1814-173.pdf#page=8","Abrir facsímil")</f>
        <v>Abrir facsímil</v>
      </c>
      <c r="K1469" s="3" t="s">
        <v>64</v>
      </c>
    </row>
    <row r="1470" spans="1:11" ht="42" customHeight="1">
      <c r="A1470" s="2" t="s">
        <v>3620</v>
      </c>
      <c r="B1470" s="2" t="s">
        <v>3621</v>
      </c>
      <c r="C1470" s="2" t="s">
        <v>32</v>
      </c>
      <c r="D1470" s="2" t="s">
        <v>18</v>
      </c>
      <c r="E1470" s="5">
        <v>-31206</v>
      </c>
      <c r="F1470" s="3" t="s">
        <v>1196</v>
      </c>
      <c r="G1470" s="3" t="s">
        <v>82</v>
      </c>
      <c r="H1470" s="2" t="s">
        <v>62</v>
      </c>
      <c r="I1470" s="2" t="s">
        <v>3622</v>
      </c>
      <c r="J1470" s="3" t="str">
        <f>HYPERLINK("https://www.boe.es/gazeta/dias/1814/07/23/pdfs/GMD-1814-102.pdf#page=3","Abrir facsímil")</f>
        <v>Abrir facsímil</v>
      </c>
      <c r="K1470" s="3" t="s">
        <v>64</v>
      </c>
    </row>
    <row r="1471" spans="1:11" ht="42" customHeight="1">
      <c r="A1471" s="2" t="s">
        <v>3623</v>
      </c>
      <c r="B1471" s="2" t="s">
        <v>3623</v>
      </c>
      <c r="C1471" s="2" t="s">
        <v>38</v>
      </c>
      <c r="D1471" s="2" t="s">
        <v>314</v>
      </c>
      <c r="E1471" s="5">
        <v>-31341</v>
      </c>
      <c r="F1471" s="3" t="s">
        <v>354</v>
      </c>
      <c r="G1471" s="3" t="s">
        <v>87</v>
      </c>
      <c r="H1471" s="2" t="s">
        <v>62</v>
      </c>
      <c r="I1471" s="2" t="s">
        <v>3624</v>
      </c>
      <c r="J1471" s="3" t="str">
        <f>HYPERLINK("https://www.boe.es/gazeta/dias/1814/03/10/pdfs/GRE-1814-34E.pdf#page=2","Abrir facsímil")</f>
        <v>Abrir facsímil</v>
      </c>
      <c r="K1471" s="3" t="s">
        <v>64</v>
      </c>
    </row>
    <row r="1472" spans="1:11" ht="42" customHeight="1">
      <c r="A1472" s="2" t="s">
        <v>3625</v>
      </c>
      <c r="B1472" s="2" t="s">
        <v>3625</v>
      </c>
      <c r="C1472" s="2" t="s">
        <v>38</v>
      </c>
      <c r="D1472" s="2" t="s">
        <v>314</v>
      </c>
      <c r="E1472" s="5">
        <v>-31296</v>
      </c>
      <c r="F1472" s="3" t="s">
        <v>315</v>
      </c>
      <c r="G1472" s="3" t="s">
        <v>82</v>
      </c>
      <c r="H1472" s="2" t="s">
        <v>62</v>
      </c>
      <c r="I1472" s="2" t="s">
        <v>3626</v>
      </c>
      <c r="J1472" s="3" t="str">
        <f>HYPERLINK("https://www.boe.es/gazeta/dias/1814/04/24/pdfs/GRE-1814-60E.pdf#page=3","Abrir facsímil")</f>
        <v>Abrir facsímil</v>
      </c>
      <c r="K1472" s="3" t="s">
        <v>64</v>
      </c>
    </row>
    <row r="1473" spans="1:11" ht="42" customHeight="1">
      <c r="A1473" s="2" t="s">
        <v>3627</v>
      </c>
      <c r="B1473" s="2" t="s">
        <v>3628</v>
      </c>
      <c r="C1473" s="2" t="s">
        <v>38</v>
      </c>
      <c r="D1473" s="2" t="s">
        <v>39</v>
      </c>
      <c r="E1473" s="5">
        <v>-31119</v>
      </c>
      <c r="F1473" s="3" t="s">
        <v>136</v>
      </c>
      <c r="G1473" s="3" t="s">
        <v>704</v>
      </c>
      <c r="H1473" s="2" t="s">
        <v>62</v>
      </c>
      <c r="I1473" s="2" t="s">
        <v>3629</v>
      </c>
      <c r="J1473" s="3" t="str">
        <f>HYPERLINK("https://www.boe.es/gazeta/dias/1814/10/18/pdfs/GMD-1814-140.pdf#page=10","Abrir facsímil")</f>
        <v>Abrir facsímil</v>
      </c>
      <c r="K1473" s="3" t="s">
        <v>64</v>
      </c>
    </row>
    <row r="1474" spans="1:11" ht="42" customHeight="1">
      <c r="A1474" s="2" t="s">
        <v>3630</v>
      </c>
      <c r="B1474" s="2" t="s">
        <v>3631</v>
      </c>
      <c r="C1474" s="2" t="s">
        <v>32</v>
      </c>
      <c r="D1474" s="2" t="s">
        <v>18</v>
      </c>
      <c r="E1474" s="5">
        <v>-31150</v>
      </c>
      <c r="F1474" s="3" t="s">
        <v>106</v>
      </c>
      <c r="G1474" s="3" t="s">
        <v>82</v>
      </c>
      <c r="H1474" s="2" t="s">
        <v>62</v>
      </c>
      <c r="I1474" s="2" t="s">
        <v>3632</v>
      </c>
      <c r="J1474" s="3" t="str">
        <f>HYPERLINK("https://www.boe.es/gazeta/dias/1814/09/17/pdfs/GMD-1814-127.pdf#page=3","Abrir facsímil")</f>
        <v>Abrir facsímil</v>
      </c>
      <c r="K1474" s="3" t="s">
        <v>64</v>
      </c>
    </row>
    <row r="1475" spans="1:11" ht="42" customHeight="1">
      <c r="A1475" s="2" t="s">
        <v>3633</v>
      </c>
      <c r="B1475" s="2" t="s">
        <v>3634</v>
      </c>
      <c r="C1475" s="2" t="s">
        <v>17</v>
      </c>
      <c r="D1475" s="2" t="s">
        <v>18</v>
      </c>
      <c r="E1475" s="5">
        <v>-31138</v>
      </c>
      <c r="F1475" s="3" t="s">
        <v>1363</v>
      </c>
      <c r="G1475" s="3" t="s">
        <v>99</v>
      </c>
      <c r="H1475" s="2" t="s">
        <v>62</v>
      </c>
      <c r="I1475" s="2" t="s">
        <v>3635</v>
      </c>
      <c r="J1475" s="3" t="str">
        <f>HYPERLINK("https://www.boe.es/gazeta/dias/1814/09/29/pdfs/GMD-1814-132.pdf#page=5","Abrir facsímil")</f>
        <v>Abrir facsímil</v>
      </c>
      <c r="K1475" s="3" t="s">
        <v>64</v>
      </c>
    </row>
    <row r="1476" spans="1:11" ht="42" customHeight="1">
      <c r="A1476" s="2" t="s">
        <v>3636</v>
      </c>
      <c r="B1476" s="2" t="s">
        <v>3637</v>
      </c>
      <c r="C1476" s="2" t="s">
        <v>26</v>
      </c>
      <c r="D1476" s="2" t="s">
        <v>27</v>
      </c>
      <c r="E1476" s="5">
        <v>-31255</v>
      </c>
      <c r="F1476" s="3" t="s">
        <v>983</v>
      </c>
      <c r="G1476" s="3" t="s">
        <v>57</v>
      </c>
      <c r="H1476" s="2" t="s">
        <v>62</v>
      </c>
      <c r="I1476" s="2" t="s">
        <v>3638</v>
      </c>
      <c r="J1476" s="3" t="str">
        <f>HYPERLINK("https://www.boe.es/gazeta/dias/1814/06/04/pdfs/GMD-1814-81.pdf#page=6","Abrir facsímil")</f>
        <v>Abrir facsímil</v>
      </c>
      <c r="K1476" s="3" t="s">
        <v>64</v>
      </c>
    </row>
    <row r="1477" spans="1:11" ht="42" customHeight="1">
      <c r="A1477" s="2" t="s">
        <v>3639</v>
      </c>
      <c r="B1477" s="2" t="s">
        <v>3639</v>
      </c>
      <c r="C1477" s="2" t="s">
        <v>38</v>
      </c>
      <c r="D1477" s="2" t="s">
        <v>39</v>
      </c>
      <c r="E1477" s="5">
        <v>-31161</v>
      </c>
      <c r="F1477" s="3" t="s">
        <v>407</v>
      </c>
      <c r="G1477" s="3" t="s">
        <v>107</v>
      </c>
      <c r="H1477" s="2" t="s">
        <v>62</v>
      </c>
      <c r="I1477" s="2" t="s">
        <v>3640</v>
      </c>
      <c r="J1477" s="3" t="str">
        <f>HYPERLINK("https://www.boe.es/gazeta/dias/1814/09/06/pdfs/GMD-1814-122.pdf#page=1","Abrir facsímil")</f>
        <v>Abrir facsímil</v>
      </c>
      <c r="K1477" s="3" t="s">
        <v>64</v>
      </c>
    </row>
    <row r="1478" spans="1:11" ht="42" customHeight="1">
      <c r="A1478" s="2" t="s">
        <v>3641</v>
      </c>
      <c r="B1478" s="2" t="s">
        <v>3641</v>
      </c>
      <c r="C1478" s="2" t="s">
        <v>38</v>
      </c>
      <c r="D1478" s="2" t="s">
        <v>39</v>
      </c>
      <c r="E1478" s="5">
        <v>-31262</v>
      </c>
      <c r="F1478" s="3" t="s">
        <v>254</v>
      </c>
      <c r="G1478" s="3" t="s">
        <v>87</v>
      </c>
      <c r="H1478" s="2" t="s">
        <v>62</v>
      </c>
      <c r="I1478" s="2" t="s">
        <v>3642</v>
      </c>
      <c r="J1478" s="3" t="str">
        <f>HYPERLINK("https://www.boe.es/gazeta/dias/1814/05/28/pdfs/GMD-1814-78.pdf#page=2","Abrir facsímil")</f>
        <v>Abrir facsímil</v>
      </c>
      <c r="K1478" s="3" t="s">
        <v>64</v>
      </c>
    </row>
    <row r="1479" spans="1:11" ht="42" customHeight="1">
      <c r="A1479" s="2" t="s">
        <v>3643</v>
      </c>
      <c r="B1479" s="2" t="s">
        <v>3643</v>
      </c>
      <c r="C1479" s="2" t="s">
        <v>38</v>
      </c>
      <c r="D1479" s="2" t="s">
        <v>39</v>
      </c>
      <c r="E1479" s="5">
        <v>-31257</v>
      </c>
      <c r="F1479" s="3" t="s">
        <v>437</v>
      </c>
      <c r="G1479" s="3" t="s">
        <v>87</v>
      </c>
      <c r="H1479" s="2" t="s">
        <v>62</v>
      </c>
      <c r="I1479" s="2" t="s">
        <v>3644</v>
      </c>
      <c r="J1479" s="3" t="str">
        <f>HYPERLINK("https://www.boe.es/gazeta/dias/1814/06/02/pdfs/GMD-1814-80.pdf#page=2","Abrir facsímil")</f>
        <v>Abrir facsímil</v>
      </c>
      <c r="K1479" s="3" t="s">
        <v>64</v>
      </c>
    </row>
    <row r="1480" spans="1:11" ht="42" customHeight="1">
      <c r="A1480" s="2" t="s">
        <v>3645</v>
      </c>
      <c r="B1480" s="2" t="s">
        <v>3645</v>
      </c>
      <c r="C1480" s="2" t="s">
        <v>38</v>
      </c>
      <c r="D1480" s="2" t="s">
        <v>39</v>
      </c>
      <c r="E1480" s="5">
        <v>-31248</v>
      </c>
      <c r="F1480" s="3" t="s">
        <v>1123</v>
      </c>
      <c r="G1480" s="3" t="s">
        <v>82</v>
      </c>
      <c r="H1480" s="2" t="s">
        <v>62</v>
      </c>
      <c r="I1480" s="2" t="s">
        <v>3646</v>
      </c>
      <c r="J1480" s="3" t="str">
        <f>HYPERLINK("https://www.boe.es/gazeta/dias/1814/06/11/pdfs/GMD-1814-84.pdf#page=3","Abrir facsímil")</f>
        <v>Abrir facsímil</v>
      </c>
      <c r="K1480" s="3" t="s">
        <v>64</v>
      </c>
    </row>
    <row r="1481" spans="1:11" ht="42" customHeight="1">
      <c r="A1481" s="2" t="s">
        <v>3645</v>
      </c>
      <c r="B1481" s="2" t="s">
        <v>3645</v>
      </c>
      <c r="C1481" s="2" t="s">
        <v>17</v>
      </c>
      <c r="D1481" s="2" t="s">
        <v>18</v>
      </c>
      <c r="E1481" s="5">
        <v>-31245</v>
      </c>
      <c r="F1481" s="3" t="s">
        <v>908</v>
      </c>
      <c r="G1481" s="3" t="s">
        <v>87</v>
      </c>
      <c r="H1481" s="2" t="s">
        <v>62</v>
      </c>
      <c r="I1481" s="2" t="s">
        <v>3647</v>
      </c>
      <c r="J1481" s="3" t="str">
        <f>HYPERLINK("https://www.boe.es/gazeta/dias/1814/06/14/pdfs/GMD-1814-85.pdf#page=2","Abrir facsímil")</f>
        <v>Abrir facsímil</v>
      </c>
      <c r="K1481" s="3" t="s">
        <v>64</v>
      </c>
    </row>
    <row r="1482" spans="1:11" ht="42" customHeight="1">
      <c r="A1482" s="2" t="s">
        <v>3645</v>
      </c>
      <c r="B1482" s="2" t="s">
        <v>3645</v>
      </c>
      <c r="C1482" s="2" t="s">
        <v>26</v>
      </c>
      <c r="D1482" s="2" t="s">
        <v>27</v>
      </c>
      <c r="E1482" s="5">
        <v>-31241</v>
      </c>
      <c r="F1482" s="3" t="s">
        <v>703</v>
      </c>
      <c r="G1482" s="3" t="s">
        <v>107</v>
      </c>
      <c r="H1482" s="2" t="s">
        <v>62</v>
      </c>
      <c r="I1482" s="2" t="s">
        <v>3648</v>
      </c>
      <c r="J1482" s="3" t="str">
        <f>HYPERLINK("https://www.boe.es/gazeta/dias/1814/06/18/pdfs/GMD-1814-87.pdf#page=1","Abrir facsímil")</f>
        <v>Abrir facsímil</v>
      </c>
      <c r="K1482" s="3" t="s">
        <v>64</v>
      </c>
    </row>
    <row r="1483" spans="1:11" ht="42" customHeight="1">
      <c r="A1483" s="2" t="s">
        <v>3645</v>
      </c>
      <c r="B1483" s="2" t="s">
        <v>3645</v>
      </c>
      <c r="C1483" s="2" t="s">
        <v>38</v>
      </c>
      <c r="D1483" s="2" t="s">
        <v>39</v>
      </c>
      <c r="E1483" s="5">
        <v>-31229</v>
      </c>
      <c r="F1483" s="3" t="s">
        <v>502</v>
      </c>
      <c r="G1483" s="3" t="s">
        <v>107</v>
      </c>
      <c r="H1483" s="2" t="s">
        <v>62</v>
      </c>
      <c r="I1483" s="2" t="s">
        <v>3649</v>
      </c>
      <c r="J1483" s="3" t="str">
        <f>HYPERLINK("https://www.boe.es/gazeta/dias/1814/06/30/pdfs/GMD-1814-92.pdf#page=1","Abrir facsímil")</f>
        <v>Abrir facsímil</v>
      </c>
      <c r="K1483" s="3" t="s">
        <v>64</v>
      </c>
    </row>
    <row r="1484" spans="1:11" ht="42" customHeight="1">
      <c r="A1484" s="2" t="s">
        <v>3645</v>
      </c>
      <c r="B1484" s="2" t="s">
        <v>3645</v>
      </c>
      <c r="C1484" s="2" t="s">
        <v>38</v>
      </c>
      <c r="D1484" s="2" t="s">
        <v>39</v>
      </c>
      <c r="E1484" s="5">
        <v>-31203</v>
      </c>
      <c r="F1484" s="3" t="s">
        <v>512</v>
      </c>
      <c r="G1484" s="3" t="s">
        <v>513</v>
      </c>
      <c r="H1484" s="2" t="s">
        <v>62</v>
      </c>
      <c r="I1484" s="2" t="s">
        <v>3650</v>
      </c>
      <c r="J1484" s="3" t="str">
        <f>HYPERLINK("https://www.boe.es/gazeta/dias/1814/07/26/pdfs/GMD-1814-103.pdf#page=2","Abrir facsímil")</f>
        <v>Abrir facsímil</v>
      </c>
      <c r="K1484" s="3" t="s">
        <v>64</v>
      </c>
    </row>
    <row r="1485" spans="1:11" ht="42" customHeight="1">
      <c r="A1485" s="2" t="s">
        <v>3645</v>
      </c>
      <c r="B1485" s="2" t="s">
        <v>3645</v>
      </c>
      <c r="C1485" s="2" t="s">
        <v>17</v>
      </c>
      <c r="D1485" s="2" t="s">
        <v>18</v>
      </c>
      <c r="E1485" s="5">
        <v>-31185</v>
      </c>
      <c r="F1485" s="3" t="s">
        <v>1238</v>
      </c>
      <c r="G1485" s="3" t="s">
        <v>107</v>
      </c>
      <c r="H1485" s="2" t="s">
        <v>62</v>
      </c>
      <c r="I1485" s="2" t="s">
        <v>3651</v>
      </c>
      <c r="J1485" s="3" t="str">
        <f>HYPERLINK("https://www.boe.es/gazeta/dias/1814/08/13/pdfs/GMD-1814-111.pdf#page=1","Abrir facsímil")</f>
        <v>Abrir facsímil</v>
      </c>
      <c r="K1485" s="3" t="s">
        <v>64</v>
      </c>
    </row>
    <row r="1486" spans="1:11" ht="42" customHeight="1">
      <c r="A1486" s="2" t="s">
        <v>3645</v>
      </c>
      <c r="B1486" s="2" t="s">
        <v>3645</v>
      </c>
      <c r="C1486" s="2" t="s">
        <v>38</v>
      </c>
      <c r="D1486" s="2" t="s">
        <v>39</v>
      </c>
      <c r="E1486" s="5">
        <v>-31154</v>
      </c>
      <c r="F1486" s="3" t="s">
        <v>688</v>
      </c>
      <c r="G1486" s="3" t="s">
        <v>107</v>
      </c>
      <c r="H1486" s="2" t="s">
        <v>62</v>
      </c>
      <c r="I1486" s="2" t="s">
        <v>3652</v>
      </c>
      <c r="J1486" s="3" t="str">
        <f>HYPERLINK("https://www.boe.es/gazeta/dias/1814/09/13/pdfs/GMD-1814-125.pdf#page=1","Abrir facsímil")</f>
        <v>Abrir facsímil</v>
      </c>
      <c r="K1486" s="3" t="s">
        <v>64</v>
      </c>
    </row>
    <row r="1487" spans="1:11" ht="42" customHeight="1">
      <c r="A1487" s="2" t="s">
        <v>3645</v>
      </c>
      <c r="B1487" s="2" t="s">
        <v>3645</v>
      </c>
      <c r="C1487" s="2" t="s">
        <v>26</v>
      </c>
      <c r="D1487" s="2" t="s">
        <v>27</v>
      </c>
      <c r="E1487" s="5">
        <v>-31145</v>
      </c>
      <c r="F1487" s="3" t="s">
        <v>523</v>
      </c>
      <c r="G1487" s="3" t="s">
        <v>87</v>
      </c>
      <c r="H1487" s="2" t="s">
        <v>62</v>
      </c>
      <c r="I1487" s="2" t="s">
        <v>3653</v>
      </c>
      <c r="J1487" s="3" t="str">
        <f>HYPERLINK("https://www.boe.es/gazeta/dias/1814/09/22/pdfs/GMD-1814-129.pdf#page=2","Abrir facsímil")</f>
        <v>Abrir facsímil</v>
      </c>
      <c r="K1487" s="3" t="s">
        <v>64</v>
      </c>
    </row>
    <row r="1488" spans="1:11" ht="42" customHeight="1">
      <c r="A1488" s="2" t="s">
        <v>3645</v>
      </c>
      <c r="B1488" s="2" t="s">
        <v>3645</v>
      </c>
      <c r="C1488" s="2" t="s">
        <v>17</v>
      </c>
      <c r="D1488" s="2" t="s">
        <v>18</v>
      </c>
      <c r="E1488" s="5">
        <v>-31140</v>
      </c>
      <c r="F1488" s="3" t="s">
        <v>525</v>
      </c>
      <c r="G1488" s="3" t="s">
        <v>107</v>
      </c>
      <c r="H1488" s="2" t="s">
        <v>62</v>
      </c>
      <c r="I1488" s="2" t="s">
        <v>3654</v>
      </c>
      <c r="J1488" s="3" t="str">
        <f>HYPERLINK("https://www.boe.es/gazeta/dias/1814/09/27/pdfs/GMD-1814-131.pdf#page=1","Abrir facsímil")</f>
        <v>Abrir facsímil</v>
      </c>
      <c r="K1488" s="3" t="s">
        <v>64</v>
      </c>
    </row>
    <row r="1489" spans="1:11" ht="42" customHeight="1">
      <c r="A1489" s="2" t="s">
        <v>3645</v>
      </c>
      <c r="B1489" s="2" t="s">
        <v>3645</v>
      </c>
      <c r="C1489" s="2" t="s">
        <v>38</v>
      </c>
      <c r="D1489" s="2" t="s">
        <v>39</v>
      </c>
      <c r="E1489" s="5">
        <v>-31138</v>
      </c>
      <c r="F1489" s="3" t="s">
        <v>1363</v>
      </c>
      <c r="G1489" s="3" t="s">
        <v>107</v>
      </c>
      <c r="H1489" s="2" t="s">
        <v>62</v>
      </c>
      <c r="I1489" s="2" t="s">
        <v>3655</v>
      </c>
      <c r="J1489" s="3" t="str">
        <f>HYPERLINK("https://www.boe.es/gazeta/dias/1814/09/29/pdfs/GMD-1814-132.pdf#page=1","Abrir facsímil")</f>
        <v>Abrir facsímil</v>
      </c>
      <c r="K1489" s="3" t="s">
        <v>64</v>
      </c>
    </row>
    <row r="1490" spans="1:11" ht="42" customHeight="1">
      <c r="A1490" s="2" t="s">
        <v>3645</v>
      </c>
      <c r="B1490" s="2" t="s">
        <v>3645</v>
      </c>
      <c r="C1490" s="2" t="s">
        <v>38</v>
      </c>
      <c r="D1490" s="2" t="s">
        <v>39</v>
      </c>
      <c r="E1490" s="5">
        <v>-31136</v>
      </c>
      <c r="F1490" s="3" t="s">
        <v>956</v>
      </c>
      <c r="G1490" s="3" t="s">
        <v>3656</v>
      </c>
      <c r="H1490" s="2" t="s">
        <v>62</v>
      </c>
      <c r="I1490" s="2" t="s">
        <v>3657</v>
      </c>
      <c r="J1490" s="3" t="str">
        <f>HYPERLINK("https://www.boe.es/gazeta/dias/1814/10/01/pdfs/GMD-1814-133.pdf#page=3","Abrir facsímil")</f>
        <v>Abrir facsímil</v>
      </c>
      <c r="K1490" s="3" t="s">
        <v>64</v>
      </c>
    </row>
    <row r="1491" spans="1:11" ht="42" customHeight="1">
      <c r="A1491" s="2" t="s">
        <v>3645</v>
      </c>
      <c r="B1491" s="2" t="s">
        <v>3645</v>
      </c>
      <c r="C1491" s="2" t="s">
        <v>26</v>
      </c>
      <c r="D1491" s="2" t="s">
        <v>27</v>
      </c>
      <c r="E1491" s="5">
        <v>-31131</v>
      </c>
      <c r="F1491" s="3" t="s">
        <v>132</v>
      </c>
      <c r="G1491" s="3" t="s">
        <v>869</v>
      </c>
      <c r="H1491" s="2" t="s">
        <v>62</v>
      </c>
      <c r="I1491" s="2" t="s">
        <v>3658</v>
      </c>
      <c r="J1491" s="3" t="str">
        <f>HYPERLINK("https://www.boe.es/gazeta/dias/1814/10/06/pdfs/GMD-1814-135.pdf#page=2","Abrir facsímil")</f>
        <v>Abrir facsímil</v>
      </c>
      <c r="K1491" s="3" t="s">
        <v>64</v>
      </c>
    </row>
    <row r="1492" spans="1:11" ht="42" customHeight="1">
      <c r="A1492" s="2" t="s">
        <v>3645</v>
      </c>
      <c r="B1492" s="2" t="s">
        <v>3645</v>
      </c>
      <c r="C1492" s="2" t="s">
        <v>38</v>
      </c>
      <c r="D1492" s="2" t="s">
        <v>39</v>
      </c>
      <c r="E1492" s="5">
        <v>-31129</v>
      </c>
      <c r="F1492" s="3" t="s">
        <v>418</v>
      </c>
      <c r="G1492" s="3" t="s">
        <v>87</v>
      </c>
      <c r="H1492" s="2" t="s">
        <v>62</v>
      </c>
      <c r="I1492" s="2" t="s">
        <v>3659</v>
      </c>
      <c r="J1492" s="3" t="str">
        <f>HYPERLINK("https://www.boe.es/gazeta/dias/1814/10/08/pdfs/GMD-1814-136.pdf#page=2","Abrir facsímil")</f>
        <v>Abrir facsímil</v>
      </c>
      <c r="K1492" s="3" t="s">
        <v>64</v>
      </c>
    </row>
    <row r="1493" spans="1:11" ht="42" customHeight="1">
      <c r="A1493" s="2" t="s">
        <v>3660</v>
      </c>
      <c r="B1493" s="2" t="s">
        <v>3660</v>
      </c>
      <c r="C1493" s="2" t="s">
        <v>38</v>
      </c>
      <c r="D1493" s="2" t="s">
        <v>39</v>
      </c>
      <c r="E1493" s="5">
        <v>-31257</v>
      </c>
      <c r="F1493" s="3" t="s">
        <v>437</v>
      </c>
      <c r="G1493" s="3" t="s">
        <v>52</v>
      </c>
      <c r="H1493" s="2" t="s">
        <v>62</v>
      </c>
      <c r="I1493" s="2" t="s">
        <v>3661</v>
      </c>
      <c r="J1493" s="3" t="str">
        <f>HYPERLINK("https://www.boe.es/gazeta/dias/1814/06/02/pdfs/GMD-1814-80.pdf#page=8","Abrir facsímil")</f>
        <v>Abrir facsímil</v>
      </c>
      <c r="K1493" s="3" t="s">
        <v>64</v>
      </c>
    </row>
    <row r="1494" spans="1:11" ht="42" customHeight="1">
      <c r="A1494" s="2" t="s">
        <v>3660</v>
      </c>
      <c r="B1494" s="2" t="s">
        <v>3660</v>
      </c>
      <c r="C1494" s="2" t="s">
        <v>38</v>
      </c>
      <c r="D1494" s="2" t="s">
        <v>39</v>
      </c>
      <c r="E1494" s="5">
        <v>-31217</v>
      </c>
      <c r="F1494" s="3" t="s">
        <v>506</v>
      </c>
      <c r="G1494" s="3" t="s">
        <v>384</v>
      </c>
      <c r="H1494" s="2" t="s">
        <v>62</v>
      </c>
      <c r="I1494" s="2" t="s">
        <v>3662</v>
      </c>
      <c r="J1494" s="3" t="str">
        <f>HYPERLINK("https://www.boe.es/gazeta/dias/1814/07/12/pdfs/GMD-1814-97.pdf#page=11","Abrir facsímil")</f>
        <v>Abrir facsímil</v>
      </c>
      <c r="K1494" s="3" t="s">
        <v>64</v>
      </c>
    </row>
    <row r="1495" spans="1:11" ht="42" customHeight="1">
      <c r="A1495" s="2" t="s">
        <v>3660</v>
      </c>
      <c r="B1495" s="2" t="s">
        <v>3660</v>
      </c>
      <c r="C1495" s="2" t="s">
        <v>17</v>
      </c>
      <c r="D1495" s="2" t="s">
        <v>18</v>
      </c>
      <c r="E1495" s="5">
        <v>-31110</v>
      </c>
      <c r="F1495" s="3" t="s">
        <v>149</v>
      </c>
      <c r="G1495" s="3" t="s">
        <v>82</v>
      </c>
      <c r="H1495" s="2" t="s">
        <v>62</v>
      </c>
      <c r="I1495" s="2" t="s">
        <v>3663</v>
      </c>
      <c r="J1495" s="3" t="str">
        <f>HYPERLINK("https://www.boe.es/gazeta/dias/1814/10/27/pdfs/GMD-1814-144.pdf#page=3","Abrir facsímil")</f>
        <v>Abrir facsímil</v>
      </c>
      <c r="K1495" s="3" t="s">
        <v>64</v>
      </c>
    </row>
    <row r="1496" spans="1:11" ht="42" customHeight="1">
      <c r="A1496" s="2" t="s">
        <v>3664</v>
      </c>
      <c r="B1496" s="2" t="s">
        <v>3665</v>
      </c>
      <c r="C1496" s="2" t="s">
        <v>38</v>
      </c>
      <c r="D1496" s="2" t="s">
        <v>39</v>
      </c>
      <c r="E1496" s="5">
        <v>-31194</v>
      </c>
      <c r="F1496" s="3" t="s">
        <v>333</v>
      </c>
      <c r="G1496" s="3" t="s">
        <v>57</v>
      </c>
      <c r="H1496" s="2" t="s">
        <v>62</v>
      </c>
      <c r="I1496" s="2" t="s">
        <v>3666</v>
      </c>
      <c r="J1496" s="3" t="str">
        <f>HYPERLINK("https://www.boe.es/gazeta/dias/1814/08/04/pdfs/GMD-1814-107.pdf#page=6","Abrir facsímil")</f>
        <v>Abrir facsímil</v>
      </c>
      <c r="K1496" s="3" t="s">
        <v>64</v>
      </c>
    </row>
    <row r="1497" spans="1:11" ht="42" customHeight="1">
      <c r="A1497" s="2" t="s">
        <v>3667</v>
      </c>
      <c r="B1497" s="2" t="s">
        <v>3668</v>
      </c>
      <c r="C1497" s="2" t="s">
        <v>38</v>
      </c>
      <c r="D1497" s="2" t="s">
        <v>314</v>
      </c>
      <c r="E1497" s="5">
        <v>-31341</v>
      </c>
      <c r="F1497" s="3" t="s">
        <v>354</v>
      </c>
      <c r="G1497" s="3" t="s">
        <v>99</v>
      </c>
      <c r="H1497" s="2" t="s">
        <v>62</v>
      </c>
      <c r="I1497" s="2" t="s">
        <v>3669</v>
      </c>
      <c r="J1497" s="3" t="str">
        <f>HYPERLINK("https://www.boe.es/gazeta/dias/1814/03/10/pdfs/GRE-1814-34E.pdf#page=5","Abrir facsímil")</f>
        <v>Abrir facsímil</v>
      </c>
      <c r="K1497" s="3" t="s">
        <v>64</v>
      </c>
    </row>
    <row r="1498" spans="1:11" ht="42" customHeight="1">
      <c r="A1498" s="2" t="s">
        <v>3670</v>
      </c>
      <c r="B1498" s="2" t="s">
        <v>3671</v>
      </c>
      <c r="C1498" s="2" t="s">
        <v>38</v>
      </c>
      <c r="D1498" s="2" t="s">
        <v>39</v>
      </c>
      <c r="E1498" s="5">
        <v>-31385</v>
      </c>
      <c r="F1498" s="3" t="s">
        <v>783</v>
      </c>
      <c r="G1498" s="3" t="s">
        <v>107</v>
      </c>
      <c r="H1498" s="2" t="s">
        <v>21</v>
      </c>
      <c r="I1498" s="2" t="s">
        <v>3672</v>
      </c>
      <c r="J1498" s="3" t="str">
        <f>HYPERLINK("https://www.boe.es/gazeta/dias/1814/01/25/pdfs/GRE-1814-12.pdf#page=1","Abrir facsímil")</f>
        <v>Abrir facsímil</v>
      </c>
      <c r="K1498" s="3" t="s">
        <v>23</v>
      </c>
    </row>
    <row r="1499" spans="1:11" ht="42" customHeight="1">
      <c r="A1499" s="2" t="s">
        <v>3673</v>
      </c>
      <c r="B1499" s="2" t="s">
        <v>3673</v>
      </c>
      <c r="C1499" s="2" t="s">
        <v>105</v>
      </c>
      <c r="D1499" s="2" t="s">
        <v>18</v>
      </c>
      <c r="E1499" s="5">
        <v>-31241</v>
      </c>
      <c r="F1499" s="3" t="s">
        <v>703</v>
      </c>
      <c r="G1499" s="3" t="s">
        <v>82</v>
      </c>
      <c r="H1499" s="2" t="s">
        <v>62</v>
      </c>
      <c r="I1499" s="2" t="s">
        <v>3674</v>
      </c>
      <c r="J1499" s="3" t="str">
        <f>HYPERLINK("https://www.boe.es/gazeta/dias/1814/06/18/pdfs/GMD-1814-87.pdf#page=3","Abrir facsímil")</f>
        <v>Abrir facsímil</v>
      </c>
      <c r="K1499" s="3" t="s">
        <v>64</v>
      </c>
    </row>
    <row r="1500" spans="1:11" ht="42" customHeight="1">
      <c r="A1500" s="2" t="s">
        <v>3675</v>
      </c>
      <c r="B1500" s="2" t="s">
        <v>3676</v>
      </c>
      <c r="C1500" s="2" t="s">
        <v>38</v>
      </c>
      <c r="D1500" s="2" t="s">
        <v>39</v>
      </c>
      <c r="E1500" s="5">
        <v>-31278</v>
      </c>
      <c r="F1500" s="3" t="s">
        <v>773</v>
      </c>
      <c r="G1500" s="3" t="s">
        <v>774</v>
      </c>
      <c r="H1500" s="2" t="s">
        <v>62</v>
      </c>
      <c r="I1500" s="2" t="s">
        <v>3677</v>
      </c>
      <c r="J1500" s="3" t="str">
        <f>HYPERLINK("https://www.boe.es/gazeta/dias/1814/05/12/pdfs/GMD-1814-69.pdf#page=8","Abrir facsímil")</f>
        <v>Abrir facsímil</v>
      </c>
      <c r="K1500" s="3" t="s">
        <v>64</v>
      </c>
    </row>
    <row r="1501" spans="1:11" ht="42" customHeight="1">
      <c r="A1501" s="2" t="s">
        <v>3678</v>
      </c>
      <c r="B1501" s="2" t="s">
        <v>3679</v>
      </c>
      <c r="C1501" s="2" t="s">
        <v>38</v>
      </c>
      <c r="D1501" s="2" t="s">
        <v>39</v>
      </c>
      <c r="E1501" s="5">
        <v>-31318</v>
      </c>
      <c r="F1501" s="3" t="s">
        <v>400</v>
      </c>
      <c r="G1501" s="3" t="s">
        <v>52</v>
      </c>
      <c r="H1501" s="2" t="s">
        <v>62</v>
      </c>
      <c r="I1501" s="2" t="s">
        <v>3680</v>
      </c>
      <c r="J1501" s="3" t="str">
        <f>HYPERLINK("https://www.boe.es/gazeta/dias/1814/04/02/pdfs/GRE-1814-47.pdf#page=8","Abrir facsímil")</f>
        <v>Abrir facsímil</v>
      </c>
      <c r="K1501" s="3" t="s">
        <v>64</v>
      </c>
    </row>
    <row r="1502" spans="1:11" ht="42" customHeight="1">
      <c r="A1502" s="2" t="s">
        <v>3681</v>
      </c>
      <c r="B1502" s="2" t="s">
        <v>3682</v>
      </c>
      <c r="C1502" s="2" t="s">
        <v>38</v>
      </c>
      <c r="D1502" s="2" t="s">
        <v>39</v>
      </c>
      <c r="E1502" s="5">
        <v>-31173</v>
      </c>
      <c r="F1502" s="3" t="s">
        <v>46</v>
      </c>
      <c r="G1502" s="3" t="s">
        <v>82</v>
      </c>
      <c r="H1502" s="2" t="s">
        <v>62</v>
      </c>
      <c r="I1502" s="2" t="s">
        <v>3683</v>
      </c>
      <c r="J1502" s="3" t="str">
        <f>HYPERLINK("https://www.boe.es/gazeta/dias/1814/08/25/pdfs/GMD-1814-116.pdf#page=3","Abrir facsímil")</f>
        <v>Abrir facsímil</v>
      </c>
      <c r="K1502" s="3" t="s">
        <v>64</v>
      </c>
    </row>
    <row r="1503" spans="1:11" ht="42" customHeight="1">
      <c r="A1503" s="2" t="s">
        <v>3684</v>
      </c>
      <c r="B1503" s="2" t="s">
        <v>3685</v>
      </c>
      <c r="C1503" s="2" t="s">
        <v>38</v>
      </c>
      <c r="D1503" s="2" t="s">
        <v>39</v>
      </c>
      <c r="E1503" s="5">
        <v>-31217</v>
      </c>
      <c r="F1503" s="3" t="s">
        <v>506</v>
      </c>
      <c r="G1503" s="3" t="s">
        <v>322</v>
      </c>
      <c r="H1503" s="2" t="s">
        <v>21</v>
      </c>
      <c r="I1503" s="2" t="s">
        <v>3686</v>
      </c>
      <c r="J1503" s="3" t="str">
        <f>HYPERLINK("https://www.boe.es/gazeta/dias/1814/07/12/pdfs/GMD-1814-97.pdf#page=12","Abrir facsímil")</f>
        <v>Abrir facsímil</v>
      </c>
      <c r="K1503" s="3" t="s">
        <v>23</v>
      </c>
    </row>
    <row r="1504" spans="1:11" ht="42" customHeight="1">
      <c r="A1504" s="2" t="s">
        <v>3687</v>
      </c>
      <c r="B1504" s="2" t="s">
        <v>3688</v>
      </c>
      <c r="C1504" s="2" t="s">
        <v>38</v>
      </c>
      <c r="D1504" s="2" t="s">
        <v>39</v>
      </c>
      <c r="E1504" s="5">
        <v>-31255</v>
      </c>
      <c r="F1504" s="3" t="s">
        <v>983</v>
      </c>
      <c r="G1504" s="3" t="s">
        <v>41</v>
      </c>
      <c r="H1504" s="2" t="s">
        <v>62</v>
      </c>
      <c r="I1504" s="2" t="s">
        <v>3689</v>
      </c>
      <c r="J1504" s="3" t="str">
        <f>HYPERLINK("https://www.boe.es/gazeta/dias/1814/06/04/pdfs/GMD-1814-81.pdf#page=4","Abrir facsímil")</f>
        <v>Abrir facsímil</v>
      </c>
      <c r="K1504" s="3" t="s">
        <v>64</v>
      </c>
    </row>
    <row r="1505" spans="1:11" ht="42" customHeight="1">
      <c r="A1505" s="2" t="s">
        <v>3690</v>
      </c>
      <c r="B1505" s="2" t="s">
        <v>3691</v>
      </c>
      <c r="C1505" s="2" t="s">
        <v>38</v>
      </c>
      <c r="D1505" s="2" t="s">
        <v>39</v>
      </c>
      <c r="E1505" s="5">
        <v>-31122</v>
      </c>
      <c r="F1505" s="3" t="s">
        <v>28</v>
      </c>
      <c r="G1505" s="3" t="s">
        <v>20</v>
      </c>
      <c r="H1505" s="2" t="s">
        <v>62</v>
      </c>
      <c r="I1505" s="2" t="s">
        <v>3692</v>
      </c>
      <c r="J1505" s="3" t="str">
        <f>HYPERLINK("https://www.boe.es/gazeta/dias/1814/10/15/pdfs/GMD-1814-139.pdf#page=7","Abrir facsímil")</f>
        <v>Abrir facsímil</v>
      </c>
      <c r="K1505" s="3" t="s">
        <v>64</v>
      </c>
    </row>
    <row r="1506" spans="1:11" ht="42" customHeight="1">
      <c r="A1506" s="2" t="s">
        <v>3693</v>
      </c>
      <c r="B1506" s="2" t="s">
        <v>3694</v>
      </c>
      <c r="C1506" s="2" t="s">
        <v>26</v>
      </c>
      <c r="D1506" s="2" t="s">
        <v>27</v>
      </c>
      <c r="E1506" s="5">
        <v>-31392</v>
      </c>
      <c r="F1506" s="3" t="s">
        <v>195</v>
      </c>
      <c r="G1506" s="3" t="s">
        <v>758</v>
      </c>
      <c r="H1506" s="2" t="s">
        <v>62</v>
      </c>
      <c r="I1506" s="2" t="s">
        <v>3695</v>
      </c>
      <c r="J1506" s="3" t="str">
        <f>HYPERLINK("https://www.boe.es/gazeta/dias/1814/01/18/pdfs/GRE-1814-9.pdf#page=8","Abrir facsímil")</f>
        <v>Abrir facsímil</v>
      </c>
      <c r="K1506" s="3" t="s">
        <v>64</v>
      </c>
    </row>
    <row r="1507" spans="1:11" ht="42" customHeight="1">
      <c r="A1507" s="2" t="s">
        <v>3696</v>
      </c>
      <c r="B1507" s="2" t="s">
        <v>3697</v>
      </c>
      <c r="C1507" s="2" t="s">
        <v>38</v>
      </c>
      <c r="D1507" s="2" t="s">
        <v>39</v>
      </c>
      <c r="E1507" s="5">
        <v>-31054</v>
      </c>
      <c r="F1507" s="3" t="s">
        <v>952</v>
      </c>
      <c r="G1507" s="3" t="s">
        <v>20</v>
      </c>
      <c r="H1507" s="2" t="s">
        <v>62</v>
      </c>
      <c r="I1507" s="2" t="s">
        <v>3698</v>
      </c>
      <c r="J1507" s="3" t="str">
        <f>HYPERLINK("https://www.boe.es/gazeta/dias/1814/12/22/pdfs/GMD-1814-169.pdf#page=7","Abrir facsímil")</f>
        <v>Abrir facsímil</v>
      </c>
      <c r="K1507" s="3" t="s">
        <v>64</v>
      </c>
    </row>
    <row r="1508" spans="1:11" ht="42" customHeight="1">
      <c r="A1508" s="2" t="s">
        <v>3699</v>
      </c>
      <c r="B1508" s="2" t="s">
        <v>3699</v>
      </c>
      <c r="C1508" s="2" t="s">
        <v>38</v>
      </c>
      <c r="D1508" s="2" t="s">
        <v>39</v>
      </c>
      <c r="E1508" s="5">
        <v>-31376</v>
      </c>
      <c r="F1508" s="3" t="s">
        <v>1954</v>
      </c>
      <c r="G1508" s="3" t="s">
        <v>2565</v>
      </c>
      <c r="H1508" s="2" t="s">
        <v>62</v>
      </c>
      <c r="I1508" s="2" t="s">
        <v>3700</v>
      </c>
      <c r="J1508" s="3" t="str">
        <f>HYPERLINK("https://www.boe.es/gazeta/dias/1814/02/03/pdfs/GRE-1814-16.pdf#page=6","Abrir facsímil")</f>
        <v>Abrir facsímil</v>
      </c>
      <c r="K1508" s="3" t="s">
        <v>64</v>
      </c>
    </row>
    <row r="1509" spans="1:11" ht="42" customHeight="1">
      <c r="A1509" s="2" t="s">
        <v>3699</v>
      </c>
      <c r="B1509" s="2" t="s">
        <v>3699</v>
      </c>
      <c r="C1509" s="2" t="s">
        <v>38</v>
      </c>
      <c r="D1509" s="2" t="s">
        <v>39</v>
      </c>
      <c r="E1509" s="5">
        <v>-31252</v>
      </c>
      <c r="F1509" s="3" t="s">
        <v>364</v>
      </c>
      <c r="G1509" s="3" t="s">
        <v>1575</v>
      </c>
      <c r="H1509" s="2" t="s">
        <v>62</v>
      </c>
      <c r="I1509" s="2" t="s">
        <v>3701</v>
      </c>
      <c r="J1509" s="3" t="str">
        <f>HYPERLINK("https://www.boe.es/gazeta/dias/1814/06/07/pdfs/GMD-1814-82.pdf#page=2","Abrir facsímil")</f>
        <v>Abrir facsímil</v>
      </c>
      <c r="K1509" s="3" t="s">
        <v>64</v>
      </c>
    </row>
    <row r="1510" spans="1:11" ht="42" customHeight="1">
      <c r="A1510" s="2" t="s">
        <v>3702</v>
      </c>
      <c r="B1510" s="2" t="s">
        <v>3703</v>
      </c>
      <c r="C1510" s="2" t="s">
        <v>38</v>
      </c>
      <c r="D1510" s="2" t="s">
        <v>39</v>
      </c>
      <c r="E1510" s="5">
        <v>-31376</v>
      </c>
      <c r="F1510" s="3" t="s">
        <v>1954</v>
      </c>
      <c r="G1510" s="3" t="s">
        <v>2546</v>
      </c>
      <c r="H1510" s="2" t="s">
        <v>62</v>
      </c>
      <c r="I1510" s="2" t="s">
        <v>3704</v>
      </c>
      <c r="J1510" s="3" t="str">
        <f>HYPERLINK("https://www.boe.es/gazeta/dias/1814/02/03/pdfs/GRE-1814-16.pdf#page=5","Abrir facsímil")</f>
        <v>Abrir facsímil</v>
      </c>
      <c r="K1510" s="3" t="s">
        <v>64</v>
      </c>
    </row>
    <row r="1511" spans="1:11" ht="42" customHeight="1">
      <c r="A1511" s="2" t="s">
        <v>3702</v>
      </c>
      <c r="B1511" s="2" t="s">
        <v>3703</v>
      </c>
      <c r="C1511" s="2" t="s">
        <v>38</v>
      </c>
      <c r="D1511" s="2" t="s">
        <v>39</v>
      </c>
      <c r="E1511" s="5">
        <v>-31252</v>
      </c>
      <c r="F1511" s="3" t="s">
        <v>364</v>
      </c>
      <c r="G1511" s="3" t="s">
        <v>1575</v>
      </c>
      <c r="H1511" s="2" t="s">
        <v>62</v>
      </c>
      <c r="I1511" s="2" t="s">
        <v>3705</v>
      </c>
      <c r="J1511" s="3" t="str">
        <f>HYPERLINK("https://www.boe.es/gazeta/dias/1814/06/07/pdfs/GMD-1814-82.pdf#page=2","Abrir facsímil")</f>
        <v>Abrir facsímil</v>
      </c>
      <c r="K1511" s="3" t="s">
        <v>64</v>
      </c>
    </row>
    <row r="1512" spans="1:11" ht="42" customHeight="1">
      <c r="A1512" s="2" t="s">
        <v>3702</v>
      </c>
      <c r="B1512" s="2" t="s">
        <v>3703</v>
      </c>
      <c r="C1512" s="2" t="s">
        <v>38</v>
      </c>
      <c r="D1512" s="2" t="s">
        <v>39</v>
      </c>
      <c r="E1512" s="5">
        <v>-31252</v>
      </c>
      <c r="F1512" s="3" t="s">
        <v>364</v>
      </c>
      <c r="G1512" s="3" t="s">
        <v>82</v>
      </c>
      <c r="H1512" s="2" t="s">
        <v>62</v>
      </c>
      <c r="I1512" s="2" t="s">
        <v>3706</v>
      </c>
      <c r="J1512" s="3" t="str">
        <f>HYPERLINK("https://www.boe.es/gazeta/dias/1814/06/07/pdfs/GMD-1814-82.pdf#page=3","Abrir facsímil")</f>
        <v>Abrir facsímil</v>
      </c>
      <c r="K1512" s="3" t="s">
        <v>64</v>
      </c>
    </row>
    <row r="1513" spans="1:11" ht="42" customHeight="1">
      <c r="A1513" s="2" t="s">
        <v>3707</v>
      </c>
      <c r="B1513" s="2" t="s">
        <v>3707</v>
      </c>
      <c r="C1513" s="2" t="s">
        <v>38</v>
      </c>
      <c r="D1513" s="2" t="s">
        <v>39</v>
      </c>
      <c r="E1513" s="5">
        <v>-31168</v>
      </c>
      <c r="F1513" s="3" t="s">
        <v>893</v>
      </c>
      <c r="G1513" s="3" t="s">
        <v>1981</v>
      </c>
      <c r="H1513" s="2" t="s">
        <v>62</v>
      </c>
      <c r="I1513" s="2" t="s">
        <v>3708</v>
      </c>
      <c r="J1513" s="3" t="str">
        <f>HYPERLINK("https://www.boe.es/gazeta/dias/1814/08/30/pdfs/GMD-1814-118.pdf#page=8","Abrir facsímil")</f>
        <v>Abrir facsímil</v>
      </c>
      <c r="K1513" s="3" t="s">
        <v>64</v>
      </c>
    </row>
    <row r="1514" spans="1:11" ht="42" customHeight="1">
      <c r="A1514" s="2" t="s">
        <v>3709</v>
      </c>
      <c r="B1514" s="2" t="s">
        <v>3710</v>
      </c>
      <c r="C1514" s="2" t="s">
        <v>26</v>
      </c>
      <c r="D1514" s="2" t="s">
        <v>27</v>
      </c>
      <c r="E1514" s="5">
        <v>-31264</v>
      </c>
      <c r="F1514" s="3" t="s">
        <v>396</v>
      </c>
      <c r="G1514" s="3" t="s">
        <v>3711</v>
      </c>
      <c r="H1514" s="2" t="s">
        <v>62</v>
      </c>
      <c r="I1514" s="2" t="s">
        <v>3712</v>
      </c>
      <c r="J1514" s="3" t="str">
        <f>HYPERLINK("https://www.boe.es/gazeta/dias/1814/05/26/pdfs/GMD-1814-77.pdf#page=8","Abrir facsímil")</f>
        <v>Abrir facsímil</v>
      </c>
      <c r="K1514" s="3" t="s">
        <v>64</v>
      </c>
    </row>
    <row r="1515" spans="1:11" ht="42" customHeight="1">
      <c r="A1515" s="2" t="s">
        <v>3713</v>
      </c>
      <c r="B1515" s="2" t="s">
        <v>3714</v>
      </c>
      <c r="C1515" s="2" t="s">
        <v>26</v>
      </c>
      <c r="D1515" s="2" t="s">
        <v>27</v>
      </c>
      <c r="E1515" s="5">
        <v>-31154</v>
      </c>
      <c r="F1515" s="3" t="s">
        <v>688</v>
      </c>
      <c r="G1515" s="3" t="s">
        <v>831</v>
      </c>
      <c r="H1515" s="2" t="s">
        <v>62</v>
      </c>
      <c r="I1515" s="2" t="s">
        <v>3715</v>
      </c>
      <c r="J1515" s="3" t="str">
        <f>HYPERLINK("https://www.boe.es/gazeta/dias/1814/09/13/pdfs/GMD-1814-125.pdf#page=3","Abrir facsímil")</f>
        <v>Abrir facsímil</v>
      </c>
      <c r="K1515" s="3" t="s">
        <v>64</v>
      </c>
    </row>
    <row r="1516" spans="1:11" ht="42" customHeight="1">
      <c r="A1516" s="2" t="s">
        <v>3716</v>
      </c>
      <c r="B1516" s="2" t="s">
        <v>3717</v>
      </c>
      <c r="C1516" s="2" t="s">
        <v>38</v>
      </c>
      <c r="D1516" s="2" t="s">
        <v>39</v>
      </c>
      <c r="E1516" s="5">
        <v>-31304</v>
      </c>
      <c r="F1516" s="3" t="s">
        <v>1964</v>
      </c>
      <c r="G1516" s="3" t="s">
        <v>3403</v>
      </c>
      <c r="H1516" s="2" t="s">
        <v>62</v>
      </c>
      <c r="I1516" s="2" t="s">
        <v>3718</v>
      </c>
      <c r="J1516" s="3" t="str">
        <f>HYPERLINK("https://www.boe.es/gazeta/dias/1814/04/16/pdfs/GRE-1814-55.pdf#page=8","Abrir facsímil")</f>
        <v>Abrir facsímil</v>
      </c>
      <c r="K1516" s="3" t="s">
        <v>64</v>
      </c>
    </row>
    <row r="1517" spans="1:11" ht="42" customHeight="1">
      <c r="A1517" s="2" t="s">
        <v>3719</v>
      </c>
      <c r="B1517" s="2" t="s">
        <v>3720</v>
      </c>
      <c r="C1517" s="2" t="s">
        <v>26</v>
      </c>
      <c r="D1517" s="2" t="s">
        <v>27</v>
      </c>
      <c r="E1517" s="5">
        <v>-31192</v>
      </c>
      <c r="F1517" s="3" t="s">
        <v>388</v>
      </c>
      <c r="G1517" s="3" t="s">
        <v>20</v>
      </c>
      <c r="H1517" s="2" t="s">
        <v>21</v>
      </c>
      <c r="I1517" s="2" t="s">
        <v>3721</v>
      </c>
      <c r="J1517" s="3" t="str">
        <f>HYPERLINK("https://www.boe.es/gazeta/dias/1814/08/06/pdfs/GMD-1814-108.pdf#page=7","Abrir facsímil")</f>
        <v>Abrir facsímil</v>
      </c>
      <c r="K1517" s="3" t="s">
        <v>23</v>
      </c>
    </row>
    <row r="1518" spans="1:11" ht="42" customHeight="1">
      <c r="A1518" s="2" t="s">
        <v>3722</v>
      </c>
      <c r="B1518" s="2" t="s">
        <v>3723</v>
      </c>
      <c r="C1518" s="2" t="s">
        <v>26</v>
      </c>
      <c r="D1518" s="2" t="s">
        <v>27</v>
      </c>
      <c r="E1518" s="5">
        <v>-31241</v>
      </c>
      <c r="F1518" s="3" t="s">
        <v>703</v>
      </c>
      <c r="G1518" s="3" t="s">
        <v>704</v>
      </c>
      <c r="H1518" s="2" t="s">
        <v>21</v>
      </c>
      <c r="I1518" s="2" t="s">
        <v>3724</v>
      </c>
      <c r="J1518" s="3" t="str">
        <f>HYPERLINK("https://www.boe.es/gazeta/dias/1814/06/18/pdfs/GMD-1814-87.pdf#page=10","Abrir facsímil")</f>
        <v>Abrir facsímil</v>
      </c>
      <c r="K1518" s="3" t="s">
        <v>23</v>
      </c>
    </row>
    <row r="1519" spans="1:11" ht="42" customHeight="1">
      <c r="A1519" s="2" t="s">
        <v>3725</v>
      </c>
      <c r="B1519" s="2" t="s">
        <v>3726</v>
      </c>
      <c r="C1519" s="2" t="s">
        <v>38</v>
      </c>
      <c r="D1519" s="2" t="s">
        <v>314</v>
      </c>
      <c r="E1519" s="5">
        <v>-31328</v>
      </c>
      <c r="F1519" s="3" t="s">
        <v>442</v>
      </c>
      <c r="G1519" s="3" t="s">
        <v>82</v>
      </c>
      <c r="H1519" s="2" t="s">
        <v>21</v>
      </c>
      <c r="I1519" s="2" t="s">
        <v>3727</v>
      </c>
      <c r="J1519" s="3" t="str">
        <f>HYPERLINK("https://www.boe.es/gazeta/dias/1814/03/23/pdfs/GRE-1814-40E.pdf#page=3","Abrir facsímil")</f>
        <v>Abrir facsímil</v>
      </c>
      <c r="K1519" s="3" t="s">
        <v>23</v>
      </c>
    </row>
    <row r="1520" spans="1:11" ht="42" customHeight="1">
      <c r="A1520" s="2" t="s">
        <v>3728</v>
      </c>
      <c r="B1520" s="2" t="s">
        <v>3729</v>
      </c>
      <c r="C1520" s="2" t="s">
        <v>38</v>
      </c>
      <c r="D1520" s="2" t="s">
        <v>39</v>
      </c>
      <c r="E1520" s="5">
        <v>-31087</v>
      </c>
      <c r="F1520" s="3" t="s">
        <v>118</v>
      </c>
      <c r="G1520" s="3" t="s">
        <v>3730</v>
      </c>
      <c r="H1520" s="2" t="s">
        <v>21</v>
      </c>
      <c r="I1520" s="2" t="s">
        <v>3731</v>
      </c>
      <c r="J1520" s="3" t="str">
        <f>HYPERLINK("https://www.boe.es/gazeta/dias/1814/11/19/pdfs/GMD-1814-154.pdf#page=7","Abrir facsímil")</f>
        <v>Abrir facsímil</v>
      </c>
      <c r="K1520" s="3" t="s">
        <v>23</v>
      </c>
    </row>
    <row r="1521" spans="1:11" ht="42" customHeight="1">
      <c r="A1521" s="2" t="s">
        <v>3732</v>
      </c>
      <c r="B1521" s="2" t="s">
        <v>3733</v>
      </c>
      <c r="C1521" s="2" t="s">
        <v>144</v>
      </c>
      <c r="D1521" s="2" t="s">
        <v>18</v>
      </c>
      <c r="E1521" s="5">
        <v>-31315</v>
      </c>
      <c r="F1521" s="3" t="s">
        <v>645</v>
      </c>
      <c r="G1521" s="3" t="s">
        <v>41</v>
      </c>
      <c r="H1521" s="2" t="s">
        <v>21</v>
      </c>
      <c r="I1521" s="2" t="s">
        <v>3734</v>
      </c>
      <c r="J1521" s="3" t="str">
        <f>HYPERLINK("https://www.boe.es/gazeta/dias/1814/04/05/pdfs/GRE-1814-49.pdf#page=4","Abrir facsímil")</f>
        <v>Abrir facsímil</v>
      </c>
      <c r="K1521" s="3" t="s">
        <v>23</v>
      </c>
    </row>
    <row r="1522" spans="1:11" ht="42" customHeight="1">
      <c r="A1522" s="2" t="s">
        <v>3735</v>
      </c>
      <c r="B1522" s="2" t="s">
        <v>3736</v>
      </c>
      <c r="C1522" s="2" t="s">
        <v>38</v>
      </c>
      <c r="D1522" s="2" t="s">
        <v>39</v>
      </c>
      <c r="E1522" s="5">
        <v>-31369</v>
      </c>
      <c r="F1522" s="3" t="s">
        <v>695</v>
      </c>
      <c r="G1522" s="3" t="s">
        <v>3737</v>
      </c>
      <c r="H1522" s="2" t="s">
        <v>21</v>
      </c>
      <c r="I1522" s="2" t="s">
        <v>3738</v>
      </c>
      <c r="J1522" s="3" t="str">
        <f>HYPERLINK("https://www.boe.es/gazeta/dias/1814/02/10/pdfs/GRE-1814-19.pdf#page=6","Abrir facsímil")</f>
        <v>Abrir facsímil</v>
      </c>
      <c r="K1522" s="3" t="s">
        <v>23</v>
      </c>
    </row>
    <row r="1523" spans="1:11" ht="42" customHeight="1">
      <c r="A1523" s="2" t="s">
        <v>3739</v>
      </c>
      <c r="B1523" s="2" t="s">
        <v>3740</v>
      </c>
      <c r="C1523" s="2" t="s">
        <v>17</v>
      </c>
      <c r="D1523" s="2" t="s">
        <v>314</v>
      </c>
      <c r="E1523" s="5">
        <v>-31296</v>
      </c>
      <c r="F1523" s="3" t="s">
        <v>315</v>
      </c>
      <c r="G1523" s="3" t="s">
        <v>57</v>
      </c>
      <c r="H1523" s="2" t="s">
        <v>21</v>
      </c>
      <c r="I1523" s="2" t="s">
        <v>3741</v>
      </c>
      <c r="J1523" s="3" t="str">
        <f>HYPERLINK("https://www.boe.es/gazeta/dias/1814/04/24/pdfs/GRE-1814-60E.pdf#page=6","Abrir facsímil")</f>
        <v>Abrir facsímil</v>
      </c>
      <c r="K1523" s="3" t="s">
        <v>23</v>
      </c>
    </row>
    <row r="1524" spans="1:11" ht="42" customHeight="1">
      <c r="A1524" s="2" t="s">
        <v>3742</v>
      </c>
      <c r="B1524" s="2" t="s">
        <v>3743</v>
      </c>
      <c r="C1524" s="2" t="s">
        <v>26</v>
      </c>
      <c r="D1524" s="2" t="s">
        <v>27</v>
      </c>
      <c r="E1524" s="5">
        <v>-31355</v>
      </c>
      <c r="F1524" s="3" t="s">
        <v>50</v>
      </c>
      <c r="G1524" s="3" t="s">
        <v>20</v>
      </c>
      <c r="H1524" s="2" t="s">
        <v>21</v>
      </c>
      <c r="I1524" s="2" t="s">
        <v>3744</v>
      </c>
      <c r="J1524" s="3" t="str">
        <f>HYPERLINK("https://www.boe.es/gazeta/dias/1814/02/24/pdfs/GRE-1814-26.pdf#page=7","Abrir facsímil")</f>
        <v>Abrir facsímil</v>
      </c>
      <c r="K1524" s="3" t="s">
        <v>23</v>
      </c>
    </row>
    <row r="1525" spans="1:11" ht="42" customHeight="1">
      <c r="A1525" s="2" t="s">
        <v>3745</v>
      </c>
      <c r="B1525" s="2" t="s">
        <v>3746</v>
      </c>
      <c r="C1525" s="2" t="s">
        <v>38</v>
      </c>
      <c r="D1525" s="2" t="s">
        <v>39</v>
      </c>
      <c r="E1525" s="5">
        <v>-31208</v>
      </c>
      <c r="F1525" s="3" t="s">
        <v>509</v>
      </c>
      <c r="G1525" s="3" t="s">
        <v>20</v>
      </c>
      <c r="H1525" s="2" t="s">
        <v>21</v>
      </c>
      <c r="I1525" s="2" t="s">
        <v>3747</v>
      </c>
      <c r="J1525" s="3" t="str">
        <f>HYPERLINK("https://www.boe.es/gazeta/dias/1814/07/21/pdfs/GMD-1814-101.pdf#page=7","Abrir facsímil")</f>
        <v>Abrir facsímil</v>
      </c>
      <c r="K1525" s="3" t="s">
        <v>23</v>
      </c>
    </row>
    <row r="1526" spans="1:11" ht="42" customHeight="1">
      <c r="A1526" s="2" t="s">
        <v>3748</v>
      </c>
      <c r="B1526" s="2" t="s">
        <v>3749</v>
      </c>
      <c r="C1526" s="2" t="s">
        <v>17</v>
      </c>
      <c r="D1526" s="2" t="s">
        <v>18</v>
      </c>
      <c r="E1526" s="5">
        <v>-31348</v>
      </c>
      <c r="F1526" s="3" t="s">
        <v>898</v>
      </c>
      <c r="G1526" s="3" t="s">
        <v>961</v>
      </c>
      <c r="H1526" s="2" t="s">
        <v>62</v>
      </c>
      <c r="I1526" s="2" t="s">
        <v>3750</v>
      </c>
      <c r="J1526" s="3" t="str">
        <f>HYPERLINK("https://www.boe.es/gazeta/dias/1814/03/03/pdfs/GRE-1814-29.pdf#page=7","Abrir facsímil")</f>
        <v>Abrir facsímil</v>
      </c>
      <c r="K1526" s="3" t="s">
        <v>64</v>
      </c>
    </row>
    <row r="1527" spans="1:11" ht="42" customHeight="1">
      <c r="A1527" s="2" t="s">
        <v>3751</v>
      </c>
      <c r="B1527" s="2" t="s">
        <v>3752</v>
      </c>
      <c r="C1527" s="2" t="s">
        <v>45</v>
      </c>
      <c r="D1527" s="2" t="s">
        <v>18</v>
      </c>
      <c r="E1527" s="5">
        <v>-31129</v>
      </c>
      <c r="F1527" s="3" t="s">
        <v>418</v>
      </c>
      <c r="G1527" s="3" t="s">
        <v>20</v>
      </c>
      <c r="H1527" s="2" t="s">
        <v>62</v>
      </c>
      <c r="I1527" s="2" t="s">
        <v>3753</v>
      </c>
      <c r="J1527" s="3" t="str">
        <f>HYPERLINK("https://www.boe.es/gazeta/dias/1814/10/08/pdfs/GMD-1814-136.pdf#page=7","Abrir facsímil")</f>
        <v>Abrir facsímil</v>
      </c>
      <c r="K1527" s="3" t="s">
        <v>64</v>
      </c>
    </row>
    <row r="1528" spans="1:11" ht="42" customHeight="1">
      <c r="A1528" s="2" t="s">
        <v>3754</v>
      </c>
      <c r="B1528" s="2" t="s">
        <v>3754</v>
      </c>
      <c r="C1528" s="2" t="s">
        <v>38</v>
      </c>
      <c r="D1528" s="2" t="s">
        <v>314</v>
      </c>
      <c r="E1528" s="5">
        <v>-31294</v>
      </c>
      <c r="F1528" s="3" t="s">
        <v>2505</v>
      </c>
      <c r="G1528" s="3" t="s">
        <v>99</v>
      </c>
      <c r="H1528" s="2" t="s">
        <v>62</v>
      </c>
      <c r="I1528" s="2" t="s">
        <v>3755</v>
      </c>
      <c r="J1528" s="3" t="str">
        <f>HYPERLINK("https://www.boe.es/gazeta/dias/1814/04/26/pdfs/GRE-1814-62E.pdf#page=5","Abrir facsímil")</f>
        <v>Abrir facsímil</v>
      </c>
      <c r="K1528" s="3" t="s">
        <v>64</v>
      </c>
    </row>
    <row r="1529" spans="1:11" ht="42" customHeight="1">
      <c r="A1529" s="2" t="s">
        <v>3754</v>
      </c>
      <c r="B1529" s="2" t="s">
        <v>3754</v>
      </c>
      <c r="C1529" s="2" t="s">
        <v>32</v>
      </c>
      <c r="D1529" s="2" t="s">
        <v>18</v>
      </c>
      <c r="E1529" s="5">
        <v>-31185</v>
      </c>
      <c r="F1529" s="3" t="s">
        <v>1238</v>
      </c>
      <c r="G1529" s="3" t="s">
        <v>82</v>
      </c>
      <c r="H1529" s="2" t="s">
        <v>62</v>
      </c>
      <c r="I1529" s="2" t="s">
        <v>3756</v>
      </c>
      <c r="J1529" s="3" t="str">
        <f>HYPERLINK("https://www.boe.es/gazeta/dias/1814/08/13/pdfs/GMD-1814-111.pdf#page=3","Abrir facsímil")</f>
        <v>Abrir facsímil</v>
      </c>
      <c r="K1529" s="3" t="s">
        <v>64</v>
      </c>
    </row>
    <row r="1530" spans="1:11" ht="42" customHeight="1">
      <c r="A1530" s="2" t="s">
        <v>3757</v>
      </c>
      <c r="B1530" s="2" t="s">
        <v>3758</v>
      </c>
      <c r="C1530" s="2" t="s">
        <v>144</v>
      </c>
      <c r="D1530" s="2" t="s">
        <v>18</v>
      </c>
      <c r="E1530" s="5">
        <v>-31262</v>
      </c>
      <c r="F1530" s="3" t="s">
        <v>254</v>
      </c>
      <c r="G1530" s="3" t="s">
        <v>666</v>
      </c>
      <c r="H1530" s="2" t="s">
        <v>62</v>
      </c>
      <c r="I1530" s="2" t="s">
        <v>3759</v>
      </c>
      <c r="J1530" s="3" t="str">
        <f>HYPERLINK("https://www.boe.es/gazeta/dias/1814/05/28/pdfs/GMD-1814-78.pdf#page=8","Abrir facsímil")</f>
        <v>Abrir facsímil</v>
      </c>
      <c r="K1530" s="3" t="s">
        <v>64</v>
      </c>
    </row>
    <row r="1531" spans="1:11" ht="42" customHeight="1">
      <c r="A1531" s="2" t="s">
        <v>3760</v>
      </c>
      <c r="B1531" s="2" t="s">
        <v>3760</v>
      </c>
      <c r="C1531" s="2" t="s">
        <v>17</v>
      </c>
      <c r="D1531" s="2" t="s">
        <v>18</v>
      </c>
      <c r="E1531" s="5">
        <v>-31371</v>
      </c>
      <c r="F1531" s="3" t="s">
        <v>1017</v>
      </c>
      <c r="G1531" s="3" t="s">
        <v>41</v>
      </c>
      <c r="H1531" s="2" t="s">
        <v>62</v>
      </c>
      <c r="I1531" s="2" t="s">
        <v>3761</v>
      </c>
      <c r="J1531" s="3" t="str">
        <f>HYPERLINK("https://www.boe.es/gazeta/dias/1814/02/08/pdfs/GRE-1814-18.pdf#page=4","Abrir facsímil")</f>
        <v>Abrir facsímil</v>
      </c>
      <c r="K1531" s="3" t="s">
        <v>64</v>
      </c>
    </row>
    <row r="1532" spans="1:11" ht="42" customHeight="1">
      <c r="A1532" s="2" t="s">
        <v>3762</v>
      </c>
      <c r="B1532" s="2" t="s">
        <v>3762</v>
      </c>
      <c r="C1532" s="2" t="s">
        <v>38</v>
      </c>
      <c r="D1532" s="2" t="s">
        <v>39</v>
      </c>
      <c r="E1532" s="5">
        <v>-31346</v>
      </c>
      <c r="F1532" s="3" t="s">
        <v>78</v>
      </c>
      <c r="G1532" s="3" t="s">
        <v>57</v>
      </c>
      <c r="H1532" s="2" t="s">
        <v>62</v>
      </c>
      <c r="I1532" s="2" t="s">
        <v>3763</v>
      </c>
      <c r="J1532" s="3" t="str">
        <f>HYPERLINK("https://www.boe.es/gazeta/dias/1814/03/05/pdfs/GRE-1814-30.pdf#page=6","Abrir facsímil")</f>
        <v>Abrir facsímil</v>
      </c>
      <c r="K1532" s="3" t="s">
        <v>64</v>
      </c>
    </row>
    <row r="1533" spans="1:11" ht="42" customHeight="1">
      <c r="A1533" s="2" t="s">
        <v>3764</v>
      </c>
      <c r="B1533" s="2" t="s">
        <v>3765</v>
      </c>
      <c r="C1533" s="2" t="s">
        <v>38</v>
      </c>
      <c r="D1533" s="2" t="s">
        <v>39</v>
      </c>
      <c r="E1533" s="5">
        <v>-31266</v>
      </c>
      <c r="F1533" s="3" t="s">
        <v>191</v>
      </c>
      <c r="G1533" s="3" t="s">
        <v>107</v>
      </c>
      <c r="H1533" s="2" t="s">
        <v>62</v>
      </c>
      <c r="I1533" s="2" t="s">
        <v>3766</v>
      </c>
      <c r="J1533" s="3" t="str">
        <f>HYPERLINK("https://www.boe.es/gazeta/dias/1814/05/24/pdfs/GMD-1814-76.pdf#page=1","Abrir facsímil")</f>
        <v>Abrir facsímil</v>
      </c>
      <c r="K1533" s="3" t="s">
        <v>64</v>
      </c>
    </row>
    <row r="1534" spans="1:11" ht="42" customHeight="1">
      <c r="A1534" s="2" t="s">
        <v>3767</v>
      </c>
      <c r="B1534" s="2" t="s">
        <v>3768</v>
      </c>
      <c r="C1534" s="2" t="s">
        <v>26</v>
      </c>
      <c r="D1534" s="2" t="s">
        <v>27</v>
      </c>
      <c r="E1534" s="5">
        <v>-31140</v>
      </c>
      <c r="F1534" s="3" t="s">
        <v>525</v>
      </c>
      <c r="G1534" s="3" t="s">
        <v>99</v>
      </c>
      <c r="H1534" s="2" t="s">
        <v>21</v>
      </c>
      <c r="I1534" s="2" t="s">
        <v>3769</v>
      </c>
      <c r="J1534" s="3" t="str">
        <f>HYPERLINK("https://www.boe.es/gazeta/dias/1814/09/27/pdfs/GMD-1814-131.pdf#page=5","Abrir facsímil")</f>
        <v>Abrir facsímil</v>
      </c>
      <c r="K1534" s="3" t="s">
        <v>23</v>
      </c>
    </row>
    <row r="1535" spans="1:11" ht="42" customHeight="1">
      <c r="A1535" s="2" t="s">
        <v>3770</v>
      </c>
      <c r="B1535" s="2" t="s">
        <v>3771</v>
      </c>
      <c r="C1535" s="2" t="s">
        <v>38</v>
      </c>
      <c r="D1535" s="2" t="s">
        <v>39</v>
      </c>
      <c r="E1535" s="5">
        <v>-31318</v>
      </c>
      <c r="F1535" s="3" t="s">
        <v>400</v>
      </c>
      <c r="G1535" s="3" t="s">
        <v>52</v>
      </c>
      <c r="H1535" s="2" t="s">
        <v>62</v>
      </c>
      <c r="I1535" s="2" t="s">
        <v>3772</v>
      </c>
      <c r="J1535" s="3" t="str">
        <f>HYPERLINK("https://www.boe.es/gazeta/dias/1814/04/02/pdfs/GRE-1814-47.pdf#page=8","Abrir facsímil")</f>
        <v>Abrir facsímil</v>
      </c>
      <c r="K1535" s="3" t="s">
        <v>64</v>
      </c>
    </row>
    <row r="1536" spans="1:11" ht="42" customHeight="1">
      <c r="A1536" s="2" t="s">
        <v>3773</v>
      </c>
      <c r="B1536" s="2" t="s">
        <v>3774</v>
      </c>
      <c r="C1536" s="2" t="s">
        <v>38</v>
      </c>
      <c r="D1536" s="2" t="s">
        <v>39</v>
      </c>
      <c r="E1536" s="5">
        <v>-31119</v>
      </c>
      <c r="F1536" s="3" t="s">
        <v>136</v>
      </c>
      <c r="G1536" s="3" t="s">
        <v>704</v>
      </c>
      <c r="H1536" s="2" t="s">
        <v>62</v>
      </c>
      <c r="I1536" s="2" t="s">
        <v>3775</v>
      </c>
      <c r="J1536" s="3" t="str">
        <f>HYPERLINK("https://www.boe.es/gazeta/dias/1814/10/18/pdfs/GMD-1814-140.pdf#page=10","Abrir facsímil")</f>
        <v>Abrir facsímil</v>
      </c>
      <c r="K1536" s="3" t="s">
        <v>64</v>
      </c>
    </row>
    <row r="1537" spans="1:11" ht="42" customHeight="1">
      <c r="A1537" s="2" t="s">
        <v>3776</v>
      </c>
      <c r="B1537" s="2" t="s">
        <v>3777</v>
      </c>
      <c r="C1537" s="2" t="s">
        <v>38</v>
      </c>
      <c r="D1537" s="2" t="s">
        <v>39</v>
      </c>
      <c r="E1537" s="5">
        <v>-31194</v>
      </c>
      <c r="F1537" s="3" t="s">
        <v>333</v>
      </c>
      <c r="G1537" s="3" t="s">
        <v>57</v>
      </c>
      <c r="H1537" s="2" t="s">
        <v>62</v>
      </c>
      <c r="I1537" s="2" t="s">
        <v>3778</v>
      </c>
      <c r="J1537" s="3" t="str">
        <f>HYPERLINK("https://www.boe.es/gazeta/dias/1814/08/04/pdfs/GMD-1814-107.pdf#page=6","Abrir facsímil")</f>
        <v>Abrir facsímil</v>
      </c>
      <c r="K1537" s="3" t="s">
        <v>64</v>
      </c>
    </row>
    <row r="1538" spans="1:11" ht="42" customHeight="1">
      <c r="A1538" s="2" t="s">
        <v>3779</v>
      </c>
      <c r="B1538" s="2" t="s">
        <v>3780</v>
      </c>
      <c r="C1538" s="2" t="s">
        <v>17</v>
      </c>
      <c r="D1538" s="2" t="s">
        <v>18</v>
      </c>
      <c r="E1538" s="5">
        <v>-31117</v>
      </c>
      <c r="F1538" s="3" t="s">
        <v>172</v>
      </c>
      <c r="G1538" s="3" t="s">
        <v>173</v>
      </c>
      <c r="H1538" s="2" t="s">
        <v>62</v>
      </c>
      <c r="I1538" s="2" t="s">
        <v>3781</v>
      </c>
      <c r="J1538" s="3" t="str">
        <f>HYPERLINK("https://www.boe.es/gazeta/dias/1814/10/20/pdfs/GMD-1814-141.pdf#page=7","Abrir facsímil")</f>
        <v>Abrir facsímil</v>
      </c>
      <c r="K1538" s="3" t="s">
        <v>64</v>
      </c>
    </row>
    <row r="1539" spans="1:11" ht="42" customHeight="1">
      <c r="A1539" s="2" t="s">
        <v>3782</v>
      </c>
      <c r="B1539" s="2" t="s">
        <v>3783</v>
      </c>
      <c r="C1539" s="2" t="s">
        <v>26</v>
      </c>
      <c r="D1539" s="2" t="s">
        <v>27</v>
      </c>
      <c r="E1539" s="5">
        <v>-31063</v>
      </c>
      <c r="F1539" s="3" t="s">
        <v>649</v>
      </c>
      <c r="G1539" s="3" t="s">
        <v>57</v>
      </c>
      <c r="H1539" s="2" t="s">
        <v>62</v>
      </c>
      <c r="I1539" s="2" t="s">
        <v>3784</v>
      </c>
      <c r="J1539" s="3" t="str">
        <f>HYPERLINK("https://www.boe.es/gazeta/dias/1814/12/13/pdfs/GMD-1814-164.pdf#page=6","Abrir facsímil")</f>
        <v>Abrir facsímil</v>
      </c>
      <c r="K1539" s="3" t="s">
        <v>64</v>
      </c>
    </row>
    <row r="1540" spans="1:11" ht="42" customHeight="1">
      <c r="A1540" s="2" t="s">
        <v>3785</v>
      </c>
      <c r="B1540" s="2" t="s">
        <v>3786</v>
      </c>
      <c r="C1540" s="2" t="s">
        <v>38</v>
      </c>
      <c r="D1540" s="2" t="s">
        <v>39</v>
      </c>
      <c r="E1540" s="5">
        <v>-31213</v>
      </c>
      <c r="F1540" s="3" t="s">
        <v>276</v>
      </c>
      <c r="G1540" s="3" t="s">
        <v>41</v>
      </c>
      <c r="H1540" s="2" t="s">
        <v>62</v>
      </c>
      <c r="I1540" s="2" t="s">
        <v>3787</v>
      </c>
      <c r="J1540" s="3" t="str">
        <f>HYPERLINK("https://www.boe.es/gazeta/dias/1814/07/16/pdfs/GMD-1814-99.pdf#page=4","Abrir facsímil")</f>
        <v>Abrir facsímil</v>
      </c>
      <c r="K1540" s="3" t="s">
        <v>64</v>
      </c>
    </row>
    <row r="1541" spans="1:11" ht="42" customHeight="1">
      <c r="A1541" s="2" t="s">
        <v>3788</v>
      </c>
      <c r="B1541" s="2" t="s">
        <v>3789</v>
      </c>
      <c r="C1541" s="2" t="s">
        <v>26</v>
      </c>
      <c r="D1541" s="2" t="s">
        <v>27</v>
      </c>
      <c r="E1541" s="5">
        <v>-31194</v>
      </c>
      <c r="F1541" s="3" t="s">
        <v>333</v>
      </c>
      <c r="G1541" s="3" t="s">
        <v>3000</v>
      </c>
      <c r="H1541" s="2" t="s">
        <v>62</v>
      </c>
      <c r="I1541" s="2" t="s">
        <v>3790</v>
      </c>
      <c r="J1541" s="3" t="str">
        <f>HYPERLINK("https://www.boe.es/gazeta/dias/1814/08/04/pdfs/GMD-1814-107.pdf#page=4","Abrir facsímil")</f>
        <v>Abrir facsímil</v>
      </c>
      <c r="K1541" s="3" t="s">
        <v>64</v>
      </c>
    </row>
    <row r="1542" spans="1:11" ht="42" customHeight="1">
      <c r="A1542" s="2" t="s">
        <v>3791</v>
      </c>
      <c r="B1542" s="2" t="s">
        <v>3792</v>
      </c>
      <c r="C1542" s="2" t="s">
        <v>38</v>
      </c>
      <c r="D1542" s="2" t="s">
        <v>39</v>
      </c>
      <c r="E1542" s="5">
        <v>-31133</v>
      </c>
      <c r="F1542" s="3" t="s">
        <v>184</v>
      </c>
      <c r="G1542" s="3" t="s">
        <v>20</v>
      </c>
      <c r="H1542" s="2" t="s">
        <v>62</v>
      </c>
      <c r="I1542" s="2" t="s">
        <v>3793</v>
      </c>
      <c r="J1542" s="3" t="str">
        <f>HYPERLINK("https://www.boe.es/gazeta/dias/1814/10/04/pdfs/GMD-1814-134.pdf#page=7","Abrir facsímil")</f>
        <v>Abrir facsímil</v>
      </c>
      <c r="K1542" s="3" t="s">
        <v>64</v>
      </c>
    </row>
    <row r="1543" spans="1:11" ht="42" customHeight="1">
      <c r="A1543" s="2" t="s">
        <v>3794</v>
      </c>
      <c r="B1543" s="2" t="s">
        <v>3795</v>
      </c>
      <c r="C1543" s="2" t="s">
        <v>38</v>
      </c>
      <c r="D1543" s="2" t="s">
        <v>39</v>
      </c>
      <c r="E1543" s="5">
        <v>-31182</v>
      </c>
      <c r="F1543" s="3" t="s">
        <v>19</v>
      </c>
      <c r="G1543" s="3" t="s">
        <v>57</v>
      </c>
      <c r="H1543" s="2" t="s">
        <v>62</v>
      </c>
      <c r="I1543" s="2" t="s">
        <v>3796</v>
      </c>
      <c r="J1543" s="3" t="str">
        <f>HYPERLINK("https://www.boe.es/gazeta/dias/1814/08/16/pdfs/GMD-1814-112.pdf#page=6","Abrir facsímil")</f>
        <v>Abrir facsímil</v>
      </c>
      <c r="K1543" s="3" t="s">
        <v>64</v>
      </c>
    </row>
    <row r="1544" spans="1:11" ht="42" customHeight="1">
      <c r="A1544" s="2" t="s">
        <v>3794</v>
      </c>
      <c r="B1544" s="2" t="s">
        <v>3795</v>
      </c>
      <c r="C1544" s="2" t="s">
        <v>26</v>
      </c>
      <c r="D1544" s="2" t="s">
        <v>27</v>
      </c>
      <c r="E1544" s="5">
        <v>-31171</v>
      </c>
      <c r="F1544" s="3" t="s">
        <v>157</v>
      </c>
      <c r="G1544" s="3" t="s">
        <v>158</v>
      </c>
      <c r="H1544" s="2" t="s">
        <v>62</v>
      </c>
      <c r="I1544" s="2" t="s">
        <v>3797</v>
      </c>
      <c r="J1544" s="3" t="str">
        <f>HYPERLINK("https://www.boe.es/gazeta/dias/1814/08/27/pdfs/GMD-1814-117.pdf#page=7","Abrir facsímil")</f>
        <v>Abrir facsímil</v>
      </c>
      <c r="K1544" s="3" t="s">
        <v>64</v>
      </c>
    </row>
    <row r="1545" spans="1:11" ht="42" customHeight="1">
      <c r="A1545" s="2" t="s">
        <v>3798</v>
      </c>
      <c r="B1545" s="2" t="s">
        <v>3798</v>
      </c>
      <c r="C1545" s="2" t="s">
        <v>38</v>
      </c>
      <c r="D1545" s="2" t="s">
        <v>39</v>
      </c>
      <c r="E1545" s="5">
        <v>-31395</v>
      </c>
      <c r="F1545" s="3" t="s">
        <v>662</v>
      </c>
      <c r="G1545" s="3" t="s">
        <v>107</v>
      </c>
      <c r="H1545" s="2" t="s">
        <v>62</v>
      </c>
      <c r="I1545" s="2" t="s">
        <v>3799</v>
      </c>
      <c r="J1545" s="3" t="str">
        <f>HYPERLINK("https://www.boe.es/gazeta/dias/1814/01/15/pdfs/GRE-1814-8.pdf#page=1","Abrir facsímil")</f>
        <v>Abrir facsímil</v>
      </c>
      <c r="K1545" s="3" t="s">
        <v>64</v>
      </c>
    </row>
    <row r="1546" spans="1:11" ht="42" customHeight="1">
      <c r="A1546" s="2" t="s">
        <v>3800</v>
      </c>
      <c r="B1546" s="2" t="s">
        <v>3800</v>
      </c>
      <c r="C1546" s="2" t="s">
        <v>38</v>
      </c>
      <c r="D1546" s="2" t="s">
        <v>39</v>
      </c>
      <c r="E1546" s="5">
        <v>-31390</v>
      </c>
      <c r="F1546" s="3" t="s">
        <v>349</v>
      </c>
      <c r="G1546" s="3" t="s">
        <v>82</v>
      </c>
      <c r="H1546" s="2" t="s">
        <v>62</v>
      </c>
      <c r="I1546" s="2" t="s">
        <v>3801</v>
      </c>
      <c r="J1546" s="3" t="str">
        <f>HYPERLINK("https://www.boe.es/gazeta/dias/1814/01/20/pdfs/GRE-1814-10.pdf#page=3","Abrir facsímil")</f>
        <v>Abrir facsímil</v>
      </c>
      <c r="K1546" s="3" t="s">
        <v>64</v>
      </c>
    </row>
    <row r="1547" spans="1:11" ht="42" customHeight="1">
      <c r="A1547" s="2" t="s">
        <v>3802</v>
      </c>
      <c r="B1547" s="2" t="s">
        <v>3803</v>
      </c>
      <c r="C1547" s="2" t="s">
        <v>17</v>
      </c>
      <c r="D1547" s="2" t="s">
        <v>18</v>
      </c>
      <c r="E1547" s="5">
        <v>-31119</v>
      </c>
      <c r="F1547" s="3" t="s">
        <v>136</v>
      </c>
      <c r="G1547" s="3" t="s">
        <v>384</v>
      </c>
      <c r="H1547" s="2" t="s">
        <v>62</v>
      </c>
      <c r="I1547" s="2" t="s">
        <v>3804</v>
      </c>
      <c r="J1547" s="3" t="str">
        <f>HYPERLINK("https://www.boe.es/gazeta/dias/1814/10/18/pdfs/GMD-1814-140.pdf#page=11","Abrir facsímil")</f>
        <v>Abrir facsímil</v>
      </c>
      <c r="K1547" s="3" t="s">
        <v>64</v>
      </c>
    </row>
    <row r="1548" spans="1:11" ht="42" customHeight="1">
      <c r="A1548" s="2" t="s">
        <v>3805</v>
      </c>
      <c r="B1548" s="2" t="s">
        <v>3805</v>
      </c>
      <c r="C1548" s="2" t="s">
        <v>38</v>
      </c>
      <c r="D1548" s="2" t="s">
        <v>39</v>
      </c>
      <c r="E1548" s="5">
        <v>-31350</v>
      </c>
      <c r="F1548" s="3" t="s">
        <v>377</v>
      </c>
      <c r="G1548" s="3" t="s">
        <v>107</v>
      </c>
      <c r="H1548" s="2" t="s">
        <v>62</v>
      </c>
      <c r="I1548" s="2" t="s">
        <v>3806</v>
      </c>
      <c r="J1548" s="3" t="str">
        <f>HYPERLINK("https://www.boe.es/gazeta/dias/1814/03/01/pdfs/GRE-1814-28.pdf#page=1","Abrir facsímil")</f>
        <v>Abrir facsímil</v>
      </c>
      <c r="K1548" s="3" t="s">
        <v>64</v>
      </c>
    </row>
    <row r="1549" spans="1:11" ht="42" customHeight="1">
      <c r="A1549" s="2" t="s">
        <v>3807</v>
      </c>
      <c r="B1549" s="2" t="s">
        <v>3807</v>
      </c>
      <c r="C1549" s="2" t="s">
        <v>38</v>
      </c>
      <c r="D1549" s="2" t="s">
        <v>39</v>
      </c>
      <c r="E1549" s="5">
        <v>-31322</v>
      </c>
      <c r="F1549" s="3" t="s">
        <v>114</v>
      </c>
      <c r="G1549" s="3" t="s">
        <v>57</v>
      </c>
      <c r="H1549" s="2" t="s">
        <v>62</v>
      </c>
      <c r="I1549" s="2" t="s">
        <v>3808</v>
      </c>
      <c r="J1549" s="3" t="str">
        <f>HYPERLINK("https://www.boe.es/gazeta/dias/1814/03/29/pdfs/GRE-1814-44.pdf#page=6","Abrir facsímil")</f>
        <v>Abrir facsímil</v>
      </c>
      <c r="K1549" s="3" t="s">
        <v>64</v>
      </c>
    </row>
    <row r="1550" spans="1:11" ht="42" customHeight="1">
      <c r="A1550" s="2" t="s">
        <v>3809</v>
      </c>
      <c r="B1550" s="2" t="s">
        <v>3809</v>
      </c>
      <c r="C1550" s="2" t="s">
        <v>38</v>
      </c>
      <c r="D1550" s="2" t="s">
        <v>39</v>
      </c>
      <c r="E1550" s="5">
        <v>-31360</v>
      </c>
      <c r="F1550" s="3" t="s">
        <v>480</v>
      </c>
      <c r="G1550" s="3" t="s">
        <v>107</v>
      </c>
      <c r="H1550" s="2" t="s">
        <v>62</v>
      </c>
      <c r="I1550" s="2" t="s">
        <v>3810</v>
      </c>
      <c r="J1550" s="3" t="str">
        <f>HYPERLINK("https://www.boe.es/gazeta/dias/1814/02/19/pdfs/GRE-1814-23.pdf#page=1","Abrir facsímil")</f>
        <v>Abrir facsímil</v>
      </c>
      <c r="K1550" s="3" t="s">
        <v>64</v>
      </c>
    </row>
    <row r="1551" spans="1:11" ht="42" customHeight="1">
      <c r="A1551" s="2" t="s">
        <v>3809</v>
      </c>
      <c r="B1551" s="2" t="s">
        <v>3809</v>
      </c>
      <c r="C1551" s="2" t="s">
        <v>38</v>
      </c>
      <c r="D1551" s="2" t="s">
        <v>314</v>
      </c>
      <c r="E1551" s="5">
        <v>-31294</v>
      </c>
      <c r="F1551" s="3" t="s">
        <v>2505</v>
      </c>
      <c r="G1551" s="3" t="s">
        <v>99</v>
      </c>
      <c r="H1551" s="2" t="s">
        <v>62</v>
      </c>
      <c r="I1551" s="2" t="s">
        <v>3811</v>
      </c>
      <c r="J1551" s="3" t="str">
        <f>HYPERLINK("https://www.boe.es/gazeta/dias/1814/04/26/pdfs/GRE-1814-62E.pdf#page=5","Abrir facsímil")</f>
        <v>Abrir facsímil</v>
      </c>
      <c r="K1551" s="3" t="s">
        <v>64</v>
      </c>
    </row>
    <row r="1552" spans="1:11" ht="42" customHeight="1">
      <c r="A1552" s="2" t="s">
        <v>3812</v>
      </c>
      <c r="B1552" s="2" t="s">
        <v>3812</v>
      </c>
      <c r="C1552" s="2" t="s">
        <v>38</v>
      </c>
      <c r="D1552" s="2" t="s">
        <v>39</v>
      </c>
      <c r="E1552" s="5">
        <v>-31383</v>
      </c>
      <c r="F1552" s="3" t="s">
        <v>715</v>
      </c>
      <c r="G1552" s="3" t="s">
        <v>2727</v>
      </c>
      <c r="H1552" s="2" t="s">
        <v>62</v>
      </c>
      <c r="I1552" s="2" t="s">
        <v>3813</v>
      </c>
      <c r="J1552" s="3" t="str">
        <f>HYPERLINK("https://www.boe.es/gazeta/dias/1814/01/27/pdfs/GRE-1814-13.pdf#page=4","Abrir facsímil")</f>
        <v>Abrir facsímil</v>
      </c>
      <c r="K1552" s="3" t="s">
        <v>64</v>
      </c>
    </row>
    <row r="1553" spans="1:11" ht="42" customHeight="1">
      <c r="A1553" s="2" t="s">
        <v>3814</v>
      </c>
      <c r="B1553" s="2" t="s">
        <v>3815</v>
      </c>
      <c r="C1553" s="2" t="s">
        <v>144</v>
      </c>
      <c r="D1553" s="2" t="s">
        <v>18</v>
      </c>
      <c r="E1553" s="5">
        <v>-31091</v>
      </c>
      <c r="F1553" s="3" t="s">
        <v>1156</v>
      </c>
      <c r="G1553" s="3" t="s">
        <v>20</v>
      </c>
      <c r="H1553" s="2" t="s">
        <v>62</v>
      </c>
      <c r="I1553" s="2" t="s">
        <v>3816</v>
      </c>
      <c r="J1553" s="3" t="str">
        <f>HYPERLINK("https://www.boe.es/gazeta/dias/1814/11/15/pdfs/GMD-1814-152.pdf#page=7","Abrir facsímil")</f>
        <v>Abrir facsímil</v>
      </c>
      <c r="K1553" s="3" t="s">
        <v>64</v>
      </c>
    </row>
    <row r="1554" spans="1:11" ht="42" customHeight="1">
      <c r="A1554" s="2" t="s">
        <v>3817</v>
      </c>
      <c r="B1554" s="2" t="s">
        <v>3817</v>
      </c>
      <c r="C1554" s="2" t="s">
        <v>38</v>
      </c>
      <c r="D1554" s="2" t="s">
        <v>39</v>
      </c>
      <c r="E1554" s="5">
        <v>-31404</v>
      </c>
      <c r="F1554" s="3" t="s">
        <v>630</v>
      </c>
      <c r="G1554" s="3" t="s">
        <v>99</v>
      </c>
      <c r="H1554" s="2" t="s">
        <v>62</v>
      </c>
      <c r="I1554" s="2" t="s">
        <v>3818</v>
      </c>
      <c r="J1554" s="3" t="str">
        <f>HYPERLINK("https://www.boe.es/gazeta/dias/1814/01/06/pdfs/GRE-1814-3.pdf#page=5","Abrir facsímil")</f>
        <v>Abrir facsímil</v>
      </c>
      <c r="K1554" s="3" t="s">
        <v>64</v>
      </c>
    </row>
    <row r="1555" spans="1:11" ht="42" customHeight="1">
      <c r="A1555" s="2" t="s">
        <v>3819</v>
      </c>
      <c r="B1555" s="2" t="s">
        <v>3820</v>
      </c>
      <c r="C1555" s="2" t="s">
        <v>105</v>
      </c>
      <c r="D1555" s="2" t="s">
        <v>18</v>
      </c>
      <c r="E1555" s="5">
        <v>-31383</v>
      </c>
      <c r="F1555" s="3" t="s">
        <v>715</v>
      </c>
      <c r="G1555" s="3" t="s">
        <v>57</v>
      </c>
      <c r="H1555" s="2" t="s">
        <v>62</v>
      </c>
      <c r="I1555" s="2" t="s">
        <v>3821</v>
      </c>
      <c r="J1555" s="3" t="str">
        <f>HYPERLINK("https://www.boe.es/gazeta/dias/1814/01/27/pdfs/GRE-1814-13.pdf#page=6","Abrir facsímil")</f>
        <v>Abrir facsímil</v>
      </c>
      <c r="K1555" s="3" t="s">
        <v>64</v>
      </c>
    </row>
    <row r="1556" spans="1:11" ht="42" customHeight="1">
      <c r="A1556" s="2" t="s">
        <v>3822</v>
      </c>
      <c r="B1556" s="2" t="s">
        <v>3823</v>
      </c>
      <c r="C1556" s="2" t="s">
        <v>38</v>
      </c>
      <c r="D1556" s="2" t="s">
        <v>39</v>
      </c>
      <c r="E1556" s="5">
        <v>-31210</v>
      </c>
      <c r="F1556" s="3" t="s">
        <v>141</v>
      </c>
      <c r="G1556" s="3" t="s">
        <v>99</v>
      </c>
      <c r="H1556" s="2" t="s">
        <v>62</v>
      </c>
      <c r="I1556" s="2" t="s">
        <v>3824</v>
      </c>
      <c r="J1556" s="3" t="str">
        <f>HYPERLINK("https://www.boe.es/gazeta/dias/1814/07/19/pdfs/GMD-1814-100.pdf#page=5","Abrir facsímil")</f>
        <v>Abrir facsímil</v>
      </c>
      <c r="K1556" s="3" t="s">
        <v>64</v>
      </c>
    </row>
    <row r="1557" spans="1:11" ht="42" customHeight="1">
      <c r="A1557" s="2" t="s">
        <v>3825</v>
      </c>
      <c r="B1557" s="2" t="s">
        <v>3826</v>
      </c>
      <c r="C1557" s="2" t="s">
        <v>45</v>
      </c>
      <c r="D1557" s="2" t="s">
        <v>18</v>
      </c>
      <c r="E1557" s="5">
        <v>-31182</v>
      </c>
      <c r="F1557" s="3" t="s">
        <v>19</v>
      </c>
      <c r="G1557" s="3" t="s">
        <v>3827</v>
      </c>
      <c r="H1557" s="2" t="s">
        <v>62</v>
      </c>
      <c r="I1557" s="2" t="s">
        <v>3828</v>
      </c>
      <c r="J1557" s="3" t="str">
        <f>HYPERLINK("https://www.boe.es/gazeta/dias/1814/08/16/pdfs/GMD-1814-112.pdf#page=8","Abrir facsímil")</f>
        <v>Abrir facsímil</v>
      </c>
      <c r="K1557" s="3" t="s">
        <v>64</v>
      </c>
    </row>
    <row r="1558" spans="1:11" ht="42" customHeight="1">
      <c r="A1558" s="2" t="s">
        <v>3829</v>
      </c>
      <c r="B1558" s="2" t="s">
        <v>3830</v>
      </c>
      <c r="C1558" s="2" t="s">
        <v>26</v>
      </c>
      <c r="D1558" s="2" t="s">
        <v>27</v>
      </c>
      <c r="E1558" s="5">
        <v>-31152</v>
      </c>
      <c r="F1558" s="3" t="s">
        <v>199</v>
      </c>
      <c r="G1558" s="3" t="s">
        <v>82</v>
      </c>
      <c r="H1558" s="2" t="s">
        <v>62</v>
      </c>
      <c r="I1558" s="2" t="s">
        <v>3831</v>
      </c>
      <c r="J1558" s="3" t="str">
        <f>HYPERLINK("https://www.boe.es/gazeta/dias/1814/09/15/pdfs/GMD-1814-126.pdf#page=3","Abrir facsímil")</f>
        <v>Abrir facsímil</v>
      </c>
      <c r="K1558" s="3" t="s">
        <v>64</v>
      </c>
    </row>
    <row r="1559" spans="1:11" ht="42" customHeight="1">
      <c r="A1559" s="2" t="s">
        <v>3832</v>
      </c>
      <c r="B1559" s="2" t="s">
        <v>3833</v>
      </c>
      <c r="C1559" s="2" t="s">
        <v>26</v>
      </c>
      <c r="D1559" s="2" t="s">
        <v>27</v>
      </c>
      <c r="E1559" s="5">
        <v>-31082</v>
      </c>
      <c r="F1559" s="3" t="s">
        <v>535</v>
      </c>
      <c r="G1559" s="3" t="s">
        <v>2461</v>
      </c>
      <c r="H1559" s="2" t="s">
        <v>21</v>
      </c>
      <c r="I1559" s="2" t="s">
        <v>3834</v>
      </c>
      <c r="J1559" s="3" t="str">
        <f>HYPERLINK("https://www.boe.es/gazeta/dias/1814/11/24/pdfs/GMD-1814-156.pdf#page=7","Abrir facsímil")</f>
        <v>Abrir facsímil</v>
      </c>
      <c r="K1559" s="3" t="s">
        <v>23</v>
      </c>
    </row>
    <row r="1560" spans="1:11" ht="42" customHeight="1">
      <c r="A1560" s="2" t="s">
        <v>3832</v>
      </c>
      <c r="B1560" s="2" t="s">
        <v>3833</v>
      </c>
      <c r="C1560" s="2" t="s">
        <v>26</v>
      </c>
      <c r="D1560" s="2" t="s">
        <v>27</v>
      </c>
      <c r="E1560" s="5">
        <v>-31075</v>
      </c>
      <c r="F1560" s="3" t="s">
        <v>537</v>
      </c>
      <c r="G1560" s="3" t="s">
        <v>3835</v>
      </c>
      <c r="H1560" s="2" t="s">
        <v>21</v>
      </c>
      <c r="I1560" s="2" t="s">
        <v>3836</v>
      </c>
      <c r="J1560" s="3" t="str">
        <f>HYPERLINK("https://www.boe.es/gazeta/dias/1814/12/01/pdfs/GMD-1814-159.pdf#page=5","Abrir facsímil")</f>
        <v>Abrir facsímil</v>
      </c>
      <c r="K1560" s="3" t="s">
        <v>23</v>
      </c>
    </row>
    <row r="1561" spans="1:11" ht="42" customHeight="1">
      <c r="A1561" s="2" t="s">
        <v>3837</v>
      </c>
      <c r="B1561" s="2" t="s">
        <v>3838</v>
      </c>
      <c r="C1561" s="2" t="s">
        <v>45</v>
      </c>
      <c r="D1561" s="2" t="s">
        <v>18</v>
      </c>
      <c r="E1561" s="5">
        <v>-31059</v>
      </c>
      <c r="F1561" s="3" t="s">
        <v>263</v>
      </c>
      <c r="G1561" s="3" t="s">
        <v>264</v>
      </c>
      <c r="H1561" s="2" t="s">
        <v>62</v>
      </c>
      <c r="I1561" s="2" t="s">
        <v>3839</v>
      </c>
      <c r="J1561" s="3" t="str">
        <f>HYPERLINK("https://www.boe.es/gazeta/dias/1814/12/17/pdfs/GMD-1814-167.pdf#page=7","Abrir facsímil")</f>
        <v>Abrir facsímil</v>
      </c>
      <c r="K1561" s="3" t="s">
        <v>64</v>
      </c>
    </row>
    <row r="1562" spans="1:11" ht="42" customHeight="1">
      <c r="A1562" s="2" t="s">
        <v>3840</v>
      </c>
      <c r="B1562" s="2" t="s">
        <v>3841</v>
      </c>
      <c r="C1562" s="2" t="s">
        <v>26</v>
      </c>
      <c r="D1562" s="2" t="s">
        <v>27</v>
      </c>
      <c r="E1562" s="5">
        <v>-31124</v>
      </c>
      <c r="F1562" s="3" t="s">
        <v>383</v>
      </c>
      <c r="G1562" s="3" t="s">
        <v>384</v>
      </c>
      <c r="H1562" s="2" t="s">
        <v>62</v>
      </c>
      <c r="I1562" s="2" t="s">
        <v>3842</v>
      </c>
      <c r="J1562" s="3" t="str">
        <f>HYPERLINK("https://www.boe.es/gazeta/dias/1814/10/13/pdfs/GMD-1814-138.pdf#page=11","Abrir facsímil")</f>
        <v>Abrir facsímil</v>
      </c>
      <c r="K1562" s="3" t="s">
        <v>64</v>
      </c>
    </row>
    <row r="1563" spans="1:11" ht="42" customHeight="1">
      <c r="A1563" s="2" t="s">
        <v>3843</v>
      </c>
      <c r="B1563" s="2" t="s">
        <v>3844</v>
      </c>
      <c r="C1563" s="2" t="s">
        <v>38</v>
      </c>
      <c r="D1563" s="2" t="s">
        <v>39</v>
      </c>
      <c r="E1563" s="5">
        <v>-31255</v>
      </c>
      <c r="F1563" s="3" t="s">
        <v>983</v>
      </c>
      <c r="G1563" s="3" t="s">
        <v>41</v>
      </c>
      <c r="H1563" s="2" t="s">
        <v>62</v>
      </c>
      <c r="I1563" s="2" t="s">
        <v>3845</v>
      </c>
      <c r="J1563" s="3" t="str">
        <f>HYPERLINK("https://www.boe.es/gazeta/dias/1814/06/04/pdfs/GMD-1814-81.pdf#page=4","Abrir facsímil")</f>
        <v>Abrir facsímil</v>
      </c>
      <c r="K1563" s="3" t="s">
        <v>64</v>
      </c>
    </row>
    <row r="1564" spans="1:11" ht="42" customHeight="1">
      <c r="A1564" s="2" t="s">
        <v>3846</v>
      </c>
      <c r="B1564" s="2" t="s">
        <v>3847</v>
      </c>
      <c r="C1564" s="2" t="s">
        <v>38</v>
      </c>
      <c r="D1564" s="2" t="s">
        <v>314</v>
      </c>
      <c r="E1564" s="5">
        <v>-31296</v>
      </c>
      <c r="F1564" s="3" t="s">
        <v>315</v>
      </c>
      <c r="G1564" s="3" t="s">
        <v>57</v>
      </c>
      <c r="H1564" s="2" t="s">
        <v>62</v>
      </c>
      <c r="I1564" s="2" t="s">
        <v>3848</v>
      </c>
      <c r="J1564" s="3" t="str">
        <f>HYPERLINK("https://www.boe.es/gazeta/dias/1814/04/24/pdfs/GRE-1814-60E.pdf#page=6","Abrir facsímil")</f>
        <v>Abrir facsímil</v>
      </c>
      <c r="K1564" s="3" t="s">
        <v>64</v>
      </c>
    </row>
    <row r="1565" spans="1:11" ht="42" customHeight="1">
      <c r="A1565" s="2" t="s">
        <v>3849</v>
      </c>
      <c r="B1565" s="2" t="s">
        <v>3849</v>
      </c>
      <c r="C1565" s="2" t="s">
        <v>38</v>
      </c>
      <c r="D1565" s="2" t="s">
        <v>39</v>
      </c>
      <c r="E1565" s="5">
        <v>-31362</v>
      </c>
      <c r="F1565" s="3" t="s">
        <v>302</v>
      </c>
      <c r="G1565" s="3" t="s">
        <v>2032</v>
      </c>
      <c r="H1565" s="2" t="s">
        <v>62</v>
      </c>
      <c r="I1565" s="2" t="s">
        <v>3850</v>
      </c>
      <c r="J1565" s="3" t="str">
        <f>HYPERLINK("https://www.boe.es/gazeta/dias/1814/02/17/pdfs/GRE-1814-22.pdf#page=5","Abrir facsímil")</f>
        <v>Abrir facsímil</v>
      </c>
      <c r="K1565" s="3" t="s">
        <v>64</v>
      </c>
    </row>
    <row r="1566" spans="1:11" ht="42" customHeight="1">
      <c r="A1566" s="2" t="s">
        <v>3851</v>
      </c>
      <c r="B1566" s="2" t="s">
        <v>3851</v>
      </c>
      <c r="C1566" s="2" t="s">
        <v>38</v>
      </c>
      <c r="D1566" s="2" t="s">
        <v>39</v>
      </c>
      <c r="E1566" s="5">
        <v>-31364</v>
      </c>
      <c r="F1566" s="3" t="s">
        <v>594</v>
      </c>
      <c r="G1566" s="3" t="s">
        <v>41</v>
      </c>
      <c r="H1566" s="2" t="s">
        <v>62</v>
      </c>
      <c r="I1566" s="2" t="s">
        <v>3852</v>
      </c>
      <c r="J1566" s="3" t="str">
        <f>HYPERLINK("https://www.boe.es/gazeta/dias/1814/02/15/pdfs/GRE-1814-21.pdf#page=4","Abrir facsímil")</f>
        <v>Abrir facsímil</v>
      </c>
      <c r="K1566" s="3" t="s">
        <v>64</v>
      </c>
    </row>
    <row r="1567" spans="1:11" ht="42" customHeight="1">
      <c r="A1567" s="2" t="s">
        <v>3851</v>
      </c>
      <c r="B1567" s="2" t="s">
        <v>3851</v>
      </c>
      <c r="C1567" s="2" t="s">
        <v>38</v>
      </c>
      <c r="D1567" s="2" t="s">
        <v>39</v>
      </c>
      <c r="E1567" s="5">
        <v>-31329</v>
      </c>
      <c r="F1567" s="3" t="s">
        <v>621</v>
      </c>
      <c r="G1567" s="3" t="s">
        <v>57</v>
      </c>
      <c r="H1567" s="2" t="s">
        <v>62</v>
      </c>
      <c r="I1567" s="2" t="s">
        <v>3853</v>
      </c>
      <c r="J1567" s="3" t="str">
        <f>HYPERLINK("https://www.boe.es/gazeta/dias/1814/03/22/pdfs/GRE-1814-39.pdf#page=6","Abrir facsímil")</f>
        <v>Abrir facsímil</v>
      </c>
      <c r="K1567" s="3" t="s">
        <v>64</v>
      </c>
    </row>
    <row r="1568" spans="1:11" ht="42" customHeight="1">
      <c r="A1568" s="2" t="s">
        <v>3854</v>
      </c>
      <c r="B1568" s="2" t="s">
        <v>3855</v>
      </c>
      <c r="C1568" s="2" t="s">
        <v>38</v>
      </c>
      <c r="D1568" s="2" t="s">
        <v>39</v>
      </c>
      <c r="E1568" s="5">
        <v>-31208</v>
      </c>
      <c r="F1568" s="3" t="s">
        <v>509</v>
      </c>
      <c r="G1568" s="3" t="s">
        <v>57</v>
      </c>
      <c r="H1568" s="2" t="s">
        <v>62</v>
      </c>
      <c r="I1568" s="2" t="s">
        <v>3856</v>
      </c>
      <c r="J1568" s="3" t="str">
        <f>HYPERLINK("https://www.boe.es/gazeta/dias/1814/07/21/pdfs/GMD-1814-101.pdf#page=6","Abrir facsímil")</f>
        <v>Abrir facsímil</v>
      </c>
      <c r="K1568" s="3" t="s">
        <v>64</v>
      </c>
    </row>
    <row r="1569" spans="1:11" ht="42" customHeight="1">
      <c r="A1569" s="2" t="s">
        <v>3854</v>
      </c>
      <c r="B1569" s="2" t="s">
        <v>3855</v>
      </c>
      <c r="C1569" s="2" t="s">
        <v>38</v>
      </c>
      <c r="D1569" s="2" t="s">
        <v>39</v>
      </c>
      <c r="E1569" s="5">
        <v>-31117</v>
      </c>
      <c r="F1569" s="3" t="s">
        <v>172</v>
      </c>
      <c r="G1569" s="3" t="s">
        <v>3857</v>
      </c>
      <c r="H1569" s="2" t="s">
        <v>62</v>
      </c>
      <c r="I1569" s="2" t="s">
        <v>3858</v>
      </c>
      <c r="J1569" s="3" t="str">
        <f>HYPERLINK("https://www.boe.es/gazeta/dias/1814/10/20/pdfs/GMD-1814-141.pdf#page=6","Abrir facsímil")</f>
        <v>Abrir facsímil</v>
      </c>
      <c r="K1569" s="3" t="s">
        <v>64</v>
      </c>
    </row>
    <row r="1570" spans="1:11" ht="42" customHeight="1">
      <c r="A1570" s="2" t="s">
        <v>3854</v>
      </c>
      <c r="B1570" s="2" t="s">
        <v>3855</v>
      </c>
      <c r="C1570" s="2" t="s">
        <v>38</v>
      </c>
      <c r="D1570" s="2" t="s">
        <v>39</v>
      </c>
      <c r="E1570" s="5">
        <v>-31115</v>
      </c>
      <c r="F1570" s="3" t="s">
        <v>805</v>
      </c>
      <c r="G1570" s="3" t="s">
        <v>41</v>
      </c>
      <c r="H1570" s="2" t="s">
        <v>62</v>
      </c>
      <c r="I1570" s="2" t="s">
        <v>3859</v>
      </c>
      <c r="J1570" s="3" t="str">
        <f>HYPERLINK("https://www.boe.es/gazeta/dias/1814/10/22/pdfs/GMD-1814-142.pdf#page=4","Abrir facsímil")</f>
        <v>Abrir facsímil</v>
      </c>
      <c r="K1570" s="3" t="s">
        <v>64</v>
      </c>
    </row>
    <row r="1571" spans="1:11" ht="42" customHeight="1">
      <c r="A1571" s="2" t="s">
        <v>3860</v>
      </c>
      <c r="B1571" s="2" t="s">
        <v>3861</v>
      </c>
      <c r="C1571" s="2" t="s">
        <v>309</v>
      </c>
      <c r="D1571" s="2" t="s">
        <v>18</v>
      </c>
      <c r="E1571" s="5">
        <v>-31101</v>
      </c>
      <c r="F1571" s="3" t="s">
        <v>2095</v>
      </c>
      <c r="G1571" s="3" t="s">
        <v>82</v>
      </c>
      <c r="H1571" s="2" t="s">
        <v>62</v>
      </c>
      <c r="I1571" s="2" t="s">
        <v>3862</v>
      </c>
      <c r="J1571" s="3" t="str">
        <f>HYPERLINK("https://www.boe.es/gazeta/dias/1814/11/05/pdfs/GMD-1814-148.pdf#page=3","Abrir facsímil")</f>
        <v>Abrir facsímil</v>
      </c>
      <c r="K1571" s="3" t="s">
        <v>64</v>
      </c>
    </row>
    <row r="1572" spans="1:11" ht="42" customHeight="1">
      <c r="A1572" s="2" t="s">
        <v>3863</v>
      </c>
      <c r="B1572" s="2" t="s">
        <v>3863</v>
      </c>
      <c r="C1572" s="2" t="s">
        <v>17</v>
      </c>
      <c r="D1572" s="2" t="s">
        <v>18</v>
      </c>
      <c r="E1572" s="5">
        <v>-31217</v>
      </c>
      <c r="F1572" s="3" t="s">
        <v>506</v>
      </c>
      <c r="G1572" s="3" t="s">
        <v>87</v>
      </c>
      <c r="H1572" s="2" t="s">
        <v>62</v>
      </c>
      <c r="I1572" s="2" t="s">
        <v>3864</v>
      </c>
      <c r="J1572" s="3" t="str">
        <f>HYPERLINK("https://www.boe.es/gazeta/dias/1814/07/12/pdfs/GMD-1814-97.pdf#page=2","Abrir facsímil")</f>
        <v>Abrir facsímil</v>
      </c>
      <c r="K1572" s="3" t="s">
        <v>64</v>
      </c>
    </row>
    <row r="1573" spans="1:11" ht="42" customHeight="1">
      <c r="A1573" s="2" t="s">
        <v>3865</v>
      </c>
      <c r="B1573" s="2" t="s">
        <v>3865</v>
      </c>
      <c r="C1573" s="2" t="s">
        <v>38</v>
      </c>
      <c r="D1573" s="2" t="s">
        <v>39</v>
      </c>
      <c r="E1573" s="5">
        <v>-31297</v>
      </c>
      <c r="F1573" s="3" t="s">
        <v>737</v>
      </c>
      <c r="G1573" s="3" t="s">
        <v>3866</v>
      </c>
      <c r="H1573" s="2" t="s">
        <v>62</v>
      </c>
      <c r="I1573" s="2" t="s">
        <v>3867</v>
      </c>
      <c r="J1573" s="3" t="str">
        <f>HYPERLINK("https://www.boe.es/gazeta/dias/1814/04/23/pdfs/GRE-1814-59.pdf#page=7","Abrir facsímil")</f>
        <v>Abrir facsímil</v>
      </c>
      <c r="K1573" s="3" t="s">
        <v>64</v>
      </c>
    </row>
    <row r="1574" spans="1:11" ht="42" customHeight="1">
      <c r="A1574" s="2" t="s">
        <v>3868</v>
      </c>
      <c r="B1574" s="2" t="s">
        <v>3868</v>
      </c>
      <c r="C1574" s="2" t="s">
        <v>38</v>
      </c>
      <c r="D1574" s="2" t="s">
        <v>39</v>
      </c>
      <c r="E1574" s="5">
        <v>-31287</v>
      </c>
      <c r="F1574" s="3" t="s">
        <v>491</v>
      </c>
      <c r="G1574" s="3" t="s">
        <v>99</v>
      </c>
      <c r="H1574" s="2" t="s">
        <v>62</v>
      </c>
      <c r="I1574" s="2" t="s">
        <v>3869</v>
      </c>
      <c r="J1574" s="3" t="str">
        <f>HYPERLINK("https://www.boe.es/gazeta/dias/1814/05/03/pdfs/GRE-1814-65.pdf#page=5","Abrir facsímil")</f>
        <v>Abrir facsímil</v>
      </c>
      <c r="K1574" s="3" t="s">
        <v>64</v>
      </c>
    </row>
    <row r="1575" spans="1:11" ht="42" customHeight="1">
      <c r="A1575" s="2" t="s">
        <v>3868</v>
      </c>
      <c r="B1575" s="2" t="s">
        <v>3868</v>
      </c>
      <c r="C1575" s="2" t="s">
        <v>38</v>
      </c>
      <c r="D1575" s="2" t="s">
        <v>39</v>
      </c>
      <c r="E1575" s="5">
        <v>-31287</v>
      </c>
      <c r="F1575" s="3" t="s">
        <v>491</v>
      </c>
      <c r="G1575" s="3" t="s">
        <v>57</v>
      </c>
      <c r="H1575" s="2" t="s">
        <v>62</v>
      </c>
      <c r="I1575" s="2" t="s">
        <v>3870</v>
      </c>
      <c r="J1575" s="3" t="str">
        <f>HYPERLINK("https://www.boe.es/gazeta/dias/1814/05/03/pdfs/GRE-1814-65.pdf#page=6","Abrir facsímil")</f>
        <v>Abrir facsímil</v>
      </c>
      <c r="K1575" s="3" t="s">
        <v>64</v>
      </c>
    </row>
    <row r="1576" spans="1:11" ht="42" customHeight="1">
      <c r="A1576" s="2" t="s">
        <v>3868</v>
      </c>
      <c r="B1576" s="2" t="s">
        <v>3868</v>
      </c>
      <c r="C1576" s="2" t="s">
        <v>38</v>
      </c>
      <c r="D1576" s="2" t="s">
        <v>39</v>
      </c>
      <c r="E1576" s="5">
        <v>-31285</v>
      </c>
      <c r="F1576" s="3" t="s">
        <v>1141</v>
      </c>
      <c r="G1576" s="3" t="s">
        <v>82</v>
      </c>
      <c r="H1576" s="2" t="s">
        <v>62</v>
      </c>
      <c r="I1576" s="2" t="s">
        <v>3871</v>
      </c>
      <c r="J1576" s="3" t="str">
        <f>HYPERLINK("https://www.boe.es/gazeta/dias/1814/05/05/pdfs/GRE-1814-66.pdf#page=3","Abrir facsímil")</f>
        <v>Abrir facsímil</v>
      </c>
      <c r="K1576" s="3" t="s">
        <v>64</v>
      </c>
    </row>
    <row r="1577" spans="1:11" ht="42" customHeight="1">
      <c r="A1577" s="2" t="s">
        <v>3868</v>
      </c>
      <c r="B1577" s="2" t="s">
        <v>3868</v>
      </c>
      <c r="C1577" s="2" t="s">
        <v>38</v>
      </c>
      <c r="D1577" s="2" t="s">
        <v>39</v>
      </c>
      <c r="E1577" s="5">
        <v>-31217</v>
      </c>
      <c r="F1577" s="3" t="s">
        <v>506</v>
      </c>
      <c r="G1577" s="3" t="s">
        <v>87</v>
      </c>
      <c r="H1577" s="2" t="s">
        <v>62</v>
      </c>
      <c r="I1577" s="2" t="s">
        <v>3872</v>
      </c>
      <c r="J1577" s="3" t="str">
        <f>HYPERLINK("https://www.boe.es/gazeta/dias/1814/07/12/pdfs/GMD-1814-97.pdf#page=2","Abrir facsímil")</f>
        <v>Abrir facsímil</v>
      </c>
      <c r="K1577" s="3" t="s">
        <v>64</v>
      </c>
    </row>
    <row r="1578" spans="1:11" ht="42" customHeight="1">
      <c r="A1578" s="2" t="s">
        <v>3873</v>
      </c>
      <c r="B1578" s="2" t="s">
        <v>3874</v>
      </c>
      <c r="C1578" s="2" t="s">
        <v>32</v>
      </c>
      <c r="D1578" s="2" t="s">
        <v>18</v>
      </c>
      <c r="E1578" s="5">
        <v>-31241</v>
      </c>
      <c r="F1578" s="3" t="s">
        <v>703</v>
      </c>
      <c r="G1578" s="3" t="s">
        <v>322</v>
      </c>
      <c r="H1578" s="2" t="s">
        <v>62</v>
      </c>
      <c r="I1578" s="2" t="s">
        <v>3875</v>
      </c>
      <c r="J1578" s="3" t="str">
        <f>HYPERLINK("https://www.boe.es/gazeta/dias/1814/06/18/pdfs/GMD-1814-87.pdf#page=12","Abrir facsímil")</f>
        <v>Abrir facsímil</v>
      </c>
      <c r="K1578" s="3" t="s">
        <v>64</v>
      </c>
    </row>
    <row r="1579" spans="1:11" ht="42" customHeight="1">
      <c r="A1579" s="2" t="s">
        <v>3873</v>
      </c>
      <c r="B1579" s="2" t="s">
        <v>3874</v>
      </c>
      <c r="C1579" s="2" t="s">
        <v>32</v>
      </c>
      <c r="D1579" s="2" t="s">
        <v>18</v>
      </c>
      <c r="E1579" s="5">
        <v>-31189</v>
      </c>
      <c r="F1579" s="3" t="s">
        <v>379</v>
      </c>
      <c r="G1579" s="3" t="s">
        <v>52</v>
      </c>
      <c r="H1579" s="2" t="s">
        <v>62</v>
      </c>
      <c r="I1579" s="2" t="s">
        <v>3876</v>
      </c>
      <c r="J1579" s="3" t="str">
        <f>HYPERLINK("https://www.boe.es/gazeta/dias/1814/08/09/pdfs/GMD-1814-109.pdf#page=8","Abrir facsímil")</f>
        <v>Abrir facsímil</v>
      </c>
      <c r="K1579" s="3" t="s">
        <v>64</v>
      </c>
    </row>
    <row r="1580" spans="1:11" ht="42" customHeight="1">
      <c r="A1580" s="2" t="s">
        <v>3877</v>
      </c>
      <c r="B1580" s="2" t="s">
        <v>3878</v>
      </c>
      <c r="C1580" s="2" t="s">
        <v>38</v>
      </c>
      <c r="D1580" s="2" t="s">
        <v>39</v>
      </c>
      <c r="E1580" s="5">
        <v>-31259</v>
      </c>
      <c r="F1580" s="3" t="s">
        <v>853</v>
      </c>
      <c r="G1580" s="3" t="s">
        <v>41</v>
      </c>
      <c r="H1580" s="2" t="s">
        <v>62</v>
      </c>
      <c r="I1580" s="2" t="s">
        <v>3879</v>
      </c>
      <c r="J1580" s="3" t="str">
        <f>HYPERLINK("https://www.boe.es/gazeta/dias/1814/05/31/pdfs/GMD-1814-79.pdf#page=4","Abrir facsímil")</f>
        <v>Abrir facsímil</v>
      </c>
      <c r="K1580" s="3" t="s">
        <v>64</v>
      </c>
    </row>
    <row r="1581" spans="1:11" ht="42" customHeight="1">
      <c r="A1581" s="2" t="s">
        <v>3880</v>
      </c>
      <c r="B1581" s="2" t="s">
        <v>3881</v>
      </c>
      <c r="C1581" s="2" t="s">
        <v>38</v>
      </c>
      <c r="D1581" s="2" t="s">
        <v>39</v>
      </c>
      <c r="E1581" s="5">
        <v>-31115</v>
      </c>
      <c r="F1581" s="3" t="s">
        <v>805</v>
      </c>
      <c r="G1581" s="3" t="s">
        <v>52</v>
      </c>
      <c r="H1581" s="2" t="s">
        <v>62</v>
      </c>
      <c r="I1581" s="2" t="s">
        <v>3882</v>
      </c>
      <c r="J1581" s="3" t="str">
        <f>HYPERLINK("https://www.boe.es/gazeta/dias/1814/10/22/pdfs/GMD-1814-142.pdf#page=8","Abrir facsímil")</f>
        <v>Abrir facsímil</v>
      </c>
      <c r="K1581" s="3" t="s">
        <v>64</v>
      </c>
    </row>
    <row r="1582" spans="1:11" ht="42" customHeight="1">
      <c r="A1582" s="2" t="s">
        <v>3883</v>
      </c>
      <c r="B1582" s="2" t="s">
        <v>3884</v>
      </c>
      <c r="C1582" s="2" t="s">
        <v>17</v>
      </c>
      <c r="D1582" s="2" t="s">
        <v>18</v>
      </c>
      <c r="E1582" s="5">
        <v>-31383</v>
      </c>
      <c r="F1582" s="3" t="s">
        <v>715</v>
      </c>
      <c r="G1582" s="3" t="s">
        <v>57</v>
      </c>
      <c r="H1582" s="2" t="s">
        <v>62</v>
      </c>
      <c r="I1582" s="2" t="s">
        <v>3885</v>
      </c>
      <c r="J1582" s="3" t="str">
        <f>HYPERLINK("https://www.boe.es/gazeta/dias/1814/01/27/pdfs/GRE-1814-13.pdf#page=6","Abrir facsímil")</f>
        <v>Abrir facsímil</v>
      </c>
      <c r="K1582" s="3" t="s">
        <v>64</v>
      </c>
    </row>
    <row r="1583" spans="1:11" ht="42" customHeight="1">
      <c r="A1583" s="2" t="s">
        <v>3886</v>
      </c>
      <c r="B1583" s="2" t="s">
        <v>3887</v>
      </c>
      <c r="C1583" s="2" t="s">
        <v>105</v>
      </c>
      <c r="D1583" s="2" t="s">
        <v>18</v>
      </c>
      <c r="E1583" s="5">
        <v>-31322</v>
      </c>
      <c r="F1583" s="3" t="s">
        <v>114</v>
      </c>
      <c r="G1583" s="3" t="s">
        <v>52</v>
      </c>
      <c r="H1583" s="2" t="s">
        <v>62</v>
      </c>
      <c r="I1583" s="2" t="s">
        <v>3888</v>
      </c>
      <c r="J1583" s="3" t="str">
        <f>HYPERLINK("https://www.boe.es/gazeta/dias/1814/03/29/pdfs/GRE-1814-44.pdf#page=8","Abrir facsímil")</f>
        <v>Abrir facsímil</v>
      </c>
      <c r="K1583" s="3" t="s">
        <v>64</v>
      </c>
    </row>
    <row r="1584" spans="1:11" ht="42" customHeight="1">
      <c r="A1584" s="2" t="s">
        <v>3889</v>
      </c>
      <c r="B1584" s="2" t="s">
        <v>3890</v>
      </c>
      <c r="C1584" s="2" t="s">
        <v>38</v>
      </c>
      <c r="D1584" s="2" t="s">
        <v>39</v>
      </c>
      <c r="E1584" s="5">
        <v>-31210</v>
      </c>
      <c r="F1584" s="3" t="s">
        <v>141</v>
      </c>
      <c r="G1584" s="3" t="s">
        <v>99</v>
      </c>
      <c r="H1584" s="2" t="s">
        <v>62</v>
      </c>
      <c r="I1584" s="2" t="s">
        <v>3891</v>
      </c>
      <c r="J1584" s="3" t="str">
        <f>HYPERLINK("https://www.boe.es/gazeta/dias/1814/07/19/pdfs/GMD-1814-100.pdf#page=5","Abrir facsímil")</f>
        <v>Abrir facsímil</v>
      </c>
      <c r="K1584" s="3" t="s">
        <v>64</v>
      </c>
    </row>
    <row r="1585" spans="1:11" ht="42" customHeight="1">
      <c r="A1585" s="2" t="s">
        <v>3892</v>
      </c>
      <c r="B1585" s="2" t="s">
        <v>3893</v>
      </c>
      <c r="C1585" s="2" t="s">
        <v>17</v>
      </c>
      <c r="D1585" s="2" t="s">
        <v>18</v>
      </c>
      <c r="E1585" s="5">
        <v>-31292</v>
      </c>
      <c r="F1585" s="3" t="s">
        <v>557</v>
      </c>
      <c r="G1585" s="3" t="s">
        <v>3894</v>
      </c>
      <c r="H1585" s="2" t="s">
        <v>62</v>
      </c>
      <c r="I1585" s="2" t="s">
        <v>3895</v>
      </c>
      <c r="J1585" s="3" t="str">
        <f>HYPERLINK("https://www.boe.es/gazeta/dias/1814/04/28/pdfs/GRE-1814-63.pdf#page=5","Abrir facsímil")</f>
        <v>Abrir facsímil</v>
      </c>
      <c r="K1585" s="3" t="s">
        <v>64</v>
      </c>
    </row>
    <row r="1586" spans="1:11" ht="42" customHeight="1">
      <c r="A1586" s="2" t="s">
        <v>3896</v>
      </c>
      <c r="B1586" s="2" t="s">
        <v>3897</v>
      </c>
      <c r="C1586" s="2" t="s">
        <v>26</v>
      </c>
      <c r="D1586" s="2" t="s">
        <v>27</v>
      </c>
      <c r="E1586" s="5">
        <v>-31094</v>
      </c>
      <c r="F1586" s="3" t="s">
        <v>761</v>
      </c>
      <c r="G1586" s="3" t="s">
        <v>20</v>
      </c>
      <c r="H1586" s="2" t="s">
        <v>21</v>
      </c>
      <c r="I1586" s="2" t="s">
        <v>3898</v>
      </c>
      <c r="J1586" s="3" t="str">
        <f>HYPERLINK("https://www.boe.es/gazeta/dias/1814/11/12/pdfs/GMD-1814-151.pdf#page=7","Abrir facsímil")</f>
        <v>Abrir facsímil</v>
      </c>
      <c r="K1586" s="3" t="s">
        <v>23</v>
      </c>
    </row>
    <row r="1587" spans="1:11" ht="42" customHeight="1">
      <c r="A1587" s="2" t="s">
        <v>3899</v>
      </c>
      <c r="B1587" s="2" t="s">
        <v>3899</v>
      </c>
      <c r="C1587" s="2" t="s">
        <v>38</v>
      </c>
      <c r="D1587" s="2" t="s">
        <v>39</v>
      </c>
      <c r="E1587" s="5">
        <v>-31390</v>
      </c>
      <c r="F1587" s="3" t="s">
        <v>349</v>
      </c>
      <c r="G1587" s="3" t="s">
        <v>41</v>
      </c>
      <c r="H1587" s="2" t="s">
        <v>62</v>
      </c>
      <c r="I1587" s="2" t="s">
        <v>3900</v>
      </c>
      <c r="J1587" s="3" t="str">
        <f>HYPERLINK("https://www.boe.es/gazeta/dias/1814/01/20/pdfs/GRE-1814-10.pdf#page=4","Abrir facsímil")</f>
        <v>Abrir facsímil</v>
      </c>
      <c r="K1587" s="3" t="s">
        <v>64</v>
      </c>
    </row>
    <row r="1588" spans="1:11" ht="42" customHeight="1">
      <c r="A1588" s="2" t="s">
        <v>3901</v>
      </c>
      <c r="B1588" s="2" t="s">
        <v>3901</v>
      </c>
      <c r="C1588" s="2" t="s">
        <v>38</v>
      </c>
      <c r="D1588" s="2" t="s">
        <v>39</v>
      </c>
      <c r="E1588" s="5">
        <v>-31238</v>
      </c>
      <c r="F1588" s="3" t="s">
        <v>127</v>
      </c>
      <c r="G1588" s="3" t="s">
        <v>322</v>
      </c>
      <c r="H1588" s="2" t="s">
        <v>62</v>
      </c>
      <c r="I1588" s="2" t="s">
        <v>3902</v>
      </c>
      <c r="J1588" s="3" t="str">
        <f>HYPERLINK("https://www.boe.es/gazeta/dias/1814/06/21/pdfs/GMD-1814-88.pdf#page=12","Abrir facsímil")</f>
        <v>Abrir facsímil</v>
      </c>
      <c r="K1588" s="3" t="s">
        <v>64</v>
      </c>
    </row>
    <row r="1589" spans="1:11" ht="42" customHeight="1">
      <c r="A1589" s="2" t="s">
        <v>3903</v>
      </c>
      <c r="B1589" s="2" t="s">
        <v>3903</v>
      </c>
      <c r="C1589" s="2" t="s">
        <v>38</v>
      </c>
      <c r="D1589" s="2" t="s">
        <v>39</v>
      </c>
      <c r="E1589" s="5">
        <v>-31243</v>
      </c>
      <c r="F1589" s="3" t="s">
        <v>500</v>
      </c>
      <c r="G1589" s="3" t="s">
        <v>384</v>
      </c>
      <c r="H1589" s="2" t="s">
        <v>62</v>
      </c>
      <c r="I1589" s="2" t="s">
        <v>3904</v>
      </c>
      <c r="J1589" s="3" t="str">
        <f>HYPERLINK("https://www.boe.es/gazeta/dias/1814/06/16/pdfs/GMD-1814-86.pdf#page=11","Abrir facsímil")</f>
        <v>Abrir facsímil</v>
      </c>
      <c r="K1589" s="3" t="s">
        <v>64</v>
      </c>
    </row>
    <row r="1590" spans="1:11" ht="42" customHeight="1">
      <c r="A1590" s="2" t="s">
        <v>3903</v>
      </c>
      <c r="B1590" s="2" t="s">
        <v>3903</v>
      </c>
      <c r="C1590" s="2" t="s">
        <v>687</v>
      </c>
      <c r="D1590" s="2" t="s">
        <v>27</v>
      </c>
      <c r="E1590" s="5">
        <v>-31152</v>
      </c>
      <c r="F1590" s="3" t="s">
        <v>199</v>
      </c>
      <c r="G1590" s="3" t="s">
        <v>20</v>
      </c>
      <c r="H1590" s="2" t="s">
        <v>62</v>
      </c>
      <c r="I1590" s="2" t="s">
        <v>3905</v>
      </c>
      <c r="J1590" s="3" t="str">
        <f>HYPERLINK("https://www.boe.es/gazeta/dias/1814/09/15/pdfs/GMD-1814-126.pdf#page=7","Abrir facsímil")</f>
        <v>Abrir facsímil</v>
      </c>
      <c r="K1590" s="3" t="s">
        <v>64</v>
      </c>
    </row>
    <row r="1591" spans="1:11" ht="42" customHeight="1">
      <c r="A1591" s="2" t="s">
        <v>3903</v>
      </c>
      <c r="B1591" s="2" t="s">
        <v>3903</v>
      </c>
      <c r="C1591" s="2" t="s">
        <v>26</v>
      </c>
      <c r="D1591" s="2" t="s">
        <v>27</v>
      </c>
      <c r="E1591" s="5">
        <v>-31140</v>
      </c>
      <c r="F1591" s="3" t="s">
        <v>525</v>
      </c>
      <c r="G1591" s="3" t="s">
        <v>99</v>
      </c>
      <c r="H1591" s="2" t="s">
        <v>62</v>
      </c>
      <c r="I1591" s="2" t="s">
        <v>3906</v>
      </c>
      <c r="J1591" s="3" t="str">
        <f>HYPERLINK("https://www.boe.es/gazeta/dias/1814/09/27/pdfs/GMD-1814-131.pdf#page=5","Abrir facsímil")</f>
        <v>Abrir facsímil</v>
      </c>
      <c r="K1591" s="3" t="s">
        <v>64</v>
      </c>
    </row>
    <row r="1592" spans="1:11" ht="42" customHeight="1">
      <c r="A1592" s="2" t="s">
        <v>3903</v>
      </c>
      <c r="B1592" s="2" t="s">
        <v>3903</v>
      </c>
      <c r="C1592" s="2" t="s">
        <v>38</v>
      </c>
      <c r="D1592" s="2" t="s">
        <v>39</v>
      </c>
      <c r="E1592" s="5">
        <v>-31112</v>
      </c>
      <c r="F1592" s="3" t="s">
        <v>707</v>
      </c>
      <c r="G1592" s="3" t="s">
        <v>41</v>
      </c>
      <c r="H1592" s="2" t="s">
        <v>62</v>
      </c>
      <c r="I1592" s="2" t="s">
        <v>3907</v>
      </c>
      <c r="J1592" s="3" t="str">
        <f>HYPERLINK("https://www.boe.es/gazeta/dias/1814/10/25/pdfs/GMD-1814-143.pdf#page=4","Abrir facsímil")</f>
        <v>Abrir facsímil</v>
      </c>
      <c r="K1592" s="3" t="s">
        <v>64</v>
      </c>
    </row>
    <row r="1593" spans="1:11" ht="42" customHeight="1">
      <c r="A1593" s="2" t="s">
        <v>3903</v>
      </c>
      <c r="B1593" s="2" t="s">
        <v>3903</v>
      </c>
      <c r="C1593" s="2" t="s">
        <v>26</v>
      </c>
      <c r="D1593" s="2" t="s">
        <v>27</v>
      </c>
      <c r="E1593" s="5">
        <v>-31049</v>
      </c>
      <c r="F1593" s="3" t="s">
        <v>542</v>
      </c>
      <c r="G1593" s="3" t="s">
        <v>20</v>
      </c>
      <c r="H1593" s="2" t="s">
        <v>62</v>
      </c>
      <c r="I1593" s="2" t="s">
        <v>3908</v>
      </c>
      <c r="J1593" s="3" t="str">
        <f>HYPERLINK("https://www.boe.es/gazeta/dias/1814/12/27/pdfs/GMD-1814-171.pdf#page=7","Abrir facsímil")</f>
        <v>Abrir facsímil</v>
      </c>
      <c r="K1593" s="3" t="s">
        <v>64</v>
      </c>
    </row>
    <row r="1594" spans="1:11" ht="42" customHeight="1">
      <c r="A1594" s="2" t="s">
        <v>3909</v>
      </c>
      <c r="B1594" s="2" t="s">
        <v>3910</v>
      </c>
      <c r="C1594" s="2" t="s">
        <v>17</v>
      </c>
      <c r="D1594" s="2" t="s">
        <v>18</v>
      </c>
      <c r="E1594" s="5">
        <v>-31101</v>
      </c>
      <c r="F1594" s="3" t="s">
        <v>2095</v>
      </c>
      <c r="G1594" s="3" t="s">
        <v>20</v>
      </c>
      <c r="H1594" s="2" t="s">
        <v>62</v>
      </c>
      <c r="I1594" s="2" t="s">
        <v>3911</v>
      </c>
      <c r="J1594" s="3" t="str">
        <f>HYPERLINK("https://www.boe.es/gazeta/dias/1814/11/05/pdfs/GMD-1814-148.pdf#page=7","Abrir facsímil")</f>
        <v>Abrir facsímil</v>
      </c>
      <c r="K1594" s="3" t="s">
        <v>64</v>
      </c>
    </row>
    <row r="1595" spans="1:11" ht="42" customHeight="1">
      <c r="A1595" s="2" t="s">
        <v>3912</v>
      </c>
      <c r="B1595" s="2" t="s">
        <v>3913</v>
      </c>
      <c r="C1595" s="2" t="s">
        <v>26</v>
      </c>
      <c r="D1595" s="2" t="s">
        <v>27</v>
      </c>
      <c r="E1595" s="5">
        <v>-31185</v>
      </c>
      <c r="F1595" s="3" t="s">
        <v>1238</v>
      </c>
      <c r="G1595" s="3" t="s">
        <v>3166</v>
      </c>
      <c r="H1595" s="2" t="s">
        <v>21</v>
      </c>
      <c r="I1595" s="2" t="s">
        <v>3914</v>
      </c>
      <c r="J1595" s="3" t="str">
        <f>HYPERLINK("https://www.boe.es/gazeta/dias/1814/08/13/pdfs/GMD-1814-111.pdf#page=7","Abrir facsímil")</f>
        <v>Abrir facsímil</v>
      </c>
      <c r="K1595" s="3" t="s">
        <v>23</v>
      </c>
    </row>
    <row r="1596" spans="1:11" ht="42" customHeight="1">
      <c r="A1596" s="2" t="s">
        <v>3915</v>
      </c>
      <c r="B1596" s="2" t="s">
        <v>3916</v>
      </c>
      <c r="C1596" s="2" t="s">
        <v>17</v>
      </c>
      <c r="D1596" s="2" t="s">
        <v>18</v>
      </c>
      <c r="E1596" s="5">
        <v>-31259</v>
      </c>
      <c r="F1596" s="3" t="s">
        <v>853</v>
      </c>
      <c r="G1596" s="3" t="s">
        <v>20</v>
      </c>
      <c r="H1596" s="2" t="s">
        <v>62</v>
      </c>
      <c r="I1596" s="2" t="s">
        <v>3917</v>
      </c>
      <c r="J1596" s="3" t="str">
        <f>HYPERLINK("https://www.boe.es/gazeta/dias/1814/05/31/pdfs/GMD-1814-79.pdf#page=7","Abrir facsímil")</f>
        <v>Abrir facsímil</v>
      </c>
      <c r="K1596" s="3" t="s">
        <v>64</v>
      </c>
    </row>
    <row r="1597" spans="1:11" ht="42" customHeight="1">
      <c r="A1597" s="2" t="s">
        <v>3918</v>
      </c>
      <c r="B1597" s="2" t="s">
        <v>3919</v>
      </c>
      <c r="C1597" s="2" t="s">
        <v>26</v>
      </c>
      <c r="D1597" s="2" t="s">
        <v>27</v>
      </c>
      <c r="E1597" s="5">
        <v>-31392</v>
      </c>
      <c r="F1597" s="3" t="s">
        <v>195</v>
      </c>
      <c r="G1597" s="3" t="s">
        <v>758</v>
      </c>
      <c r="H1597" s="2" t="s">
        <v>62</v>
      </c>
      <c r="I1597" s="2" t="s">
        <v>3920</v>
      </c>
      <c r="J1597" s="3" t="str">
        <f>HYPERLINK("https://www.boe.es/gazeta/dias/1814/01/18/pdfs/GRE-1814-9.pdf#page=8","Abrir facsímil")</f>
        <v>Abrir facsímil</v>
      </c>
      <c r="K1597" s="3" t="s">
        <v>64</v>
      </c>
    </row>
    <row r="1598" spans="1:11" ht="42" customHeight="1">
      <c r="A1598" s="2" t="s">
        <v>3918</v>
      </c>
      <c r="B1598" s="2" t="s">
        <v>3919</v>
      </c>
      <c r="C1598" s="2" t="s">
        <v>26</v>
      </c>
      <c r="D1598" s="2" t="s">
        <v>27</v>
      </c>
      <c r="E1598" s="5">
        <v>-31250</v>
      </c>
      <c r="F1598" s="3" t="s">
        <v>177</v>
      </c>
      <c r="G1598" s="3" t="s">
        <v>52</v>
      </c>
      <c r="H1598" s="2" t="s">
        <v>62</v>
      </c>
      <c r="I1598" s="2" t="s">
        <v>3921</v>
      </c>
      <c r="J1598" s="3" t="str">
        <f>HYPERLINK("https://www.boe.es/gazeta/dias/1814/06/09/pdfs/GMD-1814-83.pdf#page=8","Abrir facsímil")</f>
        <v>Abrir facsímil</v>
      </c>
      <c r="K1598" s="3" t="s">
        <v>64</v>
      </c>
    </row>
    <row r="1599" spans="1:11" ht="42" customHeight="1">
      <c r="A1599" s="2" t="s">
        <v>3918</v>
      </c>
      <c r="B1599" s="2" t="s">
        <v>3919</v>
      </c>
      <c r="C1599" s="2" t="s">
        <v>17</v>
      </c>
      <c r="D1599" s="2" t="s">
        <v>18</v>
      </c>
      <c r="E1599" s="5">
        <v>-31224</v>
      </c>
      <c r="F1599" s="3" t="s">
        <v>609</v>
      </c>
      <c r="G1599" s="3" t="s">
        <v>322</v>
      </c>
      <c r="H1599" s="2" t="s">
        <v>62</v>
      </c>
      <c r="I1599" s="2" t="s">
        <v>3922</v>
      </c>
      <c r="J1599" s="3" t="str">
        <f>HYPERLINK("https://www.boe.es/gazeta/dias/1814/07/05/pdfs/GMD-1814-94.pdf#page=12","Abrir facsímil")</f>
        <v>Abrir facsímil</v>
      </c>
      <c r="K1599" s="3" t="s">
        <v>64</v>
      </c>
    </row>
    <row r="1600" spans="1:11" ht="42" customHeight="1">
      <c r="A1600" s="2" t="s">
        <v>3923</v>
      </c>
      <c r="B1600" s="2" t="s">
        <v>3924</v>
      </c>
      <c r="C1600" s="2" t="s">
        <v>38</v>
      </c>
      <c r="D1600" s="2" t="s">
        <v>39</v>
      </c>
      <c r="E1600" s="5">
        <v>-31252</v>
      </c>
      <c r="F1600" s="3" t="s">
        <v>364</v>
      </c>
      <c r="G1600" s="3" t="s">
        <v>1437</v>
      </c>
      <c r="H1600" s="2" t="s">
        <v>62</v>
      </c>
      <c r="I1600" s="2" t="s">
        <v>3925</v>
      </c>
      <c r="J1600" s="3" t="str">
        <f>HYPERLINK("https://www.boe.es/gazeta/dias/1814/06/07/pdfs/GMD-1814-82.pdf#page=11","Abrir facsímil")</f>
        <v>Abrir facsímil</v>
      </c>
      <c r="K1600" s="3" t="s">
        <v>64</v>
      </c>
    </row>
    <row r="1601" spans="1:11" ht="42" customHeight="1">
      <c r="A1601" s="2" t="s">
        <v>3923</v>
      </c>
      <c r="B1601" s="2" t="s">
        <v>3924</v>
      </c>
      <c r="C1601" s="2" t="s">
        <v>26</v>
      </c>
      <c r="D1601" s="2" t="s">
        <v>27</v>
      </c>
      <c r="E1601" s="5">
        <v>-31224</v>
      </c>
      <c r="F1601" s="3" t="s">
        <v>609</v>
      </c>
      <c r="G1601" s="3" t="s">
        <v>704</v>
      </c>
      <c r="H1601" s="2" t="s">
        <v>62</v>
      </c>
      <c r="I1601" s="2" t="s">
        <v>3926</v>
      </c>
      <c r="J1601" s="3" t="str">
        <f>HYPERLINK("https://www.boe.es/gazeta/dias/1814/07/05/pdfs/GMD-1814-94.pdf#page=10","Abrir facsímil")</f>
        <v>Abrir facsímil</v>
      </c>
      <c r="K1601" s="3" t="s">
        <v>64</v>
      </c>
    </row>
    <row r="1602" spans="1:11" ht="42" customHeight="1">
      <c r="A1602" s="2" t="s">
        <v>3923</v>
      </c>
      <c r="B1602" s="2" t="s">
        <v>3924</v>
      </c>
      <c r="C1602" s="2" t="s">
        <v>26</v>
      </c>
      <c r="D1602" s="2" t="s">
        <v>27</v>
      </c>
      <c r="E1602" s="5">
        <v>-31119</v>
      </c>
      <c r="F1602" s="3" t="s">
        <v>136</v>
      </c>
      <c r="G1602" s="3" t="s">
        <v>20</v>
      </c>
      <c r="H1602" s="2" t="s">
        <v>62</v>
      </c>
      <c r="I1602" s="2" t="s">
        <v>3927</v>
      </c>
      <c r="J1602" s="3" t="str">
        <f>HYPERLINK("https://www.boe.es/gazeta/dias/1814/10/18/pdfs/GMD-1814-140.pdf#page=7","Abrir facsímil")</f>
        <v>Abrir facsímil</v>
      </c>
      <c r="K1602" s="3" t="s">
        <v>64</v>
      </c>
    </row>
    <row r="1603" spans="1:11" ht="42" customHeight="1">
      <c r="A1603" s="2" t="s">
        <v>3928</v>
      </c>
      <c r="B1603" s="2" t="s">
        <v>3929</v>
      </c>
      <c r="C1603" s="2" t="s">
        <v>38</v>
      </c>
      <c r="D1603" s="2" t="s">
        <v>39</v>
      </c>
      <c r="E1603" s="5">
        <v>-31376</v>
      </c>
      <c r="F1603" s="3" t="s">
        <v>1954</v>
      </c>
      <c r="G1603" s="3" t="s">
        <v>2546</v>
      </c>
      <c r="H1603" s="2" t="s">
        <v>62</v>
      </c>
      <c r="I1603" s="2" t="s">
        <v>3930</v>
      </c>
      <c r="J1603" s="3" t="str">
        <f>HYPERLINK("https://www.boe.es/gazeta/dias/1814/02/03/pdfs/GRE-1814-16.pdf#page=5","Abrir facsímil")</f>
        <v>Abrir facsímil</v>
      </c>
      <c r="K1603" s="3" t="s">
        <v>64</v>
      </c>
    </row>
    <row r="1604" spans="1:11" ht="42" customHeight="1">
      <c r="A1604" s="2" t="s">
        <v>3931</v>
      </c>
      <c r="B1604" s="2" t="s">
        <v>3932</v>
      </c>
      <c r="C1604" s="2" t="s">
        <v>38</v>
      </c>
      <c r="D1604" s="2" t="s">
        <v>39</v>
      </c>
      <c r="E1604" s="5">
        <v>-31117</v>
      </c>
      <c r="F1604" s="3" t="s">
        <v>172</v>
      </c>
      <c r="G1604" s="3" t="s">
        <v>3933</v>
      </c>
      <c r="H1604" s="2" t="s">
        <v>62</v>
      </c>
      <c r="I1604" s="2" t="s">
        <v>3934</v>
      </c>
      <c r="J1604" s="3" t="str">
        <f>HYPERLINK("https://www.boe.es/gazeta/dias/1814/10/20/pdfs/GMD-1814-141.pdf#page=5","Abrir facsímil")</f>
        <v>Abrir facsímil</v>
      </c>
      <c r="K1604" s="3" t="s">
        <v>64</v>
      </c>
    </row>
    <row r="1605" spans="1:11" ht="42" customHeight="1">
      <c r="A1605" s="2" t="s">
        <v>3935</v>
      </c>
      <c r="B1605" s="2" t="s">
        <v>3936</v>
      </c>
      <c r="C1605" s="2" t="s">
        <v>309</v>
      </c>
      <c r="D1605" s="2" t="s">
        <v>18</v>
      </c>
      <c r="E1605" s="5">
        <v>-31217</v>
      </c>
      <c r="F1605" s="3" t="s">
        <v>506</v>
      </c>
      <c r="G1605" s="3" t="s">
        <v>322</v>
      </c>
      <c r="H1605" s="2" t="s">
        <v>62</v>
      </c>
      <c r="I1605" s="2" t="s">
        <v>3937</v>
      </c>
      <c r="J1605" s="3" t="str">
        <f>HYPERLINK("https://www.boe.es/gazeta/dias/1814/07/12/pdfs/GMD-1814-97.pdf#page=12","Abrir facsímil")</f>
        <v>Abrir facsímil</v>
      </c>
      <c r="K1605" s="3" t="s">
        <v>64</v>
      </c>
    </row>
    <row r="1606" spans="1:11" ht="42" customHeight="1">
      <c r="A1606" s="2" t="s">
        <v>3938</v>
      </c>
      <c r="B1606" s="2" t="s">
        <v>3938</v>
      </c>
      <c r="C1606" s="2" t="s">
        <v>38</v>
      </c>
      <c r="D1606" s="2" t="s">
        <v>39</v>
      </c>
      <c r="E1606" s="5">
        <v>-31220</v>
      </c>
      <c r="F1606" s="3" t="s">
        <v>122</v>
      </c>
      <c r="G1606" s="3" t="s">
        <v>52</v>
      </c>
      <c r="H1606" s="2" t="s">
        <v>62</v>
      </c>
      <c r="I1606" s="2" t="s">
        <v>3939</v>
      </c>
      <c r="J1606" s="3" t="str">
        <f>HYPERLINK("https://www.boe.es/gazeta/dias/1814/07/09/pdfs/GMD-1814-96.pdf#page=8","Abrir facsímil")</f>
        <v>Abrir facsímil</v>
      </c>
      <c r="K1606" s="3" t="s">
        <v>64</v>
      </c>
    </row>
    <row r="1607" spans="1:11" ht="42" customHeight="1">
      <c r="A1607" s="2" t="s">
        <v>3940</v>
      </c>
      <c r="B1607" s="2" t="s">
        <v>3941</v>
      </c>
      <c r="C1607" s="2" t="s">
        <v>26</v>
      </c>
      <c r="D1607" s="2" t="s">
        <v>27</v>
      </c>
      <c r="E1607" s="5">
        <v>-31245</v>
      </c>
      <c r="F1607" s="3" t="s">
        <v>908</v>
      </c>
      <c r="G1607" s="3" t="s">
        <v>704</v>
      </c>
      <c r="H1607" s="2" t="s">
        <v>62</v>
      </c>
      <c r="I1607" s="2" t="s">
        <v>3942</v>
      </c>
      <c r="J1607" s="3" t="str">
        <f>HYPERLINK("https://www.boe.es/gazeta/dias/1814/06/14/pdfs/GMD-1814-85.pdf#page=10","Abrir facsímil")</f>
        <v>Abrir facsímil</v>
      </c>
      <c r="K1607" s="3" t="s">
        <v>64</v>
      </c>
    </row>
    <row r="1608" spans="1:11" ht="42" customHeight="1">
      <c r="A1608" s="2" t="s">
        <v>3943</v>
      </c>
      <c r="B1608" s="2" t="s">
        <v>3944</v>
      </c>
      <c r="C1608" s="2" t="s">
        <v>26</v>
      </c>
      <c r="D1608" s="2" t="s">
        <v>27</v>
      </c>
      <c r="E1608" s="5">
        <v>-31152</v>
      </c>
      <c r="F1608" s="3" t="s">
        <v>199</v>
      </c>
      <c r="G1608" s="3" t="s">
        <v>20</v>
      </c>
      <c r="H1608" s="2" t="s">
        <v>62</v>
      </c>
      <c r="I1608" s="2" t="s">
        <v>3945</v>
      </c>
      <c r="J1608" s="3" t="str">
        <f>HYPERLINK("https://www.boe.es/gazeta/dias/1814/09/15/pdfs/GMD-1814-126.pdf#page=7","Abrir facsímil")</f>
        <v>Abrir facsímil</v>
      </c>
      <c r="K1608" s="3" t="s">
        <v>64</v>
      </c>
    </row>
    <row r="1609" spans="1:11" ht="42" customHeight="1">
      <c r="A1609" s="2" t="s">
        <v>3946</v>
      </c>
      <c r="B1609" s="2" t="s">
        <v>3947</v>
      </c>
      <c r="C1609" s="2" t="s">
        <v>26</v>
      </c>
      <c r="D1609" s="2" t="s">
        <v>27</v>
      </c>
      <c r="E1609" s="5">
        <v>-31119</v>
      </c>
      <c r="F1609" s="3" t="s">
        <v>136</v>
      </c>
      <c r="G1609" s="3" t="s">
        <v>704</v>
      </c>
      <c r="H1609" s="2" t="s">
        <v>62</v>
      </c>
      <c r="I1609" s="2" t="s">
        <v>3948</v>
      </c>
      <c r="J1609" s="3" t="str">
        <f>HYPERLINK("https://www.boe.es/gazeta/dias/1814/10/18/pdfs/GMD-1814-140.pdf#page=10","Abrir facsímil")</f>
        <v>Abrir facsímil</v>
      </c>
      <c r="K1609" s="3" t="s">
        <v>64</v>
      </c>
    </row>
    <row r="1610" spans="1:11" ht="42" customHeight="1">
      <c r="A1610" s="2" t="s">
        <v>3949</v>
      </c>
      <c r="B1610" s="2" t="s">
        <v>3950</v>
      </c>
      <c r="C1610" s="2" t="s">
        <v>38</v>
      </c>
      <c r="D1610" s="2" t="s">
        <v>39</v>
      </c>
      <c r="E1610" s="5">
        <v>-31171</v>
      </c>
      <c r="F1610" s="3" t="s">
        <v>157</v>
      </c>
      <c r="G1610" s="3" t="s">
        <v>57</v>
      </c>
      <c r="H1610" s="2" t="s">
        <v>62</v>
      </c>
      <c r="I1610" s="2" t="s">
        <v>3951</v>
      </c>
      <c r="J1610" s="3" t="str">
        <f>HYPERLINK("https://www.boe.es/gazeta/dias/1814/08/27/pdfs/GMD-1814-117.pdf#page=6","Abrir facsímil")</f>
        <v>Abrir facsímil</v>
      </c>
      <c r="K1610" s="3" t="s">
        <v>64</v>
      </c>
    </row>
    <row r="1611" spans="1:11" ht="42" customHeight="1">
      <c r="A1611" s="2" t="s">
        <v>3952</v>
      </c>
      <c r="B1611" s="2" t="s">
        <v>3952</v>
      </c>
      <c r="C1611" s="2" t="s">
        <v>38</v>
      </c>
      <c r="D1611" s="2" t="s">
        <v>39</v>
      </c>
      <c r="E1611" s="5">
        <v>-31103</v>
      </c>
      <c r="F1611" s="3" t="s">
        <v>1260</v>
      </c>
      <c r="G1611" s="3" t="s">
        <v>82</v>
      </c>
      <c r="H1611" s="2" t="s">
        <v>62</v>
      </c>
      <c r="I1611" s="2" t="s">
        <v>3953</v>
      </c>
      <c r="J1611" s="3" t="str">
        <f>HYPERLINK("https://www.boe.es/gazeta/dias/1814/11/03/pdfs/GMD-1814-147.pdf#page=3","Abrir facsímil")</f>
        <v>Abrir facsímil</v>
      </c>
      <c r="K1611" s="3" t="s">
        <v>64</v>
      </c>
    </row>
    <row r="1612" spans="1:11" ht="42" customHeight="1">
      <c r="A1612" s="2" t="s">
        <v>3954</v>
      </c>
      <c r="B1612" s="2" t="s">
        <v>3955</v>
      </c>
      <c r="C1612" s="2" t="s">
        <v>26</v>
      </c>
      <c r="D1612" s="2" t="s">
        <v>27</v>
      </c>
      <c r="E1612" s="5">
        <v>-31152</v>
      </c>
      <c r="F1612" s="3" t="s">
        <v>199</v>
      </c>
      <c r="G1612" s="3" t="s">
        <v>41</v>
      </c>
      <c r="H1612" s="2" t="s">
        <v>62</v>
      </c>
      <c r="I1612" s="2" t="s">
        <v>3956</v>
      </c>
      <c r="J1612" s="3" t="str">
        <f>HYPERLINK("https://www.boe.es/gazeta/dias/1814/09/15/pdfs/GMD-1814-126.pdf#page=4","Abrir facsímil")</f>
        <v>Abrir facsímil</v>
      </c>
      <c r="K1612" s="3" t="s">
        <v>64</v>
      </c>
    </row>
    <row r="1613" spans="1:11" ht="42" customHeight="1">
      <c r="A1613" s="2" t="s">
        <v>3957</v>
      </c>
      <c r="B1613" s="2" t="s">
        <v>3958</v>
      </c>
      <c r="C1613" s="2" t="s">
        <v>38</v>
      </c>
      <c r="D1613" s="2" t="s">
        <v>39</v>
      </c>
      <c r="E1613" s="5">
        <v>-31250</v>
      </c>
      <c r="F1613" s="3" t="s">
        <v>177</v>
      </c>
      <c r="G1613" s="3" t="s">
        <v>52</v>
      </c>
      <c r="H1613" s="2" t="s">
        <v>62</v>
      </c>
      <c r="I1613" s="2" t="s">
        <v>3959</v>
      </c>
      <c r="J1613" s="3" t="str">
        <f>HYPERLINK("https://www.boe.es/gazeta/dias/1814/06/09/pdfs/GMD-1814-83.pdf#page=8","Abrir facsímil")</f>
        <v>Abrir facsímil</v>
      </c>
      <c r="K1613" s="3" t="s">
        <v>64</v>
      </c>
    </row>
    <row r="1614" spans="1:11" ht="42" customHeight="1">
      <c r="A1614" s="2" t="s">
        <v>3960</v>
      </c>
      <c r="B1614" s="2" t="s">
        <v>3961</v>
      </c>
      <c r="C1614" s="2" t="s">
        <v>144</v>
      </c>
      <c r="D1614" s="2" t="s">
        <v>18</v>
      </c>
      <c r="E1614" s="5">
        <v>-31355</v>
      </c>
      <c r="F1614" s="3" t="s">
        <v>50</v>
      </c>
      <c r="G1614" s="3" t="s">
        <v>2740</v>
      </c>
      <c r="H1614" s="2" t="s">
        <v>62</v>
      </c>
      <c r="I1614" s="2" t="s">
        <v>3962</v>
      </c>
      <c r="J1614" s="3" t="str">
        <f>HYPERLINK("https://www.boe.es/gazeta/dias/1814/02/24/pdfs/GRE-1814-26.pdf#page=6","Abrir facsímil")</f>
        <v>Abrir facsímil</v>
      </c>
      <c r="K1614" s="3" t="s">
        <v>64</v>
      </c>
    </row>
    <row r="1615" spans="1:11" ht="42" customHeight="1">
      <c r="A1615" s="2" t="s">
        <v>3963</v>
      </c>
      <c r="B1615" s="2" t="s">
        <v>3963</v>
      </c>
      <c r="C1615" s="2" t="s">
        <v>17</v>
      </c>
      <c r="D1615" s="2" t="s">
        <v>18</v>
      </c>
      <c r="E1615" s="5">
        <v>-31250</v>
      </c>
      <c r="F1615" s="3" t="s">
        <v>177</v>
      </c>
      <c r="G1615" s="3" t="s">
        <v>52</v>
      </c>
      <c r="H1615" s="2" t="s">
        <v>62</v>
      </c>
      <c r="I1615" s="2" t="s">
        <v>3964</v>
      </c>
      <c r="J1615" s="3" t="str">
        <f>HYPERLINK("https://www.boe.es/gazeta/dias/1814/06/09/pdfs/GMD-1814-83.pdf#page=8","Abrir facsímil")</f>
        <v>Abrir facsímil</v>
      </c>
      <c r="K1615" s="3" t="s">
        <v>64</v>
      </c>
    </row>
    <row r="1616" spans="1:11" ht="42" customHeight="1">
      <c r="A1616" s="2" t="s">
        <v>3965</v>
      </c>
      <c r="B1616" s="2" t="s">
        <v>3966</v>
      </c>
      <c r="C1616" s="2" t="s">
        <v>26</v>
      </c>
      <c r="D1616" s="2" t="s">
        <v>27</v>
      </c>
      <c r="E1616" s="5">
        <v>-31182</v>
      </c>
      <c r="F1616" s="3" t="s">
        <v>19</v>
      </c>
      <c r="G1616" s="3" t="s">
        <v>3827</v>
      </c>
      <c r="H1616" s="2" t="s">
        <v>62</v>
      </c>
      <c r="I1616" s="2" t="s">
        <v>3967</v>
      </c>
      <c r="J1616" s="3" t="str">
        <f>HYPERLINK("https://www.boe.es/gazeta/dias/1814/08/16/pdfs/GMD-1814-112.pdf#page=8","Abrir facsímil")</f>
        <v>Abrir facsímil</v>
      </c>
      <c r="K1616" s="3" t="s">
        <v>64</v>
      </c>
    </row>
    <row r="1617" spans="1:11" ht="42" customHeight="1">
      <c r="A1617" s="2" t="s">
        <v>3968</v>
      </c>
      <c r="B1617" s="2" t="s">
        <v>3968</v>
      </c>
      <c r="C1617" s="2" t="s">
        <v>38</v>
      </c>
      <c r="D1617" s="2" t="s">
        <v>39</v>
      </c>
      <c r="E1617" s="5">
        <v>-31231</v>
      </c>
      <c r="F1617" s="3" t="s">
        <v>861</v>
      </c>
      <c r="G1617" s="3" t="s">
        <v>322</v>
      </c>
      <c r="H1617" s="2" t="s">
        <v>62</v>
      </c>
      <c r="I1617" s="2" t="s">
        <v>3969</v>
      </c>
      <c r="J1617" s="3" t="str">
        <f>HYPERLINK("https://www.boe.es/gazeta/dias/1814/06/28/pdfs/GMD-1814-91.pdf#page=12","Abrir facsímil")</f>
        <v>Abrir facsímil</v>
      </c>
      <c r="K1617" s="3" t="s">
        <v>64</v>
      </c>
    </row>
    <row r="1618" spans="1:11" ht="42" customHeight="1">
      <c r="A1618" s="2" t="s">
        <v>3968</v>
      </c>
      <c r="B1618" s="2" t="s">
        <v>3968</v>
      </c>
      <c r="C1618" s="2" t="s">
        <v>32</v>
      </c>
      <c r="D1618" s="2" t="s">
        <v>18</v>
      </c>
      <c r="E1618" s="5">
        <v>-31110</v>
      </c>
      <c r="F1618" s="3" t="s">
        <v>149</v>
      </c>
      <c r="G1618" s="3" t="s">
        <v>52</v>
      </c>
      <c r="H1618" s="2" t="s">
        <v>62</v>
      </c>
      <c r="I1618" s="2" t="s">
        <v>3970</v>
      </c>
      <c r="J1618" s="3" t="str">
        <f>HYPERLINK("https://www.boe.es/gazeta/dias/1814/10/27/pdfs/GMD-1814-144.pdf#page=8","Abrir facsímil")</f>
        <v>Abrir facsímil</v>
      </c>
      <c r="K1618" s="3" t="s">
        <v>64</v>
      </c>
    </row>
    <row r="1619" spans="1:11" ht="42" customHeight="1">
      <c r="A1619" s="2" t="s">
        <v>3971</v>
      </c>
      <c r="B1619" s="2" t="s">
        <v>3972</v>
      </c>
      <c r="C1619" s="2" t="s">
        <v>26</v>
      </c>
      <c r="D1619" s="2" t="s">
        <v>27</v>
      </c>
      <c r="E1619" s="5">
        <v>-31385</v>
      </c>
      <c r="F1619" s="3" t="s">
        <v>783</v>
      </c>
      <c r="G1619" s="3" t="s">
        <v>52</v>
      </c>
      <c r="H1619" s="2" t="s">
        <v>21</v>
      </c>
      <c r="I1619" s="2" t="s">
        <v>3973</v>
      </c>
      <c r="J1619" s="3" t="str">
        <f>HYPERLINK("https://www.boe.es/gazeta/dias/1814/01/25/pdfs/GRE-1814-12.pdf#page=8","Abrir facsímil")</f>
        <v>Abrir facsímil</v>
      </c>
      <c r="K1619" s="3" t="s">
        <v>23</v>
      </c>
    </row>
    <row r="1620" spans="1:11" ht="42" customHeight="1">
      <c r="A1620" s="2" t="s">
        <v>3971</v>
      </c>
      <c r="B1620" s="2" t="s">
        <v>3972</v>
      </c>
      <c r="C1620" s="2" t="s">
        <v>26</v>
      </c>
      <c r="D1620" s="2" t="s">
        <v>27</v>
      </c>
      <c r="E1620" s="5">
        <v>-31059</v>
      </c>
      <c r="F1620" s="3" t="s">
        <v>263</v>
      </c>
      <c r="G1620" s="3" t="s">
        <v>297</v>
      </c>
      <c r="H1620" s="2" t="s">
        <v>21</v>
      </c>
      <c r="I1620" s="2" t="s">
        <v>3974</v>
      </c>
      <c r="J1620" s="3" t="str">
        <f>HYPERLINK("https://www.boe.es/gazeta/dias/1814/12/17/pdfs/GMD-1814-167.pdf#page=8","Abrir facsímil")</f>
        <v>Abrir facsímil</v>
      </c>
      <c r="K1620" s="3" t="s">
        <v>23</v>
      </c>
    </row>
    <row r="1621" spans="1:11" ht="42" customHeight="1">
      <c r="A1621" s="2" t="s">
        <v>3975</v>
      </c>
      <c r="B1621" s="2" t="s">
        <v>3975</v>
      </c>
      <c r="C1621" s="2" t="s">
        <v>38</v>
      </c>
      <c r="D1621" s="2" t="s">
        <v>39</v>
      </c>
      <c r="E1621" s="5">
        <v>-31080</v>
      </c>
      <c r="F1621" s="3" t="s">
        <v>286</v>
      </c>
      <c r="G1621" s="3" t="s">
        <v>82</v>
      </c>
      <c r="H1621" s="2" t="s">
        <v>62</v>
      </c>
      <c r="I1621" s="2" t="s">
        <v>3976</v>
      </c>
      <c r="J1621" s="3" t="str">
        <f>HYPERLINK("https://www.boe.es/gazeta/dias/1814/11/26/pdfs/GMD-1814-157.pdf#page=3","Abrir facsímil")</f>
        <v>Abrir facsímil</v>
      </c>
      <c r="K1621" s="3" t="s">
        <v>64</v>
      </c>
    </row>
    <row r="1622" spans="1:11" ht="42" customHeight="1">
      <c r="A1622" s="2" t="s">
        <v>3977</v>
      </c>
      <c r="B1622" s="2" t="s">
        <v>3978</v>
      </c>
      <c r="C1622" s="2" t="s">
        <v>38</v>
      </c>
      <c r="D1622" s="2" t="s">
        <v>39</v>
      </c>
      <c r="E1622" s="5">
        <v>-31049</v>
      </c>
      <c r="F1622" s="3" t="s">
        <v>542</v>
      </c>
      <c r="G1622" s="3" t="s">
        <v>3979</v>
      </c>
      <c r="H1622" s="2" t="s">
        <v>21</v>
      </c>
      <c r="I1622" s="2" t="s">
        <v>3980</v>
      </c>
      <c r="J1622" s="3" t="str">
        <f>HYPERLINK("https://www.boe.es/gazeta/dias/1814/12/27/pdfs/GMD-1814-171.pdf#page=8","Abrir facsímil")</f>
        <v>Abrir facsímil</v>
      </c>
      <c r="K1622" s="3" t="s">
        <v>23</v>
      </c>
    </row>
    <row r="1623" spans="1:11" ht="42" customHeight="1">
      <c r="A1623" s="2" t="s">
        <v>3981</v>
      </c>
      <c r="B1623" s="2" t="s">
        <v>3981</v>
      </c>
      <c r="C1623" s="2" t="s">
        <v>38</v>
      </c>
      <c r="D1623" s="2" t="s">
        <v>39</v>
      </c>
      <c r="E1623" s="5">
        <v>-31311</v>
      </c>
      <c r="F1623" s="3" t="s">
        <v>3144</v>
      </c>
      <c r="G1623" s="3" t="s">
        <v>99</v>
      </c>
      <c r="H1623" s="2" t="s">
        <v>62</v>
      </c>
      <c r="I1623" s="2" t="s">
        <v>3982</v>
      </c>
      <c r="J1623" s="3" t="str">
        <f>HYPERLINK("https://www.boe.es/gazeta/dias/1814/04/09/pdfs/GRE-1814-51.pdf#page=5","Abrir facsímil")</f>
        <v>Abrir facsímil</v>
      </c>
      <c r="K1623" s="3" t="s">
        <v>64</v>
      </c>
    </row>
    <row r="1624" spans="1:11" ht="42" customHeight="1">
      <c r="A1624" s="2" t="s">
        <v>3983</v>
      </c>
      <c r="B1624" s="2" t="s">
        <v>3984</v>
      </c>
      <c r="C1624" s="2" t="s">
        <v>38</v>
      </c>
      <c r="D1624" s="2" t="s">
        <v>39</v>
      </c>
      <c r="E1624" s="5">
        <v>-31390</v>
      </c>
      <c r="F1624" s="3" t="s">
        <v>349</v>
      </c>
      <c r="G1624" s="3" t="s">
        <v>20</v>
      </c>
      <c r="H1624" s="2" t="s">
        <v>21</v>
      </c>
      <c r="I1624" s="2" t="s">
        <v>3985</v>
      </c>
      <c r="J1624" s="3" t="str">
        <f>HYPERLINK("https://www.boe.es/gazeta/dias/1814/01/20/pdfs/GRE-1814-10.pdf#page=7","Abrir facsímil")</f>
        <v>Abrir facsímil</v>
      </c>
      <c r="K1624" s="3" t="s">
        <v>23</v>
      </c>
    </row>
    <row r="1625" spans="1:11" ht="42" customHeight="1">
      <c r="A1625" s="2" t="s">
        <v>3986</v>
      </c>
      <c r="B1625" s="2" t="s">
        <v>3987</v>
      </c>
      <c r="C1625" s="2" t="s">
        <v>17</v>
      </c>
      <c r="D1625" s="2" t="s">
        <v>18</v>
      </c>
      <c r="E1625" s="5">
        <v>-31355</v>
      </c>
      <c r="F1625" s="3" t="s">
        <v>50</v>
      </c>
      <c r="G1625" s="3" t="s">
        <v>2740</v>
      </c>
      <c r="H1625" s="2" t="s">
        <v>62</v>
      </c>
      <c r="I1625" s="2" t="s">
        <v>3988</v>
      </c>
      <c r="J1625" s="3" t="str">
        <f>HYPERLINK("https://www.boe.es/gazeta/dias/1814/02/24/pdfs/GRE-1814-26.pdf#page=6","Abrir facsímil")</f>
        <v>Abrir facsímil</v>
      </c>
      <c r="K1625" s="3" t="s">
        <v>64</v>
      </c>
    </row>
    <row r="1626" spans="1:11" ht="42" customHeight="1">
      <c r="A1626" s="2" t="s">
        <v>3989</v>
      </c>
      <c r="B1626" s="2" t="s">
        <v>3989</v>
      </c>
      <c r="C1626" s="2" t="s">
        <v>38</v>
      </c>
      <c r="D1626" s="2" t="s">
        <v>39</v>
      </c>
      <c r="E1626" s="5">
        <v>-31180</v>
      </c>
      <c r="F1626" s="3" t="s">
        <v>520</v>
      </c>
      <c r="G1626" s="3" t="s">
        <v>107</v>
      </c>
      <c r="H1626" s="2" t="s">
        <v>62</v>
      </c>
      <c r="I1626" s="2" t="s">
        <v>3990</v>
      </c>
      <c r="J1626" s="3" t="str">
        <f>HYPERLINK("https://www.boe.es/gazeta/dias/1814/08/18/pdfs/GMD-1814-113.pdf#page=1","Abrir facsímil")</f>
        <v>Abrir facsímil</v>
      </c>
      <c r="K1626" s="3" t="s">
        <v>64</v>
      </c>
    </row>
    <row r="1627" spans="1:11" ht="42" customHeight="1">
      <c r="A1627" s="2" t="s">
        <v>3991</v>
      </c>
      <c r="B1627" s="2" t="s">
        <v>3991</v>
      </c>
      <c r="C1627" s="2" t="s">
        <v>38</v>
      </c>
      <c r="D1627" s="2" t="s">
        <v>39</v>
      </c>
      <c r="E1627" s="5">
        <v>-31084</v>
      </c>
      <c r="F1627" s="3" t="s">
        <v>282</v>
      </c>
      <c r="G1627" s="3" t="s">
        <v>87</v>
      </c>
      <c r="H1627" s="2" t="s">
        <v>62</v>
      </c>
      <c r="I1627" s="2" t="s">
        <v>3992</v>
      </c>
      <c r="J1627" s="3" t="str">
        <f>HYPERLINK("https://www.boe.es/gazeta/dias/1814/11/22/pdfs/GMD-1814-155.pdf#page=2","Abrir facsímil")</f>
        <v>Abrir facsímil</v>
      </c>
      <c r="K1627" s="3" t="s">
        <v>64</v>
      </c>
    </row>
    <row r="1628" spans="1:11" ht="42" customHeight="1">
      <c r="A1628" s="2" t="s">
        <v>3993</v>
      </c>
      <c r="B1628" s="2" t="s">
        <v>3994</v>
      </c>
      <c r="C1628" s="2" t="s">
        <v>17</v>
      </c>
      <c r="D1628" s="2" t="s">
        <v>18</v>
      </c>
      <c r="E1628" s="5">
        <v>-31390</v>
      </c>
      <c r="F1628" s="3" t="s">
        <v>349</v>
      </c>
      <c r="G1628" s="3" t="s">
        <v>52</v>
      </c>
      <c r="H1628" s="2" t="s">
        <v>62</v>
      </c>
      <c r="I1628" s="2" t="s">
        <v>3995</v>
      </c>
      <c r="J1628" s="3" t="str">
        <f>HYPERLINK("https://www.boe.es/gazeta/dias/1814/01/20/pdfs/GRE-1814-10.pdf#page=8","Abrir facsímil")</f>
        <v>Abrir facsímil</v>
      </c>
      <c r="K1628" s="3" t="s">
        <v>64</v>
      </c>
    </row>
    <row r="1629" spans="1:11" ht="42" customHeight="1">
      <c r="A1629" s="2" t="s">
        <v>3996</v>
      </c>
      <c r="B1629" s="2" t="s">
        <v>3997</v>
      </c>
      <c r="C1629" s="2" t="s">
        <v>144</v>
      </c>
      <c r="D1629" s="2" t="s">
        <v>18</v>
      </c>
      <c r="E1629" s="5">
        <v>-31077</v>
      </c>
      <c r="F1629" s="3" t="s">
        <v>414</v>
      </c>
      <c r="G1629" s="3" t="s">
        <v>57</v>
      </c>
      <c r="H1629" s="2" t="s">
        <v>62</v>
      </c>
      <c r="I1629" s="2" t="s">
        <v>3998</v>
      </c>
      <c r="J1629" s="3" t="str">
        <f>HYPERLINK("https://www.boe.es/gazeta/dias/1814/11/29/pdfs/GMD-1814-158.pdf#page=6","Abrir facsímil")</f>
        <v>Abrir facsímil</v>
      </c>
      <c r="K1629" s="3" t="s">
        <v>64</v>
      </c>
    </row>
    <row r="1630" spans="1:11" ht="42" customHeight="1">
      <c r="A1630" s="2" t="s">
        <v>3999</v>
      </c>
      <c r="B1630" s="2" t="s">
        <v>4000</v>
      </c>
      <c r="C1630" s="2" t="s">
        <v>38</v>
      </c>
      <c r="D1630" s="2" t="s">
        <v>39</v>
      </c>
      <c r="E1630" s="5">
        <v>-31077</v>
      </c>
      <c r="F1630" s="3" t="s">
        <v>414</v>
      </c>
      <c r="G1630" s="3" t="s">
        <v>57</v>
      </c>
      <c r="H1630" s="2" t="s">
        <v>62</v>
      </c>
      <c r="I1630" s="2" t="s">
        <v>4001</v>
      </c>
      <c r="J1630" s="3" t="str">
        <f>HYPERLINK("https://www.boe.es/gazeta/dias/1814/11/29/pdfs/GMD-1814-158.pdf#page=6","Abrir facsímil")</f>
        <v>Abrir facsímil</v>
      </c>
      <c r="K1630" s="3" t="s">
        <v>64</v>
      </c>
    </row>
    <row r="1631" spans="1:11" ht="42" customHeight="1">
      <c r="A1631" s="2" t="s">
        <v>4002</v>
      </c>
      <c r="B1631" s="2" t="s">
        <v>4003</v>
      </c>
      <c r="C1631" s="2" t="s">
        <v>38</v>
      </c>
      <c r="D1631" s="2" t="s">
        <v>314</v>
      </c>
      <c r="E1631" s="5">
        <v>-31328</v>
      </c>
      <c r="F1631" s="3" t="s">
        <v>442</v>
      </c>
      <c r="G1631" s="3" t="s">
        <v>41</v>
      </c>
      <c r="H1631" s="2" t="s">
        <v>62</v>
      </c>
      <c r="I1631" s="2" t="s">
        <v>4004</v>
      </c>
      <c r="J1631" s="3" t="str">
        <f>HYPERLINK("https://www.boe.es/gazeta/dias/1814/03/23/pdfs/GRE-1814-40E.pdf#page=4","Abrir facsímil")</f>
        <v>Abrir facsímil</v>
      </c>
      <c r="K1631" s="3" t="s">
        <v>64</v>
      </c>
    </row>
    <row r="1632" spans="1:11" ht="42" customHeight="1">
      <c r="A1632" s="2" t="s">
        <v>4002</v>
      </c>
      <c r="B1632" s="2" t="s">
        <v>4003</v>
      </c>
      <c r="C1632" s="2" t="s">
        <v>38</v>
      </c>
      <c r="D1632" s="2" t="s">
        <v>314</v>
      </c>
      <c r="E1632" s="5">
        <v>-31328</v>
      </c>
      <c r="F1632" s="3" t="s">
        <v>442</v>
      </c>
      <c r="G1632" s="3" t="s">
        <v>57</v>
      </c>
      <c r="H1632" s="2" t="s">
        <v>62</v>
      </c>
      <c r="I1632" s="2" t="s">
        <v>4005</v>
      </c>
      <c r="J1632" s="3" t="str">
        <f>HYPERLINK("https://www.boe.es/gazeta/dias/1814/03/23/pdfs/GRE-1814-40E.pdf#page=6","Abrir facsímil")</f>
        <v>Abrir facsímil</v>
      </c>
      <c r="K1632" s="3" t="s">
        <v>64</v>
      </c>
    </row>
    <row r="1633" spans="1:11" ht="42" customHeight="1">
      <c r="A1633" s="2" t="s">
        <v>4002</v>
      </c>
      <c r="B1633" s="2" t="s">
        <v>4003</v>
      </c>
      <c r="C1633" s="2" t="s">
        <v>38</v>
      </c>
      <c r="D1633" s="2" t="s">
        <v>314</v>
      </c>
      <c r="E1633" s="5">
        <v>-31328</v>
      </c>
      <c r="F1633" s="3" t="s">
        <v>442</v>
      </c>
      <c r="G1633" s="3" t="s">
        <v>20</v>
      </c>
      <c r="H1633" s="2" t="s">
        <v>62</v>
      </c>
      <c r="I1633" s="2" t="s">
        <v>4006</v>
      </c>
      <c r="J1633" s="3" t="str">
        <f>HYPERLINK("https://www.boe.es/gazeta/dias/1814/03/23/pdfs/GRE-1814-40E.pdf#page=7","Abrir facsímil")</f>
        <v>Abrir facsímil</v>
      </c>
      <c r="K1633" s="3" t="s">
        <v>64</v>
      </c>
    </row>
    <row r="1634" spans="1:11" ht="42" customHeight="1">
      <c r="A1634" s="2" t="s">
        <v>4002</v>
      </c>
      <c r="B1634" s="2" t="s">
        <v>4003</v>
      </c>
      <c r="C1634" s="2" t="s">
        <v>144</v>
      </c>
      <c r="D1634" s="2" t="s">
        <v>18</v>
      </c>
      <c r="E1634" s="5">
        <v>-31077</v>
      </c>
      <c r="F1634" s="3" t="s">
        <v>414</v>
      </c>
      <c r="G1634" s="3" t="s">
        <v>57</v>
      </c>
      <c r="H1634" s="2" t="s">
        <v>62</v>
      </c>
      <c r="I1634" s="2" t="s">
        <v>4007</v>
      </c>
      <c r="J1634" s="3" t="str">
        <f>HYPERLINK("https://www.boe.es/gazeta/dias/1814/11/29/pdfs/GMD-1814-158.pdf#page=6","Abrir facsímil")</f>
        <v>Abrir facsímil</v>
      </c>
      <c r="K1634" s="3" t="s">
        <v>64</v>
      </c>
    </row>
    <row r="1635" spans="1:11" ht="42" customHeight="1">
      <c r="A1635" s="2" t="s">
        <v>4008</v>
      </c>
      <c r="B1635" s="2" t="s">
        <v>4008</v>
      </c>
      <c r="C1635" s="2" t="s">
        <v>26</v>
      </c>
      <c r="D1635" s="2" t="s">
        <v>27</v>
      </c>
      <c r="E1635" s="5">
        <v>-31126</v>
      </c>
      <c r="F1635" s="3" t="s">
        <v>56</v>
      </c>
      <c r="G1635" s="3" t="s">
        <v>52</v>
      </c>
      <c r="H1635" s="2" t="s">
        <v>62</v>
      </c>
      <c r="I1635" s="2" t="s">
        <v>4009</v>
      </c>
      <c r="J1635" s="3" t="str">
        <f>HYPERLINK("https://www.boe.es/gazeta/dias/1814/10/11/pdfs/GMD-1814-137.pdf#page=8","Abrir facsímil")</f>
        <v>Abrir facsímil</v>
      </c>
      <c r="K1635" s="3" t="s">
        <v>64</v>
      </c>
    </row>
    <row r="1636" spans="1:11" ht="42" customHeight="1">
      <c r="A1636" s="2" t="s">
        <v>4010</v>
      </c>
      <c r="B1636" s="2" t="s">
        <v>4010</v>
      </c>
      <c r="C1636" s="2" t="s">
        <v>38</v>
      </c>
      <c r="D1636" s="2" t="s">
        <v>39</v>
      </c>
      <c r="E1636" s="5">
        <v>-31045</v>
      </c>
      <c r="F1636" s="3" t="s">
        <v>165</v>
      </c>
      <c r="G1636" s="3" t="s">
        <v>99</v>
      </c>
      <c r="H1636" s="2" t="s">
        <v>62</v>
      </c>
      <c r="I1636" s="2" t="s">
        <v>4011</v>
      </c>
      <c r="J1636" s="3" t="str">
        <f>HYPERLINK("https://www.boe.es/gazeta/dias/1814/12/31/pdfs/GMD-1814-173.pdf#page=5","Abrir facsímil")</f>
        <v>Abrir facsímil</v>
      </c>
      <c r="K1636" s="3" t="s">
        <v>64</v>
      </c>
    </row>
    <row r="1637" spans="1:11" ht="42" customHeight="1">
      <c r="A1637" s="2" t="s">
        <v>4012</v>
      </c>
      <c r="B1637" s="2" t="s">
        <v>4013</v>
      </c>
      <c r="C1637" s="2" t="s">
        <v>32</v>
      </c>
      <c r="D1637" s="2" t="s">
        <v>18</v>
      </c>
      <c r="E1637" s="5">
        <v>-31147</v>
      </c>
      <c r="F1637" s="3" t="s">
        <v>86</v>
      </c>
      <c r="G1637" s="3" t="s">
        <v>52</v>
      </c>
      <c r="H1637" s="2" t="s">
        <v>62</v>
      </c>
      <c r="I1637" s="2" t="s">
        <v>4014</v>
      </c>
      <c r="J1637" s="3" t="str">
        <f>HYPERLINK("https://www.boe.es/gazeta/dias/1814/09/20/pdfs/GMD-1814-128.pdf#page=8","Abrir facsímil")</f>
        <v>Abrir facsímil</v>
      </c>
      <c r="K1637" s="3" t="s">
        <v>64</v>
      </c>
    </row>
    <row r="1638" spans="1:11" ht="42" customHeight="1">
      <c r="A1638" s="2" t="s">
        <v>4012</v>
      </c>
      <c r="B1638" s="2" t="s">
        <v>4013</v>
      </c>
      <c r="C1638" s="2" t="s">
        <v>26</v>
      </c>
      <c r="D1638" s="2" t="s">
        <v>27</v>
      </c>
      <c r="E1638" s="5">
        <v>-31089</v>
      </c>
      <c r="F1638" s="3" t="s">
        <v>531</v>
      </c>
      <c r="G1638" s="3" t="s">
        <v>794</v>
      </c>
      <c r="H1638" s="2" t="s">
        <v>62</v>
      </c>
      <c r="I1638" s="2" t="s">
        <v>4015</v>
      </c>
      <c r="J1638" s="3" t="str">
        <f>HYPERLINK("https://www.boe.es/gazeta/dias/1814/11/17/pdfs/GMD-1814-153.pdf#page=8","Abrir facsímil")</f>
        <v>Abrir facsímil</v>
      </c>
      <c r="K1638" s="3" t="s">
        <v>64</v>
      </c>
    </row>
    <row r="1639" spans="1:11" ht="42" customHeight="1">
      <c r="A1639" s="2" t="s">
        <v>4016</v>
      </c>
      <c r="B1639" s="2" t="s">
        <v>4016</v>
      </c>
      <c r="C1639" s="2" t="s">
        <v>38</v>
      </c>
      <c r="D1639" s="2" t="s">
        <v>39</v>
      </c>
      <c r="E1639" s="5">
        <v>-31395</v>
      </c>
      <c r="F1639" s="3" t="s">
        <v>662</v>
      </c>
      <c r="G1639" s="3" t="s">
        <v>107</v>
      </c>
      <c r="H1639" s="2" t="s">
        <v>62</v>
      </c>
      <c r="I1639" s="2" t="s">
        <v>4017</v>
      </c>
      <c r="J1639" s="3" t="str">
        <f>HYPERLINK("https://www.boe.es/gazeta/dias/1814/01/15/pdfs/GRE-1814-8.pdf#page=1","Abrir facsímil")</f>
        <v>Abrir facsímil</v>
      </c>
      <c r="K1639" s="3" t="s">
        <v>64</v>
      </c>
    </row>
    <row r="1640" spans="1:11" ht="42" customHeight="1">
      <c r="A1640" s="2" t="s">
        <v>4018</v>
      </c>
      <c r="B1640" s="2" t="s">
        <v>4018</v>
      </c>
      <c r="C1640" s="2" t="s">
        <v>38</v>
      </c>
      <c r="D1640" s="2" t="s">
        <v>39</v>
      </c>
      <c r="E1640" s="5">
        <v>-31329</v>
      </c>
      <c r="F1640" s="3" t="s">
        <v>621</v>
      </c>
      <c r="G1640" s="3" t="s">
        <v>99</v>
      </c>
      <c r="H1640" s="2" t="s">
        <v>62</v>
      </c>
      <c r="I1640" s="2" t="s">
        <v>4019</v>
      </c>
      <c r="J1640" s="3" t="str">
        <f>HYPERLINK("https://www.boe.es/gazeta/dias/1814/03/22/pdfs/GRE-1814-39.pdf#page=5","Abrir facsímil")</f>
        <v>Abrir facsímil</v>
      </c>
      <c r="K1640" s="3" t="s">
        <v>64</v>
      </c>
    </row>
    <row r="1641" spans="1:11" ht="42" customHeight="1">
      <c r="A1641" s="2" t="s">
        <v>4020</v>
      </c>
      <c r="B1641" s="2" t="s">
        <v>4021</v>
      </c>
      <c r="C1641" s="2" t="s">
        <v>32</v>
      </c>
      <c r="D1641" s="2" t="s">
        <v>18</v>
      </c>
      <c r="E1641" s="5">
        <v>-31227</v>
      </c>
      <c r="F1641" s="3" t="s">
        <v>102</v>
      </c>
      <c r="G1641" s="3" t="s">
        <v>52</v>
      </c>
      <c r="H1641" s="2" t="s">
        <v>62</v>
      </c>
      <c r="I1641" s="2" t="s">
        <v>4022</v>
      </c>
      <c r="J1641" s="3" t="str">
        <f>HYPERLINK("https://www.boe.es/gazeta/dias/1814/07/02/pdfs/GMD-1814-93.pdf#page=8","Abrir facsímil")</f>
        <v>Abrir facsímil</v>
      </c>
      <c r="K1641" s="3" t="s">
        <v>64</v>
      </c>
    </row>
    <row r="1642" spans="1:11" ht="42" customHeight="1">
      <c r="A1642" s="2" t="s">
        <v>4023</v>
      </c>
      <c r="B1642" s="2" t="s">
        <v>4024</v>
      </c>
      <c r="C1642" s="2" t="s">
        <v>38</v>
      </c>
      <c r="D1642" s="2" t="s">
        <v>39</v>
      </c>
      <c r="E1642" s="5">
        <v>-31077</v>
      </c>
      <c r="F1642" s="3" t="s">
        <v>414</v>
      </c>
      <c r="G1642" s="3" t="s">
        <v>82</v>
      </c>
      <c r="H1642" s="2" t="s">
        <v>21</v>
      </c>
      <c r="I1642" s="2" t="s">
        <v>4025</v>
      </c>
      <c r="J1642" s="3" t="str">
        <f>HYPERLINK("https://www.boe.es/gazeta/dias/1814/11/29/pdfs/GMD-1814-158.pdf#page=3","Abrir facsímil")</f>
        <v>Abrir facsímil</v>
      </c>
      <c r="K1642" s="3" t="s">
        <v>23</v>
      </c>
    </row>
    <row r="1643" spans="1:11" ht="42" customHeight="1">
      <c r="A1643" s="2" t="s">
        <v>4026</v>
      </c>
      <c r="B1643" s="2" t="s">
        <v>4027</v>
      </c>
      <c r="C1643" s="2" t="s">
        <v>17</v>
      </c>
      <c r="D1643" s="2" t="s">
        <v>18</v>
      </c>
      <c r="E1643" s="5">
        <v>-31196</v>
      </c>
      <c r="F1643" s="3" t="s">
        <v>828</v>
      </c>
      <c r="G1643" s="3" t="s">
        <v>2207</v>
      </c>
      <c r="H1643" s="2" t="s">
        <v>62</v>
      </c>
      <c r="I1643" s="2" t="s">
        <v>4028</v>
      </c>
      <c r="J1643" s="3" t="str">
        <f>HYPERLINK("https://www.boe.es/gazeta/dias/1814/08/02/pdfs/GMD-1814-106.pdf#page=5","Abrir facsímil")</f>
        <v>Abrir facsímil</v>
      </c>
      <c r="K1643" s="3" t="s">
        <v>64</v>
      </c>
    </row>
    <row r="1644" spans="1:11" ht="42" customHeight="1">
      <c r="A1644" s="2" t="s">
        <v>4029</v>
      </c>
      <c r="B1644" s="2" t="s">
        <v>4030</v>
      </c>
      <c r="C1644" s="2" t="s">
        <v>38</v>
      </c>
      <c r="D1644" s="2" t="s">
        <v>39</v>
      </c>
      <c r="E1644" s="5">
        <v>-31315</v>
      </c>
      <c r="F1644" s="3" t="s">
        <v>645</v>
      </c>
      <c r="G1644" s="3" t="s">
        <v>52</v>
      </c>
      <c r="H1644" s="2" t="s">
        <v>62</v>
      </c>
      <c r="I1644" s="2" t="s">
        <v>4031</v>
      </c>
      <c r="J1644" s="3" t="str">
        <f>HYPERLINK("https://www.boe.es/gazeta/dias/1814/04/05/pdfs/GRE-1814-49.pdf#page=8","Abrir facsímil")</f>
        <v>Abrir facsímil</v>
      </c>
      <c r="K1644" s="3" t="s">
        <v>64</v>
      </c>
    </row>
    <row r="1645" spans="1:11" ht="42" customHeight="1">
      <c r="A1645" s="2" t="s">
        <v>4032</v>
      </c>
      <c r="B1645" s="2" t="s">
        <v>4032</v>
      </c>
      <c r="C1645" s="2" t="s">
        <v>38</v>
      </c>
      <c r="D1645" s="2" t="s">
        <v>39</v>
      </c>
      <c r="E1645" s="5">
        <v>-31329</v>
      </c>
      <c r="F1645" s="3" t="s">
        <v>621</v>
      </c>
      <c r="G1645" s="3" t="s">
        <v>57</v>
      </c>
      <c r="H1645" s="2" t="s">
        <v>62</v>
      </c>
      <c r="I1645" s="2" t="s">
        <v>4033</v>
      </c>
      <c r="J1645" s="3" t="str">
        <f>HYPERLINK("https://www.boe.es/gazeta/dias/1814/03/22/pdfs/GRE-1814-39.pdf#page=6","Abrir facsímil")</f>
        <v>Abrir facsímil</v>
      </c>
      <c r="K1645" s="3" t="s">
        <v>64</v>
      </c>
    </row>
    <row r="1646" spans="1:11" ht="42" customHeight="1">
      <c r="A1646" s="2" t="s">
        <v>4034</v>
      </c>
      <c r="B1646" s="2" t="s">
        <v>4034</v>
      </c>
      <c r="C1646" s="2" t="s">
        <v>38</v>
      </c>
      <c r="D1646" s="2" t="s">
        <v>39</v>
      </c>
      <c r="E1646" s="5">
        <v>-31353</v>
      </c>
      <c r="F1646" s="3" t="s">
        <v>247</v>
      </c>
      <c r="G1646" s="3" t="s">
        <v>1617</v>
      </c>
      <c r="H1646" s="2" t="s">
        <v>62</v>
      </c>
      <c r="I1646" s="2" t="s">
        <v>4035</v>
      </c>
      <c r="J1646" s="3" t="str">
        <f>HYPERLINK("https://www.boe.es/gazeta/dias/1814/02/26/pdfs/GRE-1814-27.pdf#page=3","Abrir facsímil")</f>
        <v>Abrir facsímil</v>
      </c>
      <c r="K1646" s="3" t="s">
        <v>64</v>
      </c>
    </row>
    <row r="1647" spans="1:11" ht="42" customHeight="1">
      <c r="A1647" s="2" t="s">
        <v>4036</v>
      </c>
      <c r="B1647" s="2" t="s">
        <v>4036</v>
      </c>
      <c r="C1647" s="2" t="s">
        <v>38</v>
      </c>
      <c r="D1647" s="2" t="s">
        <v>39</v>
      </c>
      <c r="E1647" s="5">
        <v>-31290</v>
      </c>
      <c r="F1647" s="3" t="s">
        <v>488</v>
      </c>
      <c r="G1647" s="3" t="s">
        <v>87</v>
      </c>
      <c r="H1647" s="2" t="s">
        <v>62</v>
      </c>
      <c r="I1647" s="2" t="s">
        <v>4037</v>
      </c>
      <c r="J1647" s="3" t="str">
        <f>HYPERLINK("https://www.boe.es/gazeta/dias/1814/04/30/pdfs/GRE-1814-64.pdf#page=2","Abrir facsímil")</f>
        <v>Abrir facsímil</v>
      </c>
      <c r="K1647" s="3" t="s">
        <v>64</v>
      </c>
    </row>
    <row r="1648" spans="1:11" ht="42" customHeight="1">
      <c r="A1648" s="2" t="s">
        <v>4038</v>
      </c>
      <c r="B1648" s="2" t="s">
        <v>4038</v>
      </c>
      <c r="C1648" s="2" t="s">
        <v>38</v>
      </c>
      <c r="D1648" s="2" t="s">
        <v>39</v>
      </c>
      <c r="E1648" s="5">
        <v>-31392</v>
      </c>
      <c r="F1648" s="3" t="s">
        <v>195</v>
      </c>
      <c r="G1648" s="3" t="s">
        <v>3308</v>
      </c>
      <c r="H1648" s="2" t="s">
        <v>62</v>
      </c>
      <c r="I1648" s="2" t="s">
        <v>4039</v>
      </c>
      <c r="J1648" s="3" t="str">
        <f>HYPERLINK("https://www.boe.es/gazeta/dias/1814/01/18/pdfs/GRE-1814-9.pdf#page=6","Abrir facsímil")</f>
        <v>Abrir facsímil</v>
      </c>
      <c r="K1648" s="3" t="s">
        <v>64</v>
      </c>
    </row>
    <row r="1649" spans="1:11" ht="42" customHeight="1">
      <c r="A1649" s="2" t="s">
        <v>4040</v>
      </c>
      <c r="B1649" s="2" t="s">
        <v>4040</v>
      </c>
      <c r="C1649" s="2" t="s">
        <v>38</v>
      </c>
      <c r="D1649" s="2" t="s">
        <v>39</v>
      </c>
      <c r="E1649" s="5">
        <v>-31385</v>
      </c>
      <c r="F1649" s="3" t="s">
        <v>783</v>
      </c>
      <c r="G1649" s="3" t="s">
        <v>82</v>
      </c>
      <c r="H1649" s="2" t="s">
        <v>62</v>
      </c>
      <c r="I1649" s="2" t="s">
        <v>4041</v>
      </c>
      <c r="J1649" s="3" t="str">
        <f>HYPERLINK("https://www.boe.es/gazeta/dias/1814/01/25/pdfs/GRE-1814-12.pdf#page=3","Abrir facsímil")</f>
        <v>Abrir facsímil</v>
      </c>
      <c r="K1649" s="3" t="s">
        <v>64</v>
      </c>
    </row>
    <row r="1650" spans="1:11" ht="42" customHeight="1">
      <c r="A1650" s="2" t="s">
        <v>4042</v>
      </c>
      <c r="B1650" s="2" t="s">
        <v>4042</v>
      </c>
      <c r="C1650" s="2" t="s">
        <v>38</v>
      </c>
      <c r="D1650" s="2" t="s">
        <v>39</v>
      </c>
      <c r="E1650" s="5">
        <v>-31250</v>
      </c>
      <c r="F1650" s="3" t="s">
        <v>177</v>
      </c>
      <c r="G1650" s="3" t="s">
        <v>82</v>
      </c>
      <c r="H1650" s="2" t="s">
        <v>62</v>
      </c>
      <c r="I1650" s="2" t="s">
        <v>4043</v>
      </c>
      <c r="J1650" s="3" t="str">
        <f>HYPERLINK("https://www.boe.es/gazeta/dias/1814/06/09/pdfs/GMD-1814-83.pdf#page=3","Abrir facsímil")</f>
        <v>Abrir facsímil</v>
      </c>
      <c r="K1650" s="3" t="s">
        <v>64</v>
      </c>
    </row>
    <row r="1651" spans="1:11" ht="42" customHeight="1">
      <c r="A1651" s="2" t="s">
        <v>4044</v>
      </c>
      <c r="B1651" s="2" t="s">
        <v>4044</v>
      </c>
      <c r="C1651" s="2" t="s">
        <v>38</v>
      </c>
      <c r="D1651" s="2" t="s">
        <v>39</v>
      </c>
      <c r="E1651" s="5">
        <v>-31383</v>
      </c>
      <c r="F1651" s="3" t="s">
        <v>715</v>
      </c>
      <c r="G1651" s="3" t="s">
        <v>52</v>
      </c>
      <c r="H1651" s="2" t="s">
        <v>62</v>
      </c>
      <c r="I1651" s="2" t="s">
        <v>4045</v>
      </c>
      <c r="J1651" s="3" t="str">
        <f>HYPERLINK("https://www.boe.es/gazeta/dias/1814/01/27/pdfs/GRE-1814-13.pdf#page=8","Abrir facsímil")</f>
        <v>Abrir facsímil</v>
      </c>
      <c r="K1651" s="3" t="s">
        <v>64</v>
      </c>
    </row>
    <row r="1652" spans="1:11" ht="42" customHeight="1">
      <c r="A1652" s="2" t="s">
        <v>4044</v>
      </c>
      <c r="B1652" s="2" t="s">
        <v>4044</v>
      </c>
      <c r="C1652" s="2" t="s">
        <v>38</v>
      </c>
      <c r="D1652" s="2" t="s">
        <v>39</v>
      </c>
      <c r="E1652" s="5">
        <v>-31117</v>
      </c>
      <c r="F1652" s="3" t="s">
        <v>172</v>
      </c>
      <c r="G1652" s="3" t="s">
        <v>3933</v>
      </c>
      <c r="H1652" s="2" t="s">
        <v>62</v>
      </c>
      <c r="I1652" s="2" t="s">
        <v>4046</v>
      </c>
      <c r="J1652" s="3" t="str">
        <f>HYPERLINK("https://www.boe.es/gazeta/dias/1814/10/20/pdfs/GMD-1814-141.pdf#page=5","Abrir facsímil")</f>
        <v>Abrir facsímil</v>
      </c>
      <c r="K1652" s="3" t="s">
        <v>64</v>
      </c>
    </row>
    <row r="1653" spans="1:11" ht="42" customHeight="1">
      <c r="A1653" s="2" t="s">
        <v>4047</v>
      </c>
      <c r="B1653" s="2" t="s">
        <v>4048</v>
      </c>
      <c r="C1653" s="2" t="s">
        <v>45</v>
      </c>
      <c r="D1653" s="2" t="s">
        <v>18</v>
      </c>
      <c r="E1653" s="5">
        <v>-31136</v>
      </c>
      <c r="F1653" s="3" t="s">
        <v>956</v>
      </c>
      <c r="G1653" s="3" t="s">
        <v>957</v>
      </c>
      <c r="H1653" s="2" t="s">
        <v>62</v>
      </c>
      <c r="I1653" s="2" t="s">
        <v>4049</v>
      </c>
      <c r="J1653" s="3" t="str">
        <f>HYPERLINK("https://www.boe.es/gazeta/dias/1814/10/01/pdfs/GMD-1814-133.pdf#page=8","Abrir facsímil")</f>
        <v>Abrir facsímil</v>
      </c>
      <c r="K1653" s="3" t="s">
        <v>64</v>
      </c>
    </row>
    <row r="1654" spans="1:11" ht="42" customHeight="1">
      <c r="A1654" s="2" t="s">
        <v>4050</v>
      </c>
      <c r="B1654" s="2" t="s">
        <v>4051</v>
      </c>
      <c r="C1654" s="2" t="s">
        <v>38</v>
      </c>
      <c r="D1654" s="2" t="s">
        <v>39</v>
      </c>
      <c r="E1654" s="5">
        <v>-31194</v>
      </c>
      <c r="F1654" s="3" t="s">
        <v>333</v>
      </c>
      <c r="G1654" s="3" t="s">
        <v>57</v>
      </c>
      <c r="H1654" s="2" t="s">
        <v>62</v>
      </c>
      <c r="I1654" s="2" t="s">
        <v>4052</v>
      </c>
      <c r="J1654" s="3" t="str">
        <f>HYPERLINK("https://www.boe.es/gazeta/dias/1814/08/04/pdfs/GMD-1814-107.pdf#page=6","Abrir facsímil")</f>
        <v>Abrir facsímil</v>
      </c>
      <c r="K1654" s="3" t="s">
        <v>64</v>
      </c>
    </row>
    <row r="1655" spans="1:11" ht="42" customHeight="1">
      <c r="A1655" s="2" t="s">
        <v>4053</v>
      </c>
      <c r="B1655" s="2" t="s">
        <v>4054</v>
      </c>
      <c r="C1655" s="2" t="s">
        <v>45</v>
      </c>
      <c r="D1655" s="2" t="s">
        <v>18</v>
      </c>
      <c r="E1655" s="5">
        <v>-31383</v>
      </c>
      <c r="F1655" s="3" t="s">
        <v>715</v>
      </c>
      <c r="G1655" s="3" t="s">
        <v>20</v>
      </c>
      <c r="H1655" s="2" t="s">
        <v>62</v>
      </c>
      <c r="I1655" s="2" t="s">
        <v>4055</v>
      </c>
      <c r="J1655" s="3" t="str">
        <f>HYPERLINK("https://www.boe.es/gazeta/dias/1814/01/27/pdfs/GRE-1814-13.pdf#page=7","Abrir facsímil")</f>
        <v>Abrir facsímil</v>
      </c>
      <c r="K1655" s="3" t="s">
        <v>64</v>
      </c>
    </row>
    <row r="1656" spans="1:11" ht="42" customHeight="1">
      <c r="A1656" s="2" t="s">
        <v>4056</v>
      </c>
      <c r="B1656" s="2" t="s">
        <v>4056</v>
      </c>
      <c r="C1656" s="2" t="s">
        <v>38</v>
      </c>
      <c r="D1656" s="2" t="s">
        <v>39</v>
      </c>
      <c r="E1656" s="5">
        <v>-31399</v>
      </c>
      <c r="F1656" s="3" t="s">
        <v>218</v>
      </c>
      <c r="G1656" s="3" t="s">
        <v>41</v>
      </c>
      <c r="H1656" s="2" t="s">
        <v>62</v>
      </c>
      <c r="I1656" s="2" t="s">
        <v>4057</v>
      </c>
      <c r="J1656" s="3" t="str">
        <f>HYPERLINK("https://www.boe.es/gazeta/dias/1814/01/11/pdfs/GRE-1814-6.pdf#page=4","Abrir facsímil")</f>
        <v>Abrir facsímil</v>
      </c>
      <c r="K1656" s="3" t="s">
        <v>64</v>
      </c>
    </row>
    <row r="1657" spans="1:11" ht="42" customHeight="1">
      <c r="A1657" s="2" t="s">
        <v>4058</v>
      </c>
      <c r="B1657" s="2" t="s">
        <v>4058</v>
      </c>
      <c r="C1657" s="2" t="s">
        <v>38</v>
      </c>
      <c r="D1657" s="2" t="s">
        <v>39</v>
      </c>
      <c r="E1657" s="5">
        <v>-31294</v>
      </c>
      <c r="F1657" s="3" t="s">
        <v>680</v>
      </c>
      <c r="G1657" s="3" t="s">
        <v>99</v>
      </c>
      <c r="H1657" s="2" t="s">
        <v>62</v>
      </c>
      <c r="I1657" s="2" t="s">
        <v>4059</v>
      </c>
      <c r="J1657" s="3" t="str">
        <f>HYPERLINK("https://www.boe.es/gazeta/dias/1814/04/26/pdfs/GRE-1814-61.pdf#page=5","Abrir facsímil")</f>
        <v>Abrir facsímil</v>
      </c>
      <c r="K1657" s="3" t="s">
        <v>64</v>
      </c>
    </row>
    <row r="1658" spans="1:11" ht="42" customHeight="1">
      <c r="A1658" s="2" t="s">
        <v>4060</v>
      </c>
      <c r="B1658" s="2" t="s">
        <v>4061</v>
      </c>
      <c r="C1658" s="2" t="s">
        <v>17</v>
      </c>
      <c r="D1658" s="2" t="s">
        <v>18</v>
      </c>
      <c r="E1658" s="5">
        <v>-31098</v>
      </c>
      <c r="F1658" s="3" t="s">
        <v>290</v>
      </c>
      <c r="G1658" s="3" t="s">
        <v>310</v>
      </c>
      <c r="H1658" s="2" t="s">
        <v>62</v>
      </c>
      <c r="I1658" s="2" t="s">
        <v>4062</v>
      </c>
      <c r="J1658" s="3" t="str">
        <f>HYPERLINK("https://www.boe.es/gazeta/dias/1814/11/08/pdfs/GMD-1814-149.pdf#page=8","Abrir facsímil")</f>
        <v>Abrir facsímil</v>
      </c>
      <c r="K1658" s="3" t="s">
        <v>64</v>
      </c>
    </row>
    <row r="1659" spans="1:11" ht="42" customHeight="1">
      <c r="A1659" s="2" t="s">
        <v>4063</v>
      </c>
      <c r="B1659" s="2" t="s">
        <v>4064</v>
      </c>
      <c r="C1659" s="2" t="s">
        <v>144</v>
      </c>
      <c r="D1659" s="2" t="s">
        <v>18</v>
      </c>
      <c r="E1659" s="5">
        <v>-31180</v>
      </c>
      <c r="F1659" s="3" t="s">
        <v>520</v>
      </c>
      <c r="G1659" s="3" t="s">
        <v>602</v>
      </c>
      <c r="H1659" s="2" t="s">
        <v>62</v>
      </c>
      <c r="I1659" s="2" t="s">
        <v>4065</v>
      </c>
      <c r="J1659" s="3" t="str">
        <f>HYPERLINK("https://www.boe.es/gazeta/dias/1814/08/18/pdfs/GMD-1814-113.pdf#page=8","Abrir facsímil")</f>
        <v>Abrir facsímil</v>
      </c>
      <c r="K1659" s="3" t="s">
        <v>64</v>
      </c>
    </row>
    <row r="1660" spans="1:11" ht="42" customHeight="1">
      <c r="A1660" s="2" t="s">
        <v>4066</v>
      </c>
      <c r="B1660" s="2" t="s">
        <v>4067</v>
      </c>
      <c r="C1660" s="2" t="s">
        <v>17</v>
      </c>
      <c r="D1660" s="2" t="s">
        <v>18</v>
      </c>
      <c r="E1660" s="5">
        <v>-31115</v>
      </c>
      <c r="F1660" s="3" t="s">
        <v>805</v>
      </c>
      <c r="G1660" s="3" t="s">
        <v>20</v>
      </c>
      <c r="H1660" s="2" t="s">
        <v>62</v>
      </c>
      <c r="I1660" s="2" t="s">
        <v>4068</v>
      </c>
      <c r="J1660" s="3" t="str">
        <f>HYPERLINK("https://www.boe.es/gazeta/dias/1814/10/22/pdfs/GMD-1814-142.pdf#page=7","Abrir facsímil")</f>
        <v>Abrir facsímil</v>
      </c>
      <c r="K1660" s="3" t="s">
        <v>64</v>
      </c>
    </row>
    <row r="1661" spans="1:11" ht="42" customHeight="1">
      <c r="A1661" s="2" t="s">
        <v>4069</v>
      </c>
      <c r="B1661" s="2" t="s">
        <v>4070</v>
      </c>
      <c r="C1661" s="2" t="s">
        <v>38</v>
      </c>
      <c r="D1661" s="2" t="s">
        <v>39</v>
      </c>
      <c r="E1661" s="5">
        <v>-31068</v>
      </c>
      <c r="F1661" s="3" t="s">
        <v>548</v>
      </c>
      <c r="G1661" s="3" t="s">
        <v>52</v>
      </c>
      <c r="H1661" s="2" t="s">
        <v>62</v>
      </c>
      <c r="I1661" s="2" t="s">
        <v>4071</v>
      </c>
      <c r="J1661" s="3" t="str">
        <f>HYPERLINK("https://www.boe.es/gazeta/dias/1814/12/08/pdfs/GMD-1814-162.pdf#page=8","Abrir facsímil")</f>
        <v>Abrir facsímil</v>
      </c>
      <c r="K1661" s="3" t="s">
        <v>64</v>
      </c>
    </row>
    <row r="1662" spans="1:11" ht="42" customHeight="1">
      <c r="A1662" s="2" t="s">
        <v>4072</v>
      </c>
      <c r="B1662" s="2" t="s">
        <v>4073</v>
      </c>
      <c r="C1662" s="2" t="s">
        <v>38</v>
      </c>
      <c r="D1662" s="2" t="s">
        <v>39</v>
      </c>
      <c r="E1662" s="5">
        <v>-31152</v>
      </c>
      <c r="F1662" s="3" t="s">
        <v>199</v>
      </c>
      <c r="G1662" s="3" t="s">
        <v>52</v>
      </c>
      <c r="H1662" s="2" t="s">
        <v>62</v>
      </c>
      <c r="I1662" s="2" t="s">
        <v>4074</v>
      </c>
      <c r="J1662" s="3" t="str">
        <f>HYPERLINK("https://www.boe.es/gazeta/dias/1814/09/15/pdfs/GMD-1814-126.pdf#page=8","Abrir facsímil")</f>
        <v>Abrir facsímil</v>
      </c>
      <c r="K1662" s="3" t="s">
        <v>64</v>
      </c>
    </row>
    <row r="1663" spans="1:11" ht="42" customHeight="1">
      <c r="A1663" s="2" t="s">
        <v>4075</v>
      </c>
      <c r="B1663" s="2" t="s">
        <v>4076</v>
      </c>
      <c r="C1663" s="2" t="s">
        <v>38</v>
      </c>
      <c r="D1663" s="2" t="s">
        <v>39</v>
      </c>
      <c r="E1663" s="5">
        <v>-31133</v>
      </c>
      <c r="F1663" s="3" t="s">
        <v>184</v>
      </c>
      <c r="G1663" s="3" t="s">
        <v>20</v>
      </c>
      <c r="H1663" s="2" t="s">
        <v>62</v>
      </c>
      <c r="I1663" s="2" t="s">
        <v>4077</v>
      </c>
      <c r="J1663" s="3" t="str">
        <f>HYPERLINK("https://www.boe.es/gazeta/dias/1814/10/04/pdfs/GMD-1814-134.pdf#page=7","Abrir facsímil")</f>
        <v>Abrir facsímil</v>
      </c>
      <c r="K1663" s="3" t="s">
        <v>64</v>
      </c>
    </row>
    <row r="1664" spans="1:11" ht="42" customHeight="1">
      <c r="A1664" s="2" t="s">
        <v>4078</v>
      </c>
      <c r="B1664" s="2" t="s">
        <v>4079</v>
      </c>
      <c r="C1664" s="2" t="s">
        <v>309</v>
      </c>
      <c r="D1664" s="2" t="s">
        <v>18</v>
      </c>
      <c r="E1664" s="5">
        <v>-31266</v>
      </c>
      <c r="F1664" s="3" t="s">
        <v>191</v>
      </c>
      <c r="G1664" s="3" t="s">
        <v>52</v>
      </c>
      <c r="H1664" s="2" t="s">
        <v>62</v>
      </c>
      <c r="I1664" s="2" t="s">
        <v>4080</v>
      </c>
      <c r="J1664" s="3" t="str">
        <f>HYPERLINK("https://www.boe.es/gazeta/dias/1814/05/24/pdfs/GMD-1814-76.pdf#page=8","Abrir facsímil")</f>
        <v>Abrir facsímil</v>
      </c>
      <c r="K1664" s="3" t="s">
        <v>64</v>
      </c>
    </row>
    <row r="1665" spans="1:11" ht="42" customHeight="1">
      <c r="A1665" s="2" t="s">
        <v>4081</v>
      </c>
      <c r="B1665" s="2" t="s">
        <v>4082</v>
      </c>
      <c r="C1665" s="2" t="s">
        <v>17</v>
      </c>
      <c r="D1665" s="2" t="s">
        <v>18</v>
      </c>
      <c r="E1665" s="5">
        <v>-31348</v>
      </c>
      <c r="F1665" s="3" t="s">
        <v>898</v>
      </c>
      <c r="G1665" s="3" t="s">
        <v>961</v>
      </c>
      <c r="H1665" s="2" t="s">
        <v>62</v>
      </c>
      <c r="I1665" s="2" t="s">
        <v>4083</v>
      </c>
      <c r="J1665" s="3" t="str">
        <f>HYPERLINK("https://www.boe.es/gazeta/dias/1814/03/03/pdfs/GRE-1814-29.pdf#page=7","Abrir facsímil")</f>
        <v>Abrir facsímil</v>
      </c>
      <c r="K1665" s="3" t="s">
        <v>64</v>
      </c>
    </row>
    <row r="1666" spans="1:11" ht="42" customHeight="1">
      <c r="A1666" s="2" t="s">
        <v>4084</v>
      </c>
      <c r="B1666" s="2" t="s">
        <v>4085</v>
      </c>
      <c r="C1666" s="2" t="s">
        <v>26</v>
      </c>
      <c r="D1666" s="2" t="s">
        <v>27</v>
      </c>
      <c r="E1666" s="5">
        <v>-31124</v>
      </c>
      <c r="F1666" s="3" t="s">
        <v>383</v>
      </c>
      <c r="G1666" s="3" t="s">
        <v>574</v>
      </c>
      <c r="H1666" s="2" t="s">
        <v>62</v>
      </c>
      <c r="I1666" s="2" t="s">
        <v>4086</v>
      </c>
      <c r="J1666" s="3" t="str">
        <f>HYPERLINK("https://www.boe.es/gazeta/dias/1814/10/13/pdfs/GMD-1814-138.pdf#page=10","Abrir facsímil")</f>
        <v>Abrir facsímil</v>
      </c>
      <c r="K1666" s="3" t="s">
        <v>64</v>
      </c>
    </row>
    <row r="1667" spans="1:11" ht="42" customHeight="1">
      <c r="A1667" s="2" t="s">
        <v>4087</v>
      </c>
      <c r="B1667" s="2" t="s">
        <v>4088</v>
      </c>
      <c r="C1667" s="2" t="s">
        <v>17</v>
      </c>
      <c r="D1667" s="2" t="s">
        <v>18</v>
      </c>
      <c r="E1667" s="5">
        <v>-31152</v>
      </c>
      <c r="F1667" s="3" t="s">
        <v>199</v>
      </c>
      <c r="G1667" s="3" t="s">
        <v>20</v>
      </c>
      <c r="H1667" s="2" t="s">
        <v>62</v>
      </c>
      <c r="I1667" s="2" t="s">
        <v>4089</v>
      </c>
      <c r="J1667" s="3" t="str">
        <f>HYPERLINK("https://www.boe.es/gazeta/dias/1814/09/15/pdfs/GMD-1814-126.pdf#page=7","Abrir facsímil")</f>
        <v>Abrir facsímil</v>
      </c>
      <c r="K1667" s="3" t="s">
        <v>64</v>
      </c>
    </row>
    <row r="1668" spans="1:11" ht="42" customHeight="1">
      <c r="A1668" s="2" t="s">
        <v>4090</v>
      </c>
      <c r="B1668" s="2" t="s">
        <v>4091</v>
      </c>
      <c r="C1668" s="2" t="s">
        <v>38</v>
      </c>
      <c r="D1668" s="2" t="s">
        <v>39</v>
      </c>
      <c r="E1668" s="5">
        <v>-31350</v>
      </c>
      <c r="F1668" s="3" t="s">
        <v>377</v>
      </c>
      <c r="G1668" s="3" t="s">
        <v>99</v>
      </c>
      <c r="H1668" s="2" t="s">
        <v>62</v>
      </c>
      <c r="I1668" s="2" t="s">
        <v>4092</v>
      </c>
      <c r="J1668" s="3" t="str">
        <f>HYPERLINK("https://www.boe.es/gazeta/dias/1814/03/01/pdfs/GRE-1814-28.pdf#page=5","Abrir facsímil")</f>
        <v>Abrir facsímil</v>
      </c>
      <c r="K1668" s="3" t="s">
        <v>64</v>
      </c>
    </row>
    <row r="1669" spans="1:11" ht="42" customHeight="1">
      <c r="A1669" s="2" t="s">
        <v>4093</v>
      </c>
      <c r="B1669" s="2" t="s">
        <v>4094</v>
      </c>
      <c r="C1669" s="2" t="s">
        <v>38</v>
      </c>
      <c r="D1669" s="2" t="s">
        <v>39</v>
      </c>
      <c r="E1669" s="5">
        <v>-31395</v>
      </c>
      <c r="F1669" s="3" t="s">
        <v>662</v>
      </c>
      <c r="G1669" s="3" t="s">
        <v>57</v>
      </c>
      <c r="H1669" s="2" t="s">
        <v>62</v>
      </c>
      <c r="I1669" s="2" t="s">
        <v>4095</v>
      </c>
      <c r="J1669" s="3" t="str">
        <f>HYPERLINK("https://www.boe.es/gazeta/dias/1814/01/15/pdfs/GRE-1814-8.pdf#page=6","Abrir facsímil")</f>
        <v>Abrir facsímil</v>
      </c>
      <c r="K1669" s="3" t="s">
        <v>64</v>
      </c>
    </row>
    <row r="1670" spans="1:11" ht="42" customHeight="1">
      <c r="A1670" s="2" t="s">
        <v>4096</v>
      </c>
      <c r="B1670" s="2" t="s">
        <v>4096</v>
      </c>
      <c r="C1670" s="2" t="s">
        <v>38</v>
      </c>
      <c r="D1670" s="2" t="s">
        <v>39</v>
      </c>
      <c r="E1670" s="5">
        <v>-31409</v>
      </c>
      <c r="F1670" s="3" t="s">
        <v>168</v>
      </c>
      <c r="G1670" s="3" t="s">
        <v>82</v>
      </c>
      <c r="H1670" s="2" t="s">
        <v>62</v>
      </c>
      <c r="I1670" s="2" t="s">
        <v>4097</v>
      </c>
      <c r="J1670" s="3" t="str">
        <f>HYPERLINK("https://www.boe.es/gazeta/dias/1814/01/01/pdfs/GRE-1814-1.pdf#page=3","Abrir facsímil")</f>
        <v>Abrir facsímil</v>
      </c>
      <c r="K1670" s="3" t="s">
        <v>64</v>
      </c>
    </row>
    <row r="1671" spans="1:11" ht="42" customHeight="1">
      <c r="A1671" s="2" t="s">
        <v>4098</v>
      </c>
      <c r="B1671" s="2" t="s">
        <v>4099</v>
      </c>
      <c r="C1671" s="2" t="s">
        <v>45</v>
      </c>
      <c r="D1671" s="2" t="s">
        <v>18</v>
      </c>
      <c r="E1671" s="5">
        <v>-31213</v>
      </c>
      <c r="F1671" s="3" t="s">
        <v>276</v>
      </c>
      <c r="G1671" s="3" t="s">
        <v>20</v>
      </c>
      <c r="H1671" s="2" t="s">
        <v>62</v>
      </c>
      <c r="I1671" s="2" t="s">
        <v>4100</v>
      </c>
      <c r="J1671" s="3" t="str">
        <f>HYPERLINK("https://www.boe.es/gazeta/dias/1814/07/16/pdfs/GMD-1814-99.pdf#page=7","Abrir facsímil")</f>
        <v>Abrir facsímil</v>
      </c>
      <c r="K1671" s="3" t="s">
        <v>64</v>
      </c>
    </row>
    <row r="1672" spans="1:11" ht="42" customHeight="1">
      <c r="A1672" s="2" t="s">
        <v>4101</v>
      </c>
      <c r="B1672" s="2" t="s">
        <v>4102</v>
      </c>
      <c r="C1672" s="2" t="s">
        <v>38</v>
      </c>
      <c r="D1672" s="2" t="s">
        <v>39</v>
      </c>
      <c r="E1672" s="5">
        <v>-31227</v>
      </c>
      <c r="F1672" s="3" t="s">
        <v>102</v>
      </c>
      <c r="G1672" s="3" t="s">
        <v>825</v>
      </c>
      <c r="H1672" s="2" t="s">
        <v>62</v>
      </c>
      <c r="I1672" s="2" t="s">
        <v>4103</v>
      </c>
      <c r="J1672" s="3" t="str">
        <f>HYPERLINK("https://www.boe.es/gazeta/dias/1814/07/02/pdfs/GMD-1814-93.pdf#page=7","Abrir facsímil")</f>
        <v>Abrir facsímil</v>
      </c>
      <c r="K1672" s="3" t="s">
        <v>64</v>
      </c>
    </row>
    <row r="1673" spans="1:11" ht="42" customHeight="1">
      <c r="A1673" s="2" t="s">
        <v>4104</v>
      </c>
      <c r="B1673" s="2" t="s">
        <v>4105</v>
      </c>
      <c r="C1673" s="2" t="s">
        <v>26</v>
      </c>
      <c r="D1673" s="2" t="s">
        <v>27</v>
      </c>
      <c r="E1673" s="5">
        <v>-31238</v>
      </c>
      <c r="F1673" s="3" t="s">
        <v>127</v>
      </c>
      <c r="G1673" s="3" t="s">
        <v>128</v>
      </c>
      <c r="H1673" s="2" t="s">
        <v>62</v>
      </c>
      <c r="I1673" s="2" t="s">
        <v>4106</v>
      </c>
      <c r="J1673" s="3" t="str">
        <f>HYPERLINK("https://www.boe.es/gazeta/dias/1814/06/21/pdfs/GMD-1814-88.pdf#page=8","Abrir facsímil")</f>
        <v>Abrir facsímil</v>
      </c>
      <c r="K1673" s="3" t="s">
        <v>64</v>
      </c>
    </row>
    <row r="1674" spans="1:11" ht="42" customHeight="1">
      <c r="A1674" s="2" t="s">
        <v>4107</v>
      </c>
      <c r="B1674" s="2" t="s">
        <v>4108</v>
      </c>
      <c r="C1674" s="2" t="s">
        <v>309</v>
      </c>
      <c r="D1674" s="2" t="s">
        <v>18</v>
      </c>
      <c r="E1674" s="5">
        <v>-31304</v>
      </c>
      <c r="F1674" s="3" t="s">
        <v>1964</v>
      </c>
      <c r="G1674" s="3" t="s">
        <v>3403</v>
      </c>
      <c r="H1674" s="2" t="s">
        <v>62</v>
      </c>
      <c r="I1674" s="2" t="s">
        <v>4109</v>
      </c>
      <c r="J1674" s="3" t="str">
        <f>HYPERLINK("https://www.boe.es/gazeta/dias/1814/04/16/pdfs/GRE-1814-55.pdf#page=8","Abrir facsímil")</f>
        <v>Abrir facsímil</v>
      </c>
      <c r="K1674" s="3" t="s">
        <v>64</v>
      </c>
    </row>
    <row r="1675" spans="1:11" ht="42" customHeight="1">
      <c r="A1675" s="2" t="s">
        <v>4110</v>
      </c>
      <c r="B1675" s="2" t="s">
        <v>4111</v>
      </c>
      <c r="C1675" s="2" t="s">
        <v>105</v>
      </c>
      <c r="D1675" s="2" t="s">
        <v>18</v>
      </c>
      <c r="E1675" s="5">
        <v>-31047</v>
      </c>
      <c r="F1675" s="3" t="s">
        <v>815</v>
      </c>
      <c r="G1675" s="3" t="s">
        <v>52</v>
      </c>
      <c r="H1675" s="2" t="s">
        <v>62</v>
      </c>
      <c r="I1675" s="2" t="s">
        <v>4112</v>
      </c>
      <c r="J1675" s="3" t="str">
        <f>HYPERLINK("https://www.boe.es/gazeta/dias/1814/12/29/pdfs/GMD-1814-172.pdf#page=8","Abrir facsímil")</f>
        <v>Abrir facsímil</v>
      </c>
      <c r="K1675" s="3" t="s">
        <v>64</v>
      </c>
    </row>
    <row r="1676" spans="1:11" ht="42" customHeight="1">
      <c r="A1676" s="2" t="s">
        <v>4113</v>
      </c>
      <c r="B1676" s="2" t="s">
        <v>4114</v>
      </c>
      <c r="C1676" s="2" t="s">
        <v>38</v>
      </c>
      <c r="D1676" s="2" t="s">
        <v>314</v>
      </c>
      <c r="E1676" s="5">
        <v>-31273</v>
      </c>
      <c r="F1676" s="3" t="s">
        <v>1134</v>
      </c>
      <c r="G1676" s="3" t="s">
        <v>99</v>
      </c>
      <c r="H1676" s="2" t="s">
        <v>62</v>
      </c>
      <c r="I1676" s="2" t="s">
        <v>4115</v>
      </c>
      <c r="J1676" s="3" t="str">
        <f>HYPERLINK("https://www.boe.es/gazeta/dias/1814/05/17/pdfs/GMD-1814-73E.pdf#page=5","Abrir facsímil")</f>
        <v>Abrir facsímil</v>
      </c>
      <c r="K1676" s="3" t="s">
        <v>64</v>
      </c>
    </row>
    <row r="1677" spans="1:11" ht="42" customHeight="1">
      <c r="A1677" s="2" t="s">
        <v>4113</v>
      </c>
      <c r="B1677" s="2" t="s">
        <v>4114</v>
      </c>
      <c r="C1677" s="2" t="s">
        <v>38</v>
      </c>
      <c r="D1677" s="2" t="s">
        <v>39</v>
      </c>
      <c r="E1677" s="5">
        <v>-31262</v>
      </c>
      <c r="F1677" s="3" t="s">
        <v>254</v>
      </c>
      <c r="G1677" s="3" t="s">
        <v>57</v>
      </c>
      <c r="H1677" s="2" t="s">
        <v>62</v>
      </c>
      <c r="I1677" s="2" t="s">
        <v>4116</v>
      </c>
      <c r="J1677" s="3" t="str">
        <f>HYPERLINK("https://www.boe.es/gazeta/dias/1814/05/28/pdfs/GMD-1814-78.pdf#page=6","Abrir facsímil")</f>
        <v>Abrir facsímil</v>
      </c>
      <c r="K1677" s="3" t="s">
        <v>64</v>
      </c>
    </row>
    <row r="1678" spans="1:11" ht="42" customHeight="1">
      <c r="A1678" s="2" t="s">
        <v>4117</v>
      </c>
      <c r="B1678" s="2" t="s">
        <v>4118</v>
      </c>
      <c r="C1678" s="2" t="s">
        <v>26</v>
      </c>
      <c r="D1678" s="2" t="s">
        <v>27</v>
      </c>
      <c r="E1678" s="5">
        <v>-31250</v>
      </c>
      <c r="F1678" s="3" t="s">
        <v>177</v>
      </c>
      <c r="G1678" s="3" t="s">
        <v>57</v>
      </c>
      <c r="H1678" s="2" t="s">
        <v>62</v>
      </c>
      <c r="I1678" s="2" t="s">
        <v>4119</v>
      </c>
      <c r="J1678" s="3" t="str">
        <f>HYPERLINK("https://www.boe.es/gazeta/dias/1814/06/09/pdfs/GMD-1814-83.pdf#page=6","Abrir facsímil")</f>
        <v>Abrir facsímil</v>
      </c>
      <c r="K1678" s="3" t="s">
        <v>64</v>
      </c>
    </row>
    <row r="1679" spans="1:11" ht="42" customHeight="1">
      <c r="A1679" s="2" t="s">
        <v>4120</v>
      </c>
      <c r="B1679" s="2" t="s">
        <v>4121</v>
      </c>
      <c r="C1679" s="2" t="s">
        <v>309</v>
      </c>
      <c r="D1679" s="2" t="s">
        <v>18</v>
      </c>
      <c r="E1679" s="5">
        <v>-31238</v>
      </c>
      <c r="F1679" s="3" t="s">
        <v>127</v>
      </c>
      <c r="G1679" s="3" t="s">
        <v>704</v>
      </c>
      <c r="H1679" s="2" t="s">
        <v>62</v>
      </c>
      <c r="I1679" s="2" t="s">
        <v>4122</v>
      </c>
      <c r="J1679" s="3" t="str">
        <f>HYPERLINK("https://www.boe.es/gazeta/dias/1814/06/21/pdfs/GMD-1814-88.pdf#page=10","Abrir facsímil")</f>
        <v>Abrir facsímil</v>
      </c>
      <c r="K1679" s="3" t="s">
        <v>64</v>
      </c>
    </row>
    <row r="1680" spans="1:11" ht="42" customHeight="1">
      <c r="A1680" s="2" t="s">
        <v>4120</v>
      </c>
      <c r="B1680" s="2" t="s">
        <v>4121</v>
      </c>
      <c r="C1680" s="2" t="s">
        <v>17</v>
      </c>
      <c r="D1680" s="2" t="s">
        <v>18</v>
      </c>
      <c r="E1680" s="5">
        <v>-31234</v>
      </c>
      <c r="F1680" s="3" t="s">
        <v>462</v>
      </c>
      <c r="G1680" s="3" t="s">
        <v>137</v>
      </c>
      <c r="H1680" s="2" t="s">
        <v>62</v>
      </c>
      <c r="I1680" s="2" t="s">
        <v>4123</v>
      </c>
      <c r="J1680" s="3" t="str">
        <f>HYPERLINK("https://www.boe.es/gazeta/dias/1814/06/25/pdfs/GMD-1814-90.pdf#page=9","Abrir facsímil")</f>
        <v>Abrir facsímil</v>
      </c>
      <c r="K1680" s="3" t="s">
        <v>64</v>
      </c>
    </row>
    <row r="1681" spans="1:11" ht="42" customHeight="1">
      <c r="A1681" s="2" t="s">
        <v>4117</v>
      </c>
      <c r="B1681" s="2" t="s">
        <v>4118</v>
      </c>
      <c r="C1681" s="2" t="s">
        <v>38</v>
      </c>
      <c r="D1681" s="2" t="s">
        <v>39</v>
      </c>
      <c r="E1681" s="5">
        <v>-31208</v>
      </c>
      <c r="F1681" s="3" t="s">
        <v>509</v>
      </c>
      <c r="G1681" s="3" t="s">
        <v>20</v>
      </c>
      <c r="H1681" s="2" t="s">
        <v>62</v>
      </c>
      <c r="I1681" s="2" t="s">
        <v>4124</v>
      </c>
      <c r="J1681" s="3" t="str">
        <f>HYPERLINK("https://www.boe.es/gazeta/dias/1814/07/21/pdfs/GMD-1814-101.pdf#page=7","Abrir facsímil")</f>
        <v>Abrir facsímil</v>
      </c>
      <c r="K1681" s="3" t="s">
        <v>64</v>
      </c>
    </row>
    <row r="1682" spans="1:11" ht="42" customHeight="1">
      <c r="A1682" s="2" t="s">
        <v>4117</v>
      </c>
      <c r="B1682" s="2" t="s">
        <v>4118</v>
      </c>
      <c r="C1682" s="2" t="s">
        <v>38</v>
      </c>
      <c r="D1682" s="2" t="s">
        <v>39</v>
      </c>
      <c r="E1682" s="5">
        <v>-31206</v>
      </c>
      <c r="F1682" s="3" t="s">
        <v>1196</v>
      </c>
      <c r="G1682" s="3" t="s">
        <v>3331</v>
      </c>
      <c r="H1682" s="2" t="s">
        <v>62</v>
      </c>
      <c r="I1682" s="2" t="s">
        <v>4125</v>
      </c>
      <c r="J1682" s="3" t="str">
        <f>HYPERLINK("https://www.boe.es/gazeta/dias/1814/07/23/pdfs/GMD-1814-102.pdf#page=6","Abrir facsímil")</f>
        <v>Abrir facsímil</v>
      </c>
      <c r="K1682" s="3" t="s">
        <v>64</v>
      </c>
    </row>
    <row r="1683" spans="1:11" ht="42" customHeight="1">
      <c r="A1683" s="2" t="s">
        <v>4117</v>
      </c>
      <c r="B1683" s="2" t="s">
        <v>4118</v>
      </c>
      <c r="C1683" s="2" t="s">
        <v>38</v>
      </c>
      <c r="D1683" s="2" t="s">
        <v>39</v>
      </c>
      <c r="E1683" s="5">
        <v>-31171</v>
      </c>
      <c r="F1683" s="3" t="s">
        <v>157</v>
      </c>
      <c r="G1683" s="3" t="s">
        <v>57</v>
      </c>
      <c r="H1683" s="2" t="s">
        <v>62</v>
      </c>
      <c r="I1683" s="2" t="s">
        <v>4126</v>
      </c>
      <c r="J1683" s="3" t="str">
        <f>HYPERLINK("https://www.boe.es/gazeta/dias/1814/08/27/pdfs/GMD-1814-117.pdf#page=6","Abrir facsímil")</f>
        <v>Abrir facsímil</v>
      </c>
      <c r="K1683" s="3" t="s">
        <v>64</v>
      </c>
    </row>
    <row r="1684" spans="1:11" ht="42" customHeight="1">
      <c r="A1684" s="2" t="s">
        <v>4117</v>
      </c>
      <c r="B1684" s="2" t="s">
        <v>4118</v>
      </c>
      <c r="C1684" s="2" t="s">
        <v>26</v>
      </c>
      <c r="D1684" s="2" t="s">
        <v>27</v>
      </c>
      <c r="E1684" s="5">
        <v>-31133</v>
      </c>
      <c r="F1684" s="3" t="s">
        <v>184</v>
      </c>
      <c r="G1684" s="3" t="s">
        <v>4127</v>
      </c>
      <c r="H1684" s="2" t="s">
        <v>62</v>
      </c>
      <c r="I1684" s="2" t="s">
        <v>4128</v>
      </c>
      <c r="J1684" s="3" t="str">
        <f>HYPERLINK("https://www.boe.es/gazeta/dias/1814/10/04/pdfs/GMD-1814-134.pdf#page=5","Abrir facsímil")</f>
        <v>Abrir facsímil</v>
      </c>
      <c r="K1684" s="3" t="s">
        <v>64</v>
      </c>
    </row>
    <row r="1685" spans="1:11" ht="42" customHeight="1">
      <c r="A1685" s="2" t="s">
        <v>4117</v>
      </c>
      <c r="B1685" s="2" t="s">
        <v>4118</v>
      </c>
      <c r="C1685" s="2" t="s">
        <v>38</v>
      </c>
      <c r="D1685" s="2" t="s">
        <v>39</v>
      </c>
      <c r="E1685" s="5">
        <v>-31119</v>
      </c>
      <c r="F1685" s="3" t="s">
        <v>136</v>
      </c>
      <c r="G1685" s="3" t="s">
        <v>4129</v>
      </c>
      <c r="H1685" s="2" t="s">
        <v>62</v>
      </c>
      <c r="I1685" s="2" t="s">
        <v>4130</v>
      </c>
      <c r="J1685" s="3" t="str">
        <f>HYPERLINK("https://www.boe.es/gazeta/dias/1814/10/18/pdfs/GMD-1814-140.pdf#page=8","Abrir facsímil")</f>
        <v>Abrir facsímil</v>
      </c>
      <c r="K1685" s="3" t="s">
        <v>64</v>
      </c>
    </row>
    <row r="1686" spans="1:11" ht="42" customHeight="1">
      <c r="A1686" s="2" t="s">
        <v>4117</v>
      </c>
      <c r="B1686" s="2" t="s">
        <v>4118</v>
      </c>
      <c r="C1686" s="2" t="s">
        <v>38</v>
      </c>
      <c r="D1686" s="2" t="s">
        <v>39</v>
      </c>
      <c r="E1686" s="5">
        <v>-31119</v>
      </c>
      <c r="F1686" s="3" t="s">
        <v>136</v>
      </c>
      <c r="G1686" s="3" t="s">
        <v>82</v>
      </c>
      <c r="H1686" s="2" t="s">
        <v>62</v>
      </c>
      <c r="I1686" s="2" t="s">
        <v>4131</v>
      </c>
      <c r="J1686" s="3" t="str">
        <f>HYPERLINK("https://www.boe.es/gazeta/dias/1814/10/18/pdfs/GMD-1814-140.pdf#page=3","Abrir facsímil")</f>
        <v>Abrir facsímil</v>
      </c>
      <c r="K1686" s="3" t="s">
        <v>64</v>
      </c>
    </row>
    <row r="1687" spans="1:11" ht="42" customHeight="1">
      <c r="A1687" s="2" t="s">
        <v>4132</v>
      </c>
      <c r="B1687" s="2" t="s">
        <v>4133</v>
      </c>
      <c r="C1687" s="2" t="s">
        <v>38</v>
      </c>
      <c r="D1687" s="2" t="s">
        <v>39</v>
      </c>
      <c r="E1687" s="5">
        <v>-31061</v>
      </c>
      <c r="F1687" s="3" t="s">
        <v>329</v>
      </c>
      <c r="G1687" s="3" t="s">
        <v>873</v>
      </c>
      <c r="H1687" s="2" t="s">
        <v>62</v>
      </c>
      <c r="I1687" s="2" t="s">
        <v>4134</v>
      </c>
      <c r="J1687" s="3" t="str">
        <f>HYPERLINK("https://www.boe.es/gazeta/dias/1814/12/15/pdfs/GMD-1814-165.pdf#page=6","Abrir facsímil")</f>
        <v>Abrir facsímil</v>
      </c>
      <c r="K1687" s="3" t="s">
        <v>64</v>
      </c>
    </row>
    <row r="1688" spans="1:11" ht="42" customHeight="1">
      <c r="A1688" s="2" t="s">
        <v>4135</v>
      </c>
      <c r="B1688" s="2" t="s">
        <v>4136</v>
      </c>
      <c r="C1688" s="2" t="s">
        <v>38</v>
      </c>
      <c r="D1688" s="2" t="s">
        <v>39</v>
      </c>
      <c r="E1688" s="5">
        <v>-31257</v>
      </c>
      <c r="F1688" s="3" t="s">
        <v>437</v>
      </c>
      <c r="G1688" s="3" t="s">
        <v>52</v>
      </c>
      <c r="H1688" s="2" t="s">
        <v>62</v>
      </c>
      <c r="I1688" s="2" t="s">
        <v>4137</v>
      </c>
      <c r="J1688" s="3" t="str">
        <f>HYPERLINK("https://www.boe.es/gazeta/dias/1814/06/02/pdfs/GMD-1814-80.pdf#page=8","Abrir facsímil")</f>
        <v>Abrir facsímil</v>
      </c>
      <c r="K1688" s="3" t="s">
        <v>64</v>
      </c>
    </row>
    <row r="1689" spans="1:11" ht="42" customHeight="1">
      <c r="A1689" s="2" t="s">
        <v>4138</v>
      </c>
      <c r="B1689" s="2" t="s">
        <v>4139</v>
      </c>
      <c r="C1689" s="2" t="s">
        <v>17</v>
      </c>
      <c r="D1689" s="2" t="s">
        <v>18</v>
      </c>
      <c r="E1689" s="5">
        <v>-31339</v>
      </c>
      <c r="F1689" s="3" t="s">
        <v>641</v>
      </c>
      <c r="G1689" s="3" t="s">
        <v>57</v>
      </c>
      <c r="H1689" s="2" t="s">
        <v>62</v>
      </c>
      <c r="I1689" s="2" t="s">
        <v>4140</v>
      </c>
      <c r="J1689" s="3" t="str">
        <f>HYPERLINK("https://www.boe.es/gazeta/dias/1814/03/12/pdfs/GRE-1814-35.pdf#page=6","Abrir facsímil")</f>
        <v>Abrir facsímil</v>
      </c>
      <c r="K1689" s="3" t="s">
        <v>64</v>
      </c>
    </row>
    <row r="1690" spans="1:11" ht="42" customHeight="1">
      <c r="A1690" s="2" t="s">
        <v>4141</v>
      </c>
      <c r="B1690" s="2" t="s">
        <v>4142</v>
      </c>
      <c r="C1690" s="2" t="s">
        <v>38</v>
      </c>
      <c r="D1690" s="2" t="s">
        <v>39</v>
      </c>
      <c r="E1690" s="5">
        <v>-31217</v>
      </c>
      <c r="F1690" s="3" t="s">
        <v>506</v>
      </c>
      <c r="G1690" s="3" t="s">
        <v>384</v>
      </c>
      <c r="H1690" s="2" t="s">
        <v>62</v>
      </c>
      <c r="I1690" s="2" t="s">
        <v>4143</v>
      </c>
      <c r="J1690" s="3" t="str">
        <f>HYPERLINK("https://www.boe.es/gazeta/dias/1814/07/12/pdfs/GMD-1814-97.pdf#page=11","Abrir facsímil")</f>
        <v>Abrir facsímil</v>
      </c>
      <c r="K1690" s="3" t="s">
        <v>64</v>
      </c>
    </row>
    <row r="1691" spans="1:11" ht="42" customHeight="1">
      <c r="A1691" s="2" t="s">
        <v>4144</v>
      </c>
      <c r="B1691" s="2" t="s">
        <v>4145</v>
      </c>
      <c r="C1691" s="2" t="s">
        <v>26</v>
      </c>
      <c r="D1691" s="2" t="s">
        <v>27</v>
      </c>
      <c r="E1691" s="5">
        <v>-31217</v>
      </c>
      <c r="F1691" s="3" t="s">
        <v>506</v>
      </c>
      <c r="G1691" s="3" t="s">
        <v>20</v>
      </c>
      <c r="H1691" s="2" t="s">
        <v>62</v>
      </c>
      <c r="I1691" s="2" t="s">
        <v>4146</v>
      </c>
      <c r="J1691" s="3" t="str">
        <f>HYPERLINK("https://www.boe.es/gazeta/dias/1814/07/12/pdfs/GMD-1814-97.pdf#page=7","Abrir facsímil")</f>
        <v>Abrir facsímil</v>
      </c>
      <c r="K1691" s="3" t="s">
        <v>64</v>
      </c>
    </row>
    <row r="1692" spans="1:11" ht="42" customHeight="1">
      <c r="A1692" s="2" t="s">
        <v>4147</v>
      </c>
      <c r="B1692" s="2" t="s">
        <v>4147</v>
      </c>
      <c r="C1692" s="2" t="s">
        <v>45</v>
      </c>
      <c r="D1692" s="2" t="s">
        <v>18</v>
      </c>
      <c r="E1692" s="5">
        <v>-31325</v>
      </c>
      <c r="F1692" s="3" t="s">
        <v>67</v>
      </c>
      <c r="G1692" s="3" t="s">
        <v>52</v>
      </c>
      <c r="H1692" s="2" t="s">
        <v>62</v>
      </c>
      <c r="I1692" s="2" t="s">
        <v>4148</v>
      </c>
      <c r="J1692" s="3" t="str">
        <f>HYPERLINK("https://www.boe.es/gazeta/dias/1814/03/26/pdfs/GRE-1814-43.pdf#page=8","Abrir facsímil")</f>
        <v>Abrir facsímil</v>
      </c>
      <c r="K1692" s="3" t="s">
        <v>64</v>
      </c>
    </row>
    <row r="1693" spans="1:11" ht="42" customHeight="1">
      <c r="A1693" s="2" t="s">
        <v>4147</v>
      </c>
      <c r="B1693" s="2" t="s">
        <v>4147</v>
      </c>
      <c r="C1693" s="2" t="s">
        <v>45</v>
      </c>
      <c r="D1693" s="2" t="s">
        <v>18</v>
      </c>
      <c r="E1693" s="5">
        <v>-31110</v>
      </c>
      <c r="F1693" s="3" t="s">
        <v>149</v>
      </c>
      <c r="G1693" s="3" t="s">
        <v>52</v>
      </c>
      <c r="H1693" s="2" t="s">
        <v>62</v>
      </c>
      <c r="I1693" s="2" t="s">
        <v>4149</v>
      </c>
      <c r="J1693" s="3" t="str">
        <f>HYPERLINK("https://www.boe.es/gazeta/dias/1814/10/27/pdfs/GMD-1814-144.pdf#page=8","Abrir facsímil")</f>
        <v>Abrir facsímil</v>
      </c>
      <c r="K1693" s="3" t="s">
        <v>64</v>
      </c>
    </row>
    <row r="1694" spans="1:11" ht="42" customHeight="1">
      <c r="A1694" s="2" t="s">
        <v>4150</v>
      </c>
      <c r="B1694" s="2" t="s">
        <v>4151</v>
      </c>
      <c r="C1694" s="2" t="s">
        <v>144</v>
      </c>
      <c r="D1694" s="2" t="s">
        <v>18</v>
      </c>
      <c r="E1694" s="5">
        <v>-31278</v>
      </c>
      <c r="F1694" s="3" t="s">
        <v>773</v>
      </c>
      <c r="G1694" s="3" t="s">
        <v>774</v>
      </c>
      <c r="H1694" s="2" t="s">
        <v>62</v>
      </c>
      <c r="I1694" s="2" t="s">
        <v>4152</v>
      </c>
      <c r="J1694" s="3" t="str">
        <f>HYPERLINK("https://www.boe.es/gazeta/dias/1814/05/12/pdfs/GMD-1814-69.pdf#page=8","Abrir facsímil")</f>
        <v>Abrir facsímil</v>
      </c>
      <c r="K1694" s="3" t="s">
        <v>64</v>
      </c>
    </row>
    <row r="1695" spans="1:11" ht="42" customHeight="1">
      <c r="A1695" s="2" t="s">
        <v>4153</v>
      </c>
      <c r="B1695" s="2" t="s">
        <v>4153</v>
      </c>
      <c r="C1695" s="2" t="s">
        <v>17</v>
      </c>
      <c r="D1695" s="2" t="s">
        <v>18</v>
      </c>
      <c r="E1695" s="5">
        <v>-31087</v>
      </c>
      <c r="F1695" s="3" t="s">
        <v>118</v>
      </c>
      <c r="G1695" s="3" t="s">
        <v>3730</v>
      </c>
      <c r="H1695" s="2" t="s">
        <v>62</v>
      </c>
      <c r="I1695" s="2" t="s">
        <v>4154</v>
      </c>
      <c r="J1695" s="3" t="str">
        <f>HYPERLINK("https://www.boe.es/gazeta/dias/1814/11/19/pdfs/GMD-1814-154.pdf#page=7","Abrir facsímil")</f>
        <v>Abrir facsímil</v>
      </c>
      <c r="K1695" s="3" t="s">
        <v>64</v>
      </c>
    </row>
    <row r="1696" spans="1:11" ht="42" customHeight="1">
      <c r="A1696" s="2" t="s">
        <v>4155</v>
      </c>
      <c r="B1696" s="2" t="s">
        <v>4155</v>
      </c>
      <c r="C1696" s="2" t="s">
        <v>38</v>
      </c>
      <c r="D1696" s="2" t="s">
        <v>39</v>
      </c>
      <c r="E1696" s="5">
        <v>-31217</v>
      </c>
      <c r="F1696" s="3" t="s">
        <v>506</v>
      </c>
      <c r="G1696" s="3" t="s">
        <v>384</v>
      </c>
      <c r="H1696" s="2" t="s">
        <v>62</v>
      </c>
      <c r="I1696" s="2" t="s">
        <v>4156</v>
      </c>
      <c r="J1696" s="3" t="str">
        <f>HYPERLINK("https://www.boe.es/gazeta/dias/1814/07/12/pdfs/GMD-1814-97.pdf#page=11","Abrir facsímil")</f>
        <v>Abrir facsímil</v>
      </c>
      <c r="K1696" s="3" t="s">
        <v>64</v>
      </c>
    </row>
    <row r="1697" spans="1:11" ht="42" customHeight="1">
      <c r="A1697" s="2" t="s">
        <v>4157</v>
      </c>
      <c r="B1697" s="2" t="s">
        <v>4158</v>
      </c>
      <c r="C1697" s="2" t="s">
        <v>38</v>
      </c>
      <c r="D1697" s="2" t="s">
        <v>314</v>
      </c>
      <c r="E1697" s="5">
        <v>-31273</v>
      </c>
      <c r="F1697" s="3" t="s">
        <v>1134</v>
      </c>
      <c r="G1697" s="3" t="s">
        <v>41</v>
      </c>
      <c r="H1697" s="2" t="s">
        <v>62</v>
      </c>
      <c r="I1697" s="2" t="s">
        <v>4159</v>
      </c>
      <c r="J1697" s="3" t="str">
        <f>HYPERLINK("https://www.boe.es/gazeta/dias/1814/05/17/pdfs/GMD-1814-73E.pdf#page=4","Abrir facsímil")</f>
        <v>Abrir facsímil</v>
      </c>
      <c r="K1697" s="3" t="s">
        <v>64</v>
      </c>
    </row>
    <row r="1698" spans="1:11" ht="42" customHeight="1">
      <c r="A1698" s="2" t="s">
        <v>4160</v>
      </c>
      <c r="B1698" s="2" t="s">
        <v>4161</v>
      </c>
      <c r="C1698" s="2" t="s">
        <v>26</v>
      </c>
      <c r="D1698" s="2" t="s">
        <v>27</v>
      </c>
      <c r="E1698" s="5">
        <v>-31098</v>
      </c>
      <c r="F1698" s="3" t="s">
        <v>290</v>
      </c>
      <c r="G1698" s="3" t="s">
        <v>310</v>
      </c>
      <c r="H1698" s="2" t="s">
        <v>62</v>
      </c>
      <c r="I1698" s="2" t="s">
        <v>4162</v>
      </c>
      <c r="J1698" s="3" t="str">
        <f>HYPERLINK("https://www.boe.es/gazeta/dias/1814/11/08/pdfs/GMD-1814-149.pdf#page=8","Abrir facsímil")</f>
        <v>Abrir facsímil</v>
      </c>
      <c r="K1698" s="3" t="s">
        <v>64</v>
      </c>
    </row>
    <row r="1699" spans="1:11" ht="42" customHeight="1">
      <c r="A1699" s="2" t="s">
        <v>4163</v>
      </c>
      <c r="B1699" s="2" t="s">
        <v>4164</v>
      </c>
      <c r="C1699" s="2" t="s">
        <v>38</v>
      </c>
      <c r="D1699" s="2" t="s">
        <v>39</v>
      </c>
      <c r="E1699" s="5">
        <v>-31173</v>
      </c>
      <c r="F1699" s="3" t="s">
        <v>46</v>
      </c>
      <c r="G1699" s="3" t="s">
        <v>82</v>
      </c>
      <c r="H1699" s="2" t="s">
        <v>62</v>
      </c>
      <c r="I1699" s="2" t="s">
        <v>4165</v>
      </c>
      <c r="J1699" s="3" t="str">
        <f>HYPERLINK("https://www.boe.es/gazeta/dias/1814/08/25/pdfs/GMD-1814-116.pdf#page=3","Abrir facsímil")</f>
        <v>Abrir facsímil</v>
      </c>
      <c r="K1699" s="3" t="s">
        <v>64</v>
      </c>
    </row>
    <row r="1700" spans="1:11" ht="42" customHeight="1">
      <c r="A1700" s="2" t="s">
        <v>4166</v>
      </c>
      <c r="B1700" s="2" t="s">
        <v>4167</v>
      </c>
      <c r="C1700" s="2" t="s">
        <v>38</v>
      </c>
      <c r="D1700" s="2" t="s">
        <v>39</v>
      </c>
      <c r="E1700" s="5">
        <v>-31236</v>
      </c>
      <c r="F1700" s="3" t="s">
        <v>33</v>
      </c>
      <c r="G1700" s="3" t="s">
        <v>384</v>
      </c>
      <c r="H1700" s="2" t="s">
        <v>62</v>
      </c>
      <c r="I1700" s="2" t="s">
        <v>4168</v>
      </c>
      <c r="J1700" s="3" t="str">
        <f>HYPERLINK("https://www.boe.es/gazeta/dias/1814/06/23/pdfs/GMD-1814-89.pdf#page=11","Abrir facsímil")</f>
        <v>Abrir facsímil</v>
      </c>
      <c r="K1700" s="3" t="s">
        <v>64</v>
      </c>
    </row>
    <row r="1701" spans="1:11" ht="42" customHeight="1">
      <c r="A1701" s="2" t="s">
        <v>4169</v>
      </c>
      <c r="B1701" s="2" t="s">
        <v>4170</v>
      </c>
      <c r="C1701" s="2" t="s">
        <v>38</v>
      </c>
      <c r="D1701" s="2" t="s">
        <v>39</v>
      </c>
      <c r="E1701" s="5">
        <v>-31332</v>
      </c>
      <c r="F1701" s="3" t="s">
        <v>343</v>
      </c>
      <c r="G1701" s="3" t="s">
        <v>41</v>
      </c>
      <c r="H1701" s="2" t="s">
        <v>62</v>
      </c>
      <c r="I1701" s="2" t="s">
        <v>4171</v>
      </c>
      <c r="J1701" s="3" t="str">
        <f>HYPERLINK("https://www.boe.es/gazeta/dias/1814/03/19/pdfs/GRE-1814-38.pdf#page=4","Abrir facsímil")</f>
        <v>Abrir facsímil</v>
      </c>
      <c r="K1701" s="3" t="s">
        <v>64</v>
      </c>
    </row>
    <row r="1702" spans="1:11" ht="42" customHeight="1">
      <c r="A1702" s="2" t="s">
        <v>4172</v>
      </c>
      <c r="B1702" s="2" t="s">
        <v>4173</v>
      </c>
      <c r="C1702" s="2" t="s">
        <v>38</v>
      </c>
      <c r="D1702" s="2" t="s">
        <v>39</v>
      </c>
      <c r="E1702" s="5">
        <v>-31308</v>
      </c>
      <c r="F1702" s="3" t="s">
        <v>210</v>
      </c>
      <c r="G1702" s="3" t="s">
        <v>20</v>
      </c>
      <c r="H1702" s="2" t="s">
        <v>62</v>
      </c>
      <c r="I1702" s="2" t="s">
        <v>4174</v>
      </c>
      <c r="J1702" s="3" t="str">
        <f>HYPERLINK("https://www.boe.es/gazeta/dias/1814/04/12/pdfs/GRE-1814-52.pdf#page=7","Abrir facsímil")</f>
        <v>Abrir facsímil</v>
      </c>
      <c r="K1702" s="3" t="s">
        <v>64</v>
      </c>
    </row>
    <row r="1703" spans="1:11" ht="42" customHeight="1">
      <c r="A1703" s="2" t="s">
        <v>4175</v>
      </c>
      <c r="B1703" s="2" t="s">
        <v>4175</v>
      </c>
      <c r="C1703" s="2" t="s">
        <v>38</v>
      </c>
      <c r="D1703" s="2" t="s">
        <v>39</v>
      </c>
      <c r="E1703" s="5">
        <v>-31392</v>
      </c>
      <c r="F1703" s="3" t="s">
        <v>195</v>
      </c>
      <c r="G1703" s="3" t="s">
        <v>3308</v>
      </c>
      <c r="H1703" s="2" t="s">
        <v>62</v>
      </c>
      <c r="I1703" s="2" t="s">
        <v>4176</v>
      </c>
      <c r="J1703" s="3" t="str">
        <f>HYPERLINK("https://www.boe.es/gazeta/dias/1814/01/18/pdfs/GRE-1814-9.pdf#page=6","Abrir facsímil")</f>
        <v>Abrir facsímil</v>
      </c>
      <c r="K1703" s="3" t="s">
        <v>64</v>
      </c>
    </row>
    <row r="1704" spans="1:11" ht="42" customHeight="1">
      <c r="A1704" s="2" t="s">
        <v>4177</v>
      </c>
      <c r="B1704" s="2" t="s">
        <v>4178</v>
      </c>
      <c r="C1704" s="2" t="s">
        <v>38</v>
      </c>
      <c r="D1704" s="2" t="s">
        <v>39</v>
      </c>
      <c r="E1704" s="5">
        <v>-31208</v>
      </c>
      <c r="F1704" s="3" t="s">
        <v>509</v>
      </c>
      <c r="G1704" s="3" t="s">
        <v>20</v>
      </c>
      <c r="H1704" s="2" t="s">
        <v>62</v>
      </c>
      <c r="I1704" s="2" t="s">
        <v>4179</v>
      </c>
      <c r="J1704" s="3" t="str">
        <f>HYPERLINK("https://www.boe.es/gazeta/dias/1814/07/21/pdfs/GMD-1814-101.pdf#page=7","Abrir facsímil")</f>
        <v>Abrir facsímil</v>
      </c>
      <c r="K1704" s="3" t="s">
        <v>64</v>
      </c>
    </row>
    <row r="1705" spans="1:11" ht="42" customHeight="1">
      <c r="A1705" s="2" t="s">
        <v>4180</v>
      </c>
      <c r="B1705" s="2" t="s">
        <v>4181</v>
      </c>
      <c r="C1705" s="2" t="s">
        <v>45</v>
      </c>
      <c r="D1705" s="2" t="s">
        <v>18</v>
      </c>
      <c r="E1705" s="5">
        <v>-31131</v>
      </c>
      <c r="F1705" s="3" t="s">
        <v>132</v>
      </c>
      <c r="G1705" s="3" t="s">
        <v>2188</v>
      </c>
      <c r="H1705" s="2" t="s">
        <v>21</v>
      </c>
      <c r="I1705" s="2" t="s">
        <v>4182</v>
      </c>
      <c r="J1705" s="3" t="str">
        <f>HYPERLINK("https://www.boe.es/gazeta/dias/1814/10/06/pdfs/GMD-1814-135.pdf#page=6","Abrir facsímil")</f>
        <v>Abrir facsímil</v>
      </c>
      <c r="K1705" s="3" t="s">
        <v>23</v>
      </c>
    </row>
    <row r="1706" spans="1:11" ht="42" customHeight="1">
      <c r="A1706" s="2" t="s">
        <v>4183</v>
      </c>
      <c r="B1706" s="2" t="s">
        <v>4184</v>
      </c>
      <c r="C1706" s="2" t="s">
        <v>38</v>
      </c>
      <c r="D1706" s="2" t="s">
        <v>39</v>
      </c>
      <c r="E1706" s="5">
        <v>-31161</v>
      </c>
      <c r="F1706" s="3" t="s">
        <v>407</v>
      </c>
      <c r="G1706" s="3" t="s">
        <v>82</v>
      </c>
      <c r="H1706" s="2" t="s">
        <v>62</v>
      </c>
      <c r="I1706" s="2" t="s">
        <v>4185</v>
      </c>
      <c r="J1706" s="3" t="str">
        <f>HYPERLINK("https://www.boe.es/gazeta/dias/1814/09/06/pdfs/GMD-1814-122.pdf#page=3","Abrir facsímil")</f>
        <v>Abrir facsímil</v>
      </c>
      <c r="K1706" s="3" t="s">
        <v>64</v>
      </c>
    </row>
    <row r="1707" spans="1:11" ht="42" customHeight="1">
      <c r="A1707" s="2" t="s">
        <v>4186</v>
      </c>
      <c r="B1707" s="2" t="s">
        <v>4187</v>
      </c>
      <c r="C1707" s="2" t="s">
        <v>17</v>
      </c>
      <c r="D1707" s="2" t="s">
        <v>18</v>
      </c>
      <c r="E1707" s="5">
        <v>-31115</v>
      </c>
      <c r="F1707" s="3" t="s">
        <v>805</v>
      </c>
      <c r="G1707" s="3" t="s">
        <v>20</v>
      </c>
      <c r="H1707" s="2" t="s">
        <v>62</v>
      </c>
      <c r="I1707" s="2" t="s">
        <v>4188</v>
      </c>
      <c r="J1707" s="3" t="str">
        <f>HYPERLINK("https://www.boe.es/gazeta/dias/1814/10/22/pdfs/GMD-1814-142.pdf#page=7","Abrir facsímil")</f>
        <v>Abrir facsímil</v>
      </c>
      <c r="K1707" s="3" t="s">
        <v>64</v>
      </c>
    </row>
    <row r="1708" spans="1:11" ht="42" customHeight="1">
      <c r="A1708" s="2" t="s">
        <v>4186</v>
      </c>
      <c r="B1708" s="2" t="s">
        <v>4187</v>
      </c>
      <c r="C1708" s="2" t="s">
        <v>17</v>
      </c>
      <c r="D1708" s="2" t="s">
        <v>18</v>
      </c>
      <c r="E1708" s="5">
        <v>-31110</v>
      </c>
      <c r="F1708" s="3" t="s">
        <v>149</v>
      </c>
      <c r="G1708" s="3" t="s">
        <v>20</v>
      </c>
      <c r="H1708" s="2" t="s">
        <v>62</v>
      </c>
      <c r="I1708" s="2" t="s">
        <v>4189</v>
      </c>
      <c r="J1708" s="3" t="str">
        <f>HYPERLINK("https://www.boe.es/gazeta/dias/1814/10/27/pdfs/GMD-1814-144.pdf#page=7","Abrir facsímil")</f>
        <v>Abrir facsímil</v>
      </c>
      <c r="K1708" s="3" t="s">
        <v>64</v>
      </c>
    </row>
    <row r="1709" spans="1:11" ht="42" customHeight="1">
      <c r="A1709" s="2" t="s">
        <v>4190</v>
      </c>
      <c r="B1709" s="2" t="s">
        <v>4191</v>
      </c>
      <c r="C1709" s="2" t="s">
        <v>38</v>
      </c>
      <c r="D1709" s="2" t="s">
        <v>39</v>
      </c>
      <c r="E1709" s="5">
        <v>-31196</v>
      </c>
      <c r="F1709" s="3" t="s">
        <v>828</v>
      </c>
      <c r="G1709" s="3" t="s">
        <v>52</v>
      </c>
      <c r="H1709" s="2" t="s">
        <v>62</v>
      </c>
      <c r="I1709" s="2" t="s">
        <v>4192</v>
      </c>
      <c r="J1709" s="3" t="str">
        <f>HYPERLINK("https://www.boe.es/gazeta/dias/1814/08/02/pdfs/GMD-1814-106.pdf#page=8","Abrir facsímil")</f>
        <v>Abrir facsímil</v>
      </c>
      <c r="K1709" s="3" t="s">
        <v>64</v>
      </c>
    </row>
    <row r="1710" spans="1:11" ht="42" customHeight="1">
      <c r="A1710" s="2" t="s">
        <v>4193</v>
      </c>
      <c r="B1710" s="2" t="s">
        <v>4194</v>
      </c>
      <c r="C1710" s="2" t="s">
        <v>38</v>
      </c>
      <c r="D1710" s="2" t="s">
        <v>39</v>
      </c>
      <c r="E1710" s="5">
        <v>-31122</v>
      </c>
      <c r="F1710" s="3" t="s">
        <v>28</v>
      </c>
      <c r="G1710" s="3" t="s">
        <v>20</v>
      </c>
      <c r="H1710" s="2" t="s">
        <v>62</v>
      </c>
      <c r="I1710" s="2" t="s">
        <v>4195</v>
      </c>
      <c r="J1710" s="3" t="str">
        <f>HYPERLINK("https://www.boe.es/gazeta/dias/1814/10/15/pdfs/GMD-1814-139.pdf#page=7","Abrir facsímil")</f>
        <v>Abrir facsímil</v>
      </c>
      <c r="K1710" s="3" t="s">
        <v>64</v>
      </c>
    </row>
    <row r="1711" spans="1:11" ht="42" customHeight="1">
      <c r="A1711" s="2" t="s">
        <v>4196</v>
      </c>
      <c r="B1711" s="2" t="s">
        <v>4196</v>
      </c>
      <c r="C1711" s="2" t="s">
        <v>38</v>
      </c>
      <c r="D1711" s="2" t="s">
        <v>39</v>
      </c>
      <c r="E1711" s="5">
        <v>-31301</v>
      </c>
      <c r="F1711" s="3" t="s">
        <v>81</v>
      </c>
      <c r="G1711" s="3" t="s">
        <v>87</v>
      </c>
      <c r="H1711" s="2" t="s">
        <v>62</v>
      </c>
      <c r="I1711" s="2" t="s">
        <v>4197</v>
      </c>
      <c r="J1711" s="3" t="str">
        <f>HYPERLINK("https://www.boe.es/gazeta/dias/1814/04/19/pdfs/GRE-1814-56.pdf#page=2","Abrir facsímil")</f>
        <v>Abrir facsímil</v>
      </c>
      <c r="K1711" s="3" t="s">
        <v>64</v>
      </c>
    </row>
    <row r="1712" spans="1:11" ht="42" customHeight="1">
      <c r="A1712" s="2" t="s">
        <v>4198</v>
      </c>
      <c r="B1712" s="2" t="s">
        <v>4199</v>
      </c>
      <c r="C1712" s="2" t="s">
        <v>45</v>
      </c>
      <c r="D1712" s="2" t="s">
        <v>18</v>
      </c>
      <c r="E1712" s="5">
        <v>-31182</v>
      </c>
      <c r="F1712" s="3" t="s">
        <v>19</v>
      </c>
      <c r="G1712" s="3" t="s">
        <v>3827</v>
      </c>
      <c r="H1712" s="2" t="s">
        <v>62</v>
      </c>
      <c r="I1712" s="2" t="s">
        <v>4200</v>
      </c>
      <c r="J1712" s="3" t="str">
        <f>HYPERLINK("https://www.boe.es/gazeta/dias/1814/08/16/pdfs/GMD-1814-112.pdf#page=8","Abrir facsímil")</f>
        <v>Abrir facsímil</v>
      </c>
      <c r="K1712" s="3" t="s">
        <v>64</v>
      </c>
    </row>
    <row r="1713" spans="1:11" ht="42" customHeight="1">
      <c r="A1713" s="2" t="s">
        <v>4198</v>
      </c>
      <c r="B1713" s="2" t="s">
        <v>4199</v>
      </c>
      <c r="C1713" s="2" t="s">
        <v>26</v>
      </c>
      <c r="D1713" s="2" t="s">
        <v>27</v>
      </c>
      <c r="E1713" s="5">
        <v>-31138</v>
      </c>
      <c r="F1713" s="3" t="s">
        <v>1363</v>
      </c>
      <c r="G1713" s="3" t="s">
        <v>52</v>
      </c>
      <c r="H1713" s="2" t="s">
        <v>62</v>
      </c>
      <c r="I1713" s="2" t="s">
        <v>4201</v>
      </c>
      <c r="J1713" s="3" t="str">
        <f>HYPERLINK("https://www.boe.es/gazeta/dias/1814/09/29/pdfs/GMD-1814-132.pdf#page=8","Abrir facsímil")</f>
        <v>Abrir facsímil</v>
      </c>
      <c r="K1713" s="3" t="s">
        <v>64</v>
      </c>
    </row>
    <row r="1714" spans="1:11" ht="42" customHeight="1">
      <c r="A1714" s="2" t="s">
        <v>4202</v>
      </c>
      <c r="B1714" s="2" t="s">
        <v>4203</v>
      </c>
      <c r="C1714" s="2" t="s">
        <v>32</v>
      </c>
      <c r="D1714" s="2" t="s">
        <v>18</v>
      </c>
      <c r="E1714" s="5">
        <v>-31250</v>
      </c>
      <c r="F1714" s="3" t="s">
        <v>177</v>
      </c>
      <c r="G1714" s="3" t="s">
        <v>52</v>
      </c>
      <c r="H1714" s="2" t="s">
        <v>21</v>
      </c>
      <c r="I1714" s="2" t="s">
        <v>4204</v>
      </c>
      <c r="J1714" s="3" t="str">
        <f>HYPERLINK("https://www.boe.es/gazeta/dias/1814/06/09/pdfs/GMD-1814-83.pdf#page=8","Abrir facsímil")</f>
        <v>Abrir facsímil</v>
      </c>
      <c r="K1714" s="3" t="s">
        <v>23</v>
      </c>
    </row>
    <row r="1715" spans="1:11" ht="42" customHeight="1">
      <c r="A1715" s="2" t="s">
        <v>4205</v>
      </c>
      <c r="B1715" s="2" t="s">
        <v>4206</v>
      </c>
      <c r="C1715" s="2" t="s">
        <v>38</v>
      </c>
      <c r="D1715" s="2" t="s">
        <v>39</v>
      </c>
      <c r="E1715" s="5">
        <v>-31112</v>
      </c>
      <c r="F1715" s="3" t="s">
        <v>707</v>
      </c>
      <c r="G1715" s="3" t="s">
        <v>20</v>
      </c>
      <c r="H1715" s="2" t="s">
        <v>62</v>
      </c>
      <c r="I1715" s="2" t="s">
        <v>4207</v>
      </c>
      <c r="J1715" s="3" t="str">
        <f>HYPERLINK("https://www.boe.es/gazeta/dias/1814/10/25/pdfs/GMD-1814-143.pdf#page=7","Abrir facsímil")</f>
        <v>Abrir facsímil</v>
      </c>
      <c r="K1715" s="3" t="s">
        <v>64</v>
      </c>
    </row>
    <row r="1716" spans="1:11" ht="42" customHeight="1">
      <c r="A1716" s="2" t="s">
        <v>4208</v>
      </c>
      <c r="B1716" s="2" t="s">
        <v>4209</v>
      </c>
      <c r="C1716" s="2" t="s">
        <v>38</v>
      </c>
      <c r="D1716" s="2" t="s">
        <v>39</v>
      </c>
      <c r="E1716" s="5">
        <v>-31311</v>
      </c>
      <c r="F1716" s="3" t="s">
        <v>3144</v>
      </c>
      <c r="G1716" s="3" t="s">
        <v>52</v>
      </c>
      <c r="H1716" s="2" t="s">
        <v>62</v>
      </c>
      <c r="I1716" s="2" t="s">
        <v>4210</v>
      </c>
      <c r="J1716" s="3" t="str">
        <f>HYPERLINK("https://www.boe.es/gazeta/dias/1814/04/09/pdfs/GRE-1814-51.pdf#page=8","Abrir facsímil")</f>
        <v>Abrir facsímil</v>
      </c>
      <c r="K1716" s="3" t="s">
        <v>64</v>
      </c>
    </row>
    <row r="1717" spans="1:11" ht="42" customHeight="1">
      <c r="A1717" s="2" t="s">
        <v>4211</v>
      </c>
      <c r="B1717" s="2" t="s">
        <v>4212</v>
      </c>
      <c r="C1717" s="2" t="s">
        <v>687</v>
      </c>
      <c r="D1717" s="2" t="s">
        <v>27</v>
      </c>
      <c r="E1717" s="5">
        <v>-31187</v>
      </c>
      <c r="F1717" s="3" t="s">
        <v>518</v>
      </c>
      <c r="G1717" s="3" t="s">
        <v>52</v>
      </c>
      <c r="H1717" s="2" t="s">
        <v>62</v>
      </c>
      <c r="I1717" s="2" t="s">
        <v>4213</v>
      </c>
      <c r="J1717" s="3" t="str">
        <f>HYPERLINK("https://www.boe.es/gazeta/dias/1814/08/11/pdfs/GMD-1814-110.pdf#page=8","Abrir facsímil")</f>
        <v>Abrir facsímil</v>
      </c>
      <c r="K1717" s="3" t="s">
        <v>64</v>
      </c>
    </row>
    <row r="1718" spans="1:11" ht="42" customHeight="1">
      <c r="A1718" s="2" t="s">
        <v>4214</v>
      </c>
      <c r="B1718" s="2" t="s">
        <v>4214</v>
      </c>
      <c r="C1718" s="2" t="s">
        <v>38</v>
      </c>
      <c r="D1718" s="2" t="s">
        <v>39</v>
      </c>
      <c r="E1718" s="5">
        <v>-31404</v>
      </c>
      <c r="F1718" s="3" t="s">
        <v>630</v>
      </c>
      <c r="G1718" s="3" t="s">
        <v>52</v>
      </c>
      <c r="H1718" s="2" t="s">
        <v>62</v>
      </c>
      <c r="I1718" s="2" t="s">
        <v>4215</v>
      </c>
      <c r="J1718" s="3" t="str">
        <f>HYPERLINK("https://www.boe.es/gazeta/dias/1814/01/06/pdfs/GRE-1814-3.pdf#page=8","Abrir facsímil")</f>
        <v>Abrir facsímil</v>
      </c>
      <c r="K1718" s="3" t="s">
        <v>64</v>
      </c>
    </row>
    <row r="1719" spans="1:11" ht="42" customHeight="1">
      <c r="A1719" s="2" t="s">
        <v>4216</v>
      </c>
      <c r="B1719" s="2" t="s">
        <v>4217</v>
      </c>
      <c r="C1719" s="2" t="s">
        <v>38</v>
      </c>
      <c r="D1719" s="2" t="s">
        <v>39</v>
      </c>
      <c r="E1719" s="5">
        <v>-31404</v>
      </c>
      <c r="F1719" s="3" t="s">
        <v>630</v>
      </c>
      <c r="G1719" s="3" t="s">
        <v>1095</v>
      </c>
      <c r="H1719" s="2" t="s">
        <v>62</v>
      </c>
      <c r="I1719" s="2" t="s">
        <v>4218</v>
      </c>
      <c r="J1719" s="3" t="str">
        <f>HYPERLINK("https://www.boe.es/gazeta/dias/1814/01/06/pdfs/GRE-1814-3.pdf#page=7","Abrir facsímil")</f>
        <v>Abrir facsímil</v>
      </c>
      <c r="K1719" s="3" t="s">
        <v>64</v>
      </c>
    </row>
    <row r="1720" spans="1:11" ht="42" customHeight="1">
      <c r="A1720" s="2" t="s">
        <v>4219</v>
      </c>
      <c r="B1720" s="2" t="s">
        <v>4219</v>
      </c>
      <c r="C1720" s="2" t="s">
        <v>32</v>
      </c>
      <c r="D1720" s="2" t="s">
        <v>18</v>
      </c>
      <c r="E1720" s="5">
        <v>-31355</v>
      </c>
      <c r="F1720" s="3" t="s">
        <v>50</v>
      </c>
      <c r="G1720" s="3" t="s">
        <v>52</v>
      </c>
      <c r="H1720" s="2" t="s">
        <v>62</v>
      </c>
      <c r="I1720" s="2" t="s">
        <v>4220</v>
      </c>
      <c r="J1720" s="3" t="str">
        <f>HYPERLINK("https://www.boe.es/gazeta/dias/1814/02/24/pdfs/GRE-1814-26.pdf#page=8","Abrir facsímil")</f>
        <v>Abrir facsímil</v>
      </c>
      <c r="K1720" s="3" t="s">
        <v>64</v>
      </c>
    </row>
    <row r="1721" spans="1:11" ht="42" customHeight="1">
      <c r="A1721" s="2" t="s">
        <v>4221</v>
      </c>
      <c r="B1721" s="2" t="s">
        <v>4222</v>
      </c>
      <c r="C1721" s="2" t="s">
        <v>26</v>
      </c>
      <c r="D1721" s="2" t="s">
        <v>27</v>
      </c>
      <c r="E1721" s="5">
        <v>-31143</v>
      </c>
      <c r="F1721" s="3" t="s">
        <v>787</v>
      </c>
      <c r="G1721" s="3" t="s">
        <v>52</v>
      </c>
      <c r="H1721" s="2" t="s">
        <v>62</v>
      </c>
      <c r="I1721" s="2" t="s">
        <v>4223</v>
      </c>
      <c r="J1721" s="3" t="str">
        <f>HYPERLINK("https://www.boe.es/gazeta/dias/1814/09/24/pdfs/GMD-1814-130.pdf#page=8","Abrir facsímil")</f>
        <v>Abrir facsímil</v>
      </c>
      <c r="K1721" s="3" t="s">
        <v>64</v>
      </c>
    </row>
    <row r="1722" spans="1:11" ht="42" customHeight="1">
      <c r="A1722" s="2" t="s">
        <v>4224</v>
      </c>
      <c r="B1722" s="2" t="s">
        <v>4224</v>
      </c>
      <c r="C1722" s="2" t="s">
        <v>309</v>
      </c>
      <c r="D1722" s="2" t="s">
        <v>18</v>
      </c>
      <c r="E1722" s="5">
        <v>-31077</v>
      </c>
      <c r="F1722" s="3" t="s">
        <v>414</v>
      </c>
      <c r="G1722" s="3" t="s">
        <v>87</v>
      </c>
      <c r="H1722" s="2" t="s">
        <v>62</v>
      </c>
      <c r="I1722" s="2" t="s">
        <v>4225</v>
      </c>
      <c r="J1722" s="3" t="str">
        <f>HYPERLINK("https://www.boe.es/gazeta/dias/1814/11/29/pdfs/GMD-1814-158.pdf#page=2","Abrir facsímil")</f>
        <v>Abrir facsímil</v>
      </c>
      <c r="K1722" s="3" t="s">
        <v>64</v>
      </c>
    </row>
    <row r="1723" spans="1:11" ht="42" customHeight="1">
      <c r="A1723" s="2" t="s">
        <v>4226</v>
      </c>
      <c r="B1723" s="2" t="s">
        <v>4227</v>
      </c>
      <c r="C1723" s="2" t="s">
        <v>26</v>
      </c>
      <c r="D1723" s="2" t="s">
        <v>27</v>
      </c>
      <c r="E1723" s="5">
        <v>-31061</v>
      </c>
      <c r="F1723" s="3" t="s">
        <v>329</v>
      </c>
      <c r="G1723" s="3" t="s">
        <v>52</v>
      </c>
      <c r="H1723" s="2" t="s">
        <v>62</v>
      </c>
      <c r="I1723" s="2" t="s">
        <v>4228</v>
      </c>
      <c r="J1723" s="3" t="str">
        <f>HYPERLINK("https://www.boe.es/gazeta/dias/1814/12/15/pdfs/GMD-1814-165.pdf#page=8","Abrir facsímil")</f>
        <v>Abrir facsímil</v>
      </c>
      <c r="K1723" s="3" t="s">
        <v>64</v>
      </c>
    </row>
    <row r="1724" spans="1:11" ht="42" customHeight="1">
      <c r="A1724" s="2" t="s">
        <v>4229</v>
      </c>
      <c r="B1724" s="2" t="s">
        <v>4229</v>
      </c>
      <c r="C1724" s="2" t="s">
        <v>38</v>
      </c>
      <c r="D1724" s="2" t="s">
        <v>39</v>
      </c>
      <c r="E1724" s="5">
        <v>-31299</v>
      </c>
      <c r="F1724" s="3" t="s">
        <v>71</v>
      </c>
      <c r="G1724" s="3" t="s">
        <v>99</v>
      </c>
      <c r="H1724" s="2" t="s">
        <v>62</v>
      </c>
      <c r="I1724" s="2" t="s">
        <v>4230</v>
      </c>
      <c r="J1724" s="3" t="str">
        <f>HYPERLINK("https://www.boe.es/gazeta/dias/1814/04/21/pdfs/GRE-1814-57.pdf#page=5","Abrir facsímil")</f>
        <v>Abrir facsímil</v>
      </c>
      <c r="K1724" s="3" t="s">
        <v>64</v>
      </c>
    </row>
    <row r="1725" spans="1:11" ht="42" customHeight="1">
      <c r="A1725" s="2" t="s">
        <v>4231</v>
      </c>
      <c r="B1725" s="2" t="s">
        <v>4232</v>
      </c>
      <c r="C1725" s="2" t="s">
        <v>38</v>
      </c>
      <c r="D1725" s="2" t="s">
        <v>39</v>
      </c>
      <c r="E1725" s="5">
        <v>-31369</v>
      </c>
      <c r="F1725" s="3" t="s">
        <v>695</v>
      </c>
      <c r="G1725" s="3" t="s">
        <v>3737</v>
      </c>
      <c r="H1725" s="2" t="s">
        <v>62</v>
      </c>
      <c r="I1725" s="2" t="s">
        <v>4233</v>
      </c>
      <c r="J1725" s="3" t="str">
        <f>HYPERLINK("https://www.boe.es/gazeta/dias/1814/02/10/pdfs/GRE-1814-19.pdf#page=6","Abrir facsímil")</f>
        <v>Abrir facsímil</v>
      </c>
      <c r="K1725" s="3" t="s">
        <v>64</v>
      </c>
    </row>
    <row r="1726" spans="1:11" ht="42" customHeight="1">
      <c r="A1726" s="2" t="s">
        <v>4234</v>
      </c>
      <c r="B1726" s="2" t="s">
        <v>4235</v>
      </c>
      <c r="C1726" s="2" t="s">
        <v>17</v>
      </c>
      <c r="D1726" s="2" t="s">
        <v>18</v>
      </c>
      <c r="E1726" s="5">
        <v>-31341</v>
      </c>
      <c r="F1726" s="3" t="s">
        <v>360</v>
      </c>
      <c r="G1726" s="3" t="s">
        <v>20</v>
      </c>
      <c r="H1726" s="2" t="s">
        <v>62</v>
      </c>
      <c r="I1726" s="2" t="s">
        <v>4236</v>
      </c>
      <c r="J1726" s="3" t="str">
        <f>HYPERLINK("https://www.boe.es/gazeta/dias/1814/03/10/pdfs/GRE-1814-33.pdf#page=7","Abrir facsímil")</f>
        <v>Abrir facsímil</v>
      </c>
      <c r="K1726" s="3" t="s">
        <v>64</v>
      </c>
    </row>
    <row r="1727" spans="1:11" ht="42" customHeight="1">
      <c r="A1727" s="2" t="s">
        <v>4237</v>
      </c>
      <c r="B1727" s="2" t="s">
        <v>4237</v>
      </c>
      <c r="C1727" s="2" t="s">
        <v>38</v>
      </c>
      <c r="D1727" s="2" t="s">
        <v>39</v>
      </c>
      <c r="E1727" s="5">
        <v>-31194</v>
      </c>
      <c r="F1727" s="3" t="s">
        <v>333</v>
      </c>
      <c r="G1727" s="3" t="s">
        <v>87</v>
      </c>
      <c r="H1727" s="2" t="s">
        <v>62</v>
      </c>
      <c r="I1727" s="2" t="s">
        <v>4238</v>
      </c>
      <c r="J1727" s="3" t="str">
        <f>HYPERLINK("https://www.boe.es/gazeta/dias/1814/08/04/pdfs/GMD-1814-107.pdf#page=2","Abrir facsímil")</f>
        <v>Abrir facsímil</v>
      </c>
      <c r="K1727" s="3" t="s">
        <v>64</v>
      </c>
    </row>
    <row r="1728" spans="1:11" ht="42" customHeight="1">
      <c r="A1728" s="2" t="s">
        <v>4239</v>
      </c>
      <c r="B1728" s="2" t="s">
        <v>4240</v>
      </c>
      <c r="C1728" s="2" t="s">
        <v>38</v>
      </c>
      <c r="D1728" s="2" t="s">
        <v>39</v>
      </c>
      <c r="E1728" s="5">
        <v>-31257</v>
      </c>
      <c r="F1728" s="3" t="s">
        <v>437</v>
      </c>
      <c r="G1728" s="3" t="s">
        <v>57</v>
      </c>
      <c r="H1728" s="2" t="s">
        <v>62</v>
      </c>
      <c r="I1728" s="2" t="s">
        <v>4241</v>
      </c>
      <c r="J1728" s="3" t="str">
        <f>HYPERLINK("https://www.boe.es/gazeta/dias/1814/06/02/pdfs/GMD-1814-80.pdf#page=6","Abrir facsímil")</f>
        <v>Abrir facsímil</v>
      </c>
      <c r="K1728" s="3" t="s">
        <v>64</v>
      </c>
    </row>
    <row r="1729" spans="1:11" ht="42" customHeight="1">
      <c r="A1729" s="2" t="s">
        <v>4242</v>
      </c>
      <c r="B1729" s="2" t="s">
        <v>4243</v>
      </c>
      <c r="C1729" s="2" t="s">
        <v>38</v>
      </c>
      <c r="D1729" s="2" t="s">
        <v>39</v>
      </c>
      <c r="E1729" s="5">
        <v>-31248</v>
      </c>
      <c r="F1729" s="3" t="s">
        <v>1123</v>
      </c>
      <c r="G1729" s="3" t="s">
        <v>99</v>
      </c>
      <c r="H1729" s="2" t="s">
        <v>62</v>
      </c>
      <c r="I1729" s="2" t="s">
        <v>4244</v>
      </c>
      <c r="J1729" s="3" t="str">
        <f>HYPERLINK("https://www.boe.es/gazeta/dias/1814/06/11/pdfs/GMD-1814-84.pdf#page=5","Abrir facsímil")</f>
        <v>Abrir facsímil</v>
      </c>
      <c r="K1729" s="3" t="s">
        <v>64</v>
      </c>
    </row>
    <row r="1730" spans="1:11" ht="42" customHeight="1">
      <c r="A1730" s="2" t="s">
        <v>4245</v>
      </c>
      <c r="B1730" s="2" t="s">
        <v>4246</v>
      </c>
      <c r="C1730" s="2" t="s">
        <v>38</v>
      </c>
      <c r="D1730" s="2" t="s">
        <v>39</v>
      </c>
      <c r="E1730" s="5">
        <v>-31346</v>
      </c>
      <c r="F1730" s="3" t="s">
        <v>78</v>
      </c>
      <c r="G1730" s="3" t="s">
        <v>52</v>
      </c>
      <c r="H1730" s="2" t="s">
        <v>62</v>
      </c>
      <c r="I1730" s="2" t="s">
        <v>4247</v>
      </c>
      <c r="J1730" s="3" t="str">
        <f>HYPERLINK("https://www.boe.es/gazeta/dias/1814/03/05/pdfs/GRE-1814-30.pdf#page=8","Abrir facsímil")</f>
        <v>Abrir facsímil</v>
      </c>
      <c r="K1730" s="3" t="s">
        <v>64</v>
      </c>
    </row>
    <row r="1731" spans="1:11" ht="42" customHeight="1">
      <c r="A1731" s="2" t="s">
        <v>4248</v>
      </c>
      <c r="B1731" s="2" t="s">
        <v>4249</v>
      </c>
      <c r="C1731" s="2" t="s">
        <v>38</v>
      </c>
      <c r="D1731" s="2" t="s">
        <v>39</v>
      </c>
      <c r="E1731" s="5">
        <v>-31117</v>
      </c>
      <c r="F1731" s="3" t="s">
        <v>172</v>
      </c>
      <c r="G1731" s="3" t="s">
        <v>3857</v>
      </c>
      <c r="H1731" s="2" t="s">
        <v>62</v>
      </c>
      <c r="I1731" s="2" t="s">
        <v>4250</v>
      </c>
      <c r="J1731" s="3" t="str">
        <f>HYPERLINK("https://www.boe.es/gazeta/dias/1814/10/20/pdfs/GMD-1814-141.pdf#page=6","Abrir facsímil")</f>
        <v>Abrir facsímil</v>
      </c>
      <c r="K1731" s="3" t="s">
        <v>64</v>
      </c>
    </row>
    <row r="1732" spans="1:11" ht="42" customHeight="1">
      <c r="A1732" s="2" t="s">
        <v>4251</v>
      </c>
      <c r="B1732" s="2" t="s">
        <v>4252</v>
      </c>
      <c r="C1732" s="2" t="s">
        <v>26</v>
      </c>
      <c r="D1732" s="2" t="s">
        <v>27</v>
      </c>
      <c r="E1732" s="5">
        <v>-31210</v>
      </c>
      <c r="F1732" s="3" t="s">
        <v>141</v>
      </c>
      <c r="G1732" s="3" t="s">
        <v>52</v>
      </c>
      <c r="H1732" s="2" t="s">
        <v>62</v>
      </c>
      <c r="I1732" s="2" t="s">
        <v>4253</v>
      </c>
      <c r="J1732" s="3" t="str">
        <f>HYPERLINK("https://www.boe.es/gazeta/dias/1814/07/19/pdfs/GMD-1814-100.pdf#page=8","Abrir facsímil")</f>
        <v>Abrir facsímil</v>
      </c>
      <c r="K1732" s="3" t="s">
        <v>64</v>
      </c>
    </row>
    <row r="1733" spans="1:11" ht="42" customHeight="1">
      <c r="A1733" s="2" t="s">
        <v>4254</v>
      </c>
      <c r="B1733" s="2" t="s">
        <v>4255</v>
      </c>
      <c r="C1733" s="2" t="s">
        <v>38</v>
      </c>
      <c r="D1733" s="2" t="s">
        <v>39</v>
      </c>
      <c r="E1733" s="5">
        <v>-31124</v>
      </c>
      <c r="F1733" s="3" t="s">
        <v>383</v>
      </c>
      <c r="G1733" s="3" t="s">
        <v>574</v>
      </c>
      <c r="H1733" s="2" t="s">
        <v>62</v>
      </c>
      <c r="I1733" s="2" t="s">
        <v>4256</v>
      </c>
      <c r="J1733" s="3" t="str">
        <f>HYPERLINK("https://www.boe.es/gazeta/dias/1814/10/13/pdfs/GMD-1814-138.pdf#page=10","Abrir facsímil")</f>
        <v>Abrir facsímil</v>
      </c>
      <c r="K1733" s="3" t="s">
        <v>64</v>
      </c>
    </row>
    <row r="1734" spans="1:11" ht="42" customHeight="1">
      <c r="A1734" s="2" t="s">
        <v>4257</v>
      </c>
      <c r="B1734" s="2" t="s">
        <v>4258</v>
      </c>
      <c r="C1734" s="2" t="s">
        <v>38</v>
      </c>
      <c r="D1734" s="2" t="s">
        <v>39</v>
      </c>
      <c r="E1734" s="5">
        <v>-31194</v>
      </c>
      <c r="F1734" s="3" t="s">
        <v>333</v>
      </c>
      <c r="G1734" s="3" t="s">
        <v>57</v>
      </c>
      <c r="H1734" s="2" t="s">
        <v>62</v>
      </c>
      <c r="I1734" s="2" t="s">
        <v>4259</v>
      </c>
      <c r="J1734" s="3" t="str">
        <f>HYPERLINK("https://www.boe.es/gazeta/dias/1814/08/04/pdfs/GMD-1814-107.pdf#page=6","Abrir facsímil")</f>
        <v>Abrir facsímil</v>
      </c>
      <c r="K1734" s="3" t="s">
        <v>64</v>
      </c>
    </row>
    <row r="1735" spans="1:11" ht="42" customHeight="1">
      <c r="A1735" s="2" t="s">
        <v>4260</v>
      </c>
      <c r="B1735" s="2" t="s">
        <v>4261</v>
      </c>
      <c r="C1735" s="2" t="s">
        <v>38</v>
      </c>
      <c r="D1735" s="2" t="s">
        <v>39</v>
      </c>
      <c r="E1735" s="5">
        <v>-31192</v>
      </c>
      <c r="F1735" s="3" t="s">
        <v>388</v>
      </c>
      <c r="G1735" s="3" t="s">
        <v>20</v>
      </c>
      <c r="H1735" s="2" t="s">
        <v>62</v>
      </c>
      <c r="I1735" s="2" t="s">
        <v>4262</v>
      </c>
      <c r="J1735" s="3" t="str">
        <f>HYPERLINK("https://www.boe.es/gazeta/dias/1814/08/06/pdfs/GMD-1814-108.pdf#page=7","Abrir facsímil")</f>
        <v>Abrir facsímil</v>
      </c>
      <c r="K1735" s="3" t="s">
        <v>64</v>
      </c>
    </row>
    <row r="1736" spans="1:11" ht="42" customHeight="1">
      <c r="A1736" s="2" t="s">
        <v>4263</v>
      </c>
      <c r="B1736" s="2" t="s">
        <v>4264</v>
      </c>
      <c r="C1736" s="2" t="s">
        <v>38</v>
      </c>
      <c r="D1736" s="2" t="s">
        <v>39</v>
      </c>
      <c r="E1736" s="5">
        <v>-31203</v>
      </c>
      <c r="F1736" s="3" t="s">
        <v>512</v>
      </c>
      <c r="G1736" s="3" t="s">
        <v>52</v>
      </c>
      <c r="H1736" s="2" t="s">
        <v>62</v>
      </c>
      <c r="I1736" s="2" t="s">
        <v>4265</v>
      </c>
      <c r="J1736" s="3" t="str">
        <f>HYPERLINK("https://www.boe.es/gazeta/dias/1814/07/26/pdfs/GMD-1814-103.pdf#page=8","Abrir facsímil")</f>
        <v>Abrir facsímil</v>
      </c>
      <c r="K1736" s="3" t="s">
        <v>64</v>
      </c>
    </row>
    <row r="1737" spans="1:11" ht="42" customHeight="1">
      <c r="A1737" s="2" t="s">
        <v>4266</v>
      </c>
      <c r="B1737" s="2" t="s">
        <v>4267</v>
      </c>
      <c r="C1737" s="2" t="s">
        <v>45</v>
      </c>
      <c r="D1737" s="2" t="s">
        <v>18</v>
      </c>
      <c r="E1737" s="5">
        <v>-31131</v>
      </c>
      <c r="F1737" s="3" t="s">
        <v>132</v>
      </c>
      <c r="G1737" s="3" t="s">
        <v>20</v>
      </c>
      <c r="H1737" s="2" t="s">
        <v>62</v>
      </c>
      <c r="I1737" s="2" t="s">
        <v>4268</v>
      </c>
      <c r="J1737" s="3" t="str">
        <f>HYPERLINK("https://www.boe.es/gazeta/dias/1814/10/06/pdfs/GMD-1814-135.pdf#page=7","Abrir facsímil")</f>
        <v>Abrir facsímil</v>
      </c>
      <c r="K1737" s="3" t="s">
        <v>64</v>
      </c>
    </row>
    <row r="1738" spans="1:11" ht="42" customHeight="1">
      <c r="A1738" s="2" t="s">
        <v>4269</v>
      </c>
      <c r="B1738" s="2" t="s">
        <v>4270</v>
      </c>
      <c r="C1738" s="2" t="s">
        <v>26</v>
      </c>
      <c r="D1738" s="2" t="s">
        <v>27</v>
      </c>
      <c r="E1738" s="5">
        <v>-31215</v>
      </c>
      <c r="F1738" s="3" t="s">
        <v>372</v>
      </c>
      <c r="G1738" s="3" t="s">
        <v>322</v>
      </c>
      <c r="H1738" s="2" t="s">
        <v>62</v>
      </c>
      <c r="I1738" s="2" t="s">
        <v>4271</v>
      </c>
      <c r="J1738" s="3" t="str">
        <f>HYPERLINK("https://www.boe.es/gazeta/dias/1814/07/14/pdfs/GMD-1814-98.pdf#page=12","Abrir facsímil")</f>
        <v>Abrir facsímil</v>
      </c>
      <c r="K1738" s="3" t="s">
        <v>64</v>
      </c>
    </row>
    <row r="1739" spans="1:11" ht="42" customHeight="1">
      <c r="A1739" s="2" t="s">
        <v>4269</v>
      </c>
      <c r="B1739" s="2" t="s">
        <v>4270</v>
      </c>
      <c r="C1739" s="2" t="s">
        <v>38</v>
      </c>
      <c r="D1739" s="2" t="s">
        <v>39</v>
      </c>
      <c r="E1739" s="5">
        <v>-31185</v>
      </c>
      <c r="F1739" s="3" t="s">
        <v>1238</v>
      </c>
      <c r="G1739" s="3" t="s">
        <v>52</v>
      </c>
      <c r="H1739" s="2" t="s">
        <v>62</v>
      </c>
      <c r="I1739" s="2" t="s">
        <v>4272</v>
      </c>
      <c r="J1739" s="3" t="str">
        <f>HYPERLINK("https://www.boe.es/gazeta/dias/1814/08/13/pdfs/GMD-1814-111.pdf#page=8","Abrir facsímil")</f>
        <v>Abrir facsímil</v>
      </c>
      <c r="K1739" s="3" t="s">
        <v>64</v>
      </c>
    </row>
    <row r="1740" spans="1:11" ht="42" customHeight="1">
      <c r="A1740" s="2" t="s">
        <v>4269</v>
      </c>
      <c r="B1740" s="2" t="s">
        <v>4270</v>
      </c>
      <c r="C1740" s="2" t="s">
        <v>38</v>
      </c>
      <c r="D1740" s="2" t="s">
        <v>39</v>
      </c>
      <c r="E1740" s="5">
        <v>-31173</v>
      </c>
      <c r="F1740" s="3" t="s">
        <v>46</v>
      </c>
      <c r="G1740" s="3" t="s">
        <v>52</v>
      </c>
      <c r="H1740" s="2" t="s">
        <v>62</v>
      </c>
      <c r="I1740" s="2" t="s">
        <v>4273</v>
      </c>
      <c r="J1740" s="3" t="str">
        <f>HYPERLINK("https://www.boe.es/gazeta/dias/1814/08/25/pdfs/GMD-1814-116.pdf#page=8","Abrir facsímil")</f>
        <v>Abrir facsímil</v>
      </c>
      <c r="K1740" s="3" t="s">
        <v>64</v>
      </c>
    </row>
    <row r="1741" spans="1:11" ht="42" customHeight="1">
      <c r="A1741" s="2" t="s">
        <v>4269</v>
      </c>
      <c r="B1741" s="2" t="s">
        <v>4270</v>
      </c>
      <c r="C1741" s="2" t="s">
        <v>45</v>
      </c>
      <c r="D1741" s="2" t="s">
        <v>18</v>
      </c>
      <c r="E1741" s="5">
        <v>-31140</v>
      </c>
      <c r="F1741" s="3" t="s">
        <v>525</v>
      </c>
      <c r="G1741" s="3" t="s">
        <v>99</v>
      </c>
      <c r="H1741" s="2" t="s">
        <v>62</v>
      </c>
      <c r="I1741" s="2" t="s">
        <v>4274</v>
      </c>
      <c r="J1741" s="3" t="str">
        <f>HYPERLINK("https://www.boe.es/gazeta/dias/1814/09/27/pdfs/GMD-1814-131.pdf#page=5","Abrir facsímil")</f>
        <v>Abrir facsímil</v>
      </c>
      <c r="K1741" s="3" t="s">
        <v>64</v>
      </c>
    </row>
    <row r="1742" spans="1:11" ht="42" customHeight="1">
      <c r="A1742" s="2" t="s">
        <v>4269</v>
      </c>
      <c r="B1742" s="2" t="s">
        <v>4270</v>
      </c>
      <c r="C1742" s="2" t="s">
        <v>32</v>
      </c>
      <c r="D1742" s="2" t="s">
        <v>18</v>
      </c>
      <c r="E1742" s="5">
        <v>-31124</v>
      </c>
      <c r="F1742" s="3" t="s">
        <v>383</v>
      </c>
      <c r="G1742" s="3" t="s">
        <v>322</v>
      </c>
      <c r="H1742" s="2" t="s">
        <v>62</v>
      </c>
      <c r="I1742" s="2" t="s">
        <v>4275</v>
      </c>
      <c r="J1742" s="3" t="str">
        <f>HYPERLINK("https://www.boe.es/gazeta/dias/1814/10/13/pdfs/GMD-1814-138.pdf#page=12","Abrir facsímil")</f>
        <v>Abrir facsímil</v>
      </c>
      <c r="K1742" s="3" t="s">
        <v>64</v>
      </c>
    </row>
    <row r="1743" spans="1:11" ht="42" customHeight="1">
      <c r="A1743" s="2" t="s">
        <v>4276</v>
      </c>
      <c r="B1743" s="2" t="s">
        <v>4277</v>
      </c>
      <c r="C1743" s="2" t="s">
        <v>32</v>
      </c>
      <c r="D1743" s="2" t="s">
        <v>18</v>
      </c>
      <c r="E1743" s="5">
        <v>-31203</v>
      </c>
      <c r="F1743" s="3" t="s">
        <v>512</v>
      </c>
      <c r="G1743" s="3" t="s">
        <v>52</v>
      </c>
      <c r="H1743" s="2" t="s">
        <v>62</v>
      </c>
      <c r="I1743" s="2" t="s">
        <v>4278</v>
      </c>
      <c r="J1743" s="3" t="str">
        <f>HYPERLINK("https://www.boe.es/gazeta/dias/1814/07/26/pdfs/GMD-1814-103.pdf#page=8","Abrir facsímil")</f>
        <v>Abrir facsímil</v>
      </c>
      <c r="K1743" s="3" t="s">
        <v>64</v>
      </c>
    </row>
    <row r="1744" spans="1:11" ht="42" customHeight="1">
      <c r="A1744" s="2" t="s">
        <v>4279</v>
      </c>
      <c r="B1744" s="2" t="s">
        <v>4280</v>
      </c>
      <c r="C1744" s="2" t="s">
        <v>17</v>
      </c>
      <c r="D1744" s="2" t="s">
        <v>18</v>
      </c>
      <c r="E1744" s="5">
        <v>-31129</v>
      </c>
      <c r="F1744" s="3" t="s">
        <v>418</v>
      </c>
      <c r="G1744" s="3" t="s">
        <v>41</v>
      </c>
      <c r="H1744" s="2" t="s">
        <v>62</v>
      </c>
      <c r="I1744" s="2" t="s">
        <v>4281</v>
      </c>
      <c r="J1744" s="3" t="str">
        <f>HYPERLINK("https://www.boe.es/gazeta/dias/1814/10/08/pdfs/GMD-1814-136.pdf#page=4","Abrir facsímil")</f>
        <v>Abrir facsímil</v>
      </c>
      <c r="K1744" s="3" t="s">
        <v>64</v>
      </c>
    </row>
    <row r="1745" spans="1:11" ht="42" customHeight="1">
      <c r="A1745" s="2" t="s">
        <v>4282</v>
      </c>
      <c r="B1745" s="2" t="s">
        <v>4283</v>
      </c>
      <c r="C1745" s="2" t="s">
        <v>17</v>
      </c>
      <c r="D1745" s="2" t="s">
        <v>18</v>
      </c>
      <c r="E1745" s="5">
        <v>-31119</v>
      </c>
      <c r="F1745" s="3" t="s">
        <v>136</v>
      </c>
      <c r="G1745" s="3" t="s">
        <v>384</v>
      </c>
      <c r="H1745" s="2" t="s">
        <v>62</v>
      </c>
      <c r="I1745" s="2" t="s">
        <v>4284</v>
      </c>
      <c r="J1745" s="3" t="str">
        <f>HYPERLINK("https://www.boe.es/gazeta/dias/1814/10/18/pdfs/GMD-1814-140.pdf#page=11","Abrir facsímil")</f>
        <v>Abrir facsímil</v>
      </c>
      <c r="K1745" s="3" t="s">
        <v>64</v>
      </c>
    </row>
    <row r="1746" spans="1:11" ht="42" customHeight="1">
      <c r="A1746" s="2" t="s">
        <v>4282</v>
      </c>
      <c r="B1746" s="2" t="s">
        <v>4283</v>
      </c>
      <c r="C1746" s="2" t="s">
        <v>17</v>
      </c>
      <c r="D1746" s="2" t="s">
        <v>18</v>
      </c>
      <c r="E1746" s="5">
        <v>-31115</v>
      </c>
      <c r="F1746" s="3" t="s">
        <v>805</v>
      </c>
      <c r="G1746" s="3" t="s">
        <v>20</v>
      </c>
      <c r="H1746" s="2" t="s">
        <v>62</v>
      </c>
      <c r="I1746" s="2" t="s">
        <v>4285</v>
      </c>
      <c r="J1746" s="3" t="str">
        <f>HYPERLINK("https://www.boe.es/gazeta/dias/1814/10/22/pdfs/GMD-1814-142.pdf#page=7","Abrir facsímil")</f>
        <v>Abrir facsímil</v>
      </c>
      <c r="K1746" s="3" t="s">
        <v>64</v>
      </c>
    </row>
    <row r="1747" spans="1:11" ht="42" customHeight="1">
      <c r="A1747" s="2" t="s">
        <v>4286</v>
      </c>
      <c r="B1747" s="2" t="s">
        <v>4286</v>
      </c>
      <c r="C1747" s="2" t="s">
        <v>38</v>
      </c>
      <c r="D1747" s="2" t="s">
        <v>314</v>
      </c>
      <c r="E1747" s="5">
        <v>-31299</v>
      </c>
      <c r="F1747" s="3" t="s">
        <v>484</v>
      </c>
      <c r="G1747" s="3" t="s">
        <v>107</v>
      </c>
      <c r="H1747" s="2" t="s">
        <v>62</v>
      </c>
      <c r="I1747" s="2" t="s">
        <v>4287</v>
      </c>
      <c r="J1747" s="3" t="str">
        <f>HYPERLINK("https://www.boe.es/gazeta/dias/1814/04/21/pdfs/GRE-1814-58E.pdf#page=1","Abrir facsímil")</f>
        <v>Abrir facsímil</v>
      </c>
      <c r="K1747" s="3" t="s">
        <v>64</v>
      </c>
    </row>
    <row r="1748" spans="1:11" ht="42" customHeight="1">
      <c r="A1748" s="2" t="s">
        <v>4288</v>
      </c>
      <c r="B1748" s="2" t="s">
        <v>4289</v>
      </c>
      <c r="C1748" s="2" t="s">
        <v>17</v>
      </c>
      <c r="D1748" s="2" t="s">
        <v>18</v>
      </c>
      <c r="E1748" s="5">
        <v>-31255</v>
      </c>
      <c r="F1748" s="3" t="s">
        <v>983</v>
      </c>
      <c r="G1748" s="3" t="s">
        <v>41</v>
      </c>
      <c r="H1748" s="2" t="s">
        <v>62</v>
      </c>
      <c r="I1748" s="2" t="s">
        <v>4290</v>
      </c>
      <c r="J1748" s="3" t="str">
        <f>HYPERLINK("https://www.boe.es/gazeta/dias/1814/06/04/pdfs/GMD-1814-81.pdf#page=4","Abrir facsímil")</f>
        <v>Abrir facsímil</v>
      </c>
      <c r="K1748" s="3" t="s">
        <v>64</v>
      </c>
    </row>
    <row r="1749" spans="1:11" ht="42" customHeight="1">
      <c r="A1749" s="2" t="s">
        <v>4291</v>
      </c>
      <c r="B1749" s="2" t="s">
        <v>4292</v>
      </c>
      <c r="C1749" s="2" t="s">
        <v>17</v>
      </c>
      <c r="D1749" s="2" t="s">
        <v>18</v>
      </c>
      <c r="E1749" s="5">
        <v>-31110</v>
      </c>
      <c r="F1749" s="3" t="s">
        <v>149</v>
      </c>
      <c r="G1749" s="3" t="s">
        <v>20</v>
      </c>
      <c r="H1749" s="2" t="s">
        <v>62</v>
      </c>
      <c r="I1749" s="2" t="s">
        <v>4293</v>
      </c>
      <c r="J1749" s="3" t="str">
        <f>HYPERLINK("https://www.boe.es/gazeta/dias/1814/10/27/pdfs/GMD-1814-144.pdf#page=7","Abrir facsímil")</f>
        <v>Abrir facsímil</v>
      </c>
      <c r="K1749" s="3" t="s">
        <v>64</v>
      </c>
    </row>
    <row r="1750" spans="1:11" ht="42" customHeight="1">
      <c r="A1750" s="2" t="s">
        <v>4294</v>
      </c>
      <c r="B1750" s="2" t="s">
        <v>4294</v>
      </c>
      <c r="C1750" s="2" t="s">
        <v>38</v>
      </c>
      <c r="D1750" s="2" t="s">
        <v>39</v>
      </c>
      <c r="E1750" s="5">
        <v>-31390</v>
      </c>
      <c r="F1750" s="3" t="s">
        <v>349</v>
      </c>
      <c r="G1750" s="3" t="s">
        <v>4295</v>
      </c>
      <c r="H1750" s="2" t="s">
        <v>62</v>
      </c>
      <c r="I1750" s="2" t="s">
        <v>4296</v>
      </c>
      <c r="J1750" s="3" t="str">
        <f>HYPERLINK("https://www.boe.es/gazeta/dias/1814/01/20/pdfs/GRE-1814-10.pdf#page=6","Abrir facsímil")</f>
        <v>Abrir facsímil</v>
      </c>
      <c r="K1750" s="3" t="s">
        <v>64</v>
      </c>
    </row>
    <row r="1751" spans="1:11" ht="42" customHeight="1">
      <c r="A1751" s="2" t="s">
        <v>4297</v>
      </c>
      <c r="B1751" s="2" t="s">
        <v>4298</v>
      </c>
      <c r="C1751" s="2" t="s">
        <v>38</v>
      </c>
      <c r="D1751" s="2" t="s">
        <v>39</v>
      </c>
      <c r="E1751" s="5">
        <v>-31348</v>
      </c>
      <c r="F1751" s="3" t="s">
        <v>898</v>
      </c>
      <c r="G1751" s="3" t="s">
        <v>41</v>
      </c>
      <c r="H1751" s="2" t="s">
        <v>62</v>
      </c>
      <c r="I1751" s="2" t="s">
        <v>4299</v>
      </c>
      <c r="J1751" s="3" t="str">
        <f>HYPERLINK("https://www.boe.es/gazeta/dias/1814/03/03/pdfs/GRE-1814-29.pdf#page=4","Abrir facsímil")</f>
        <v>Abrir facsímil</v>
      </c>
      <c r="K1751" s="3" t="s">
        <v>64</v>
      </c>
    </row>
    <row r="1752" spans="1:11" ht="42" customHeight="1">
      <c r="A1752" s="2" t="s">
        <v>4300</v>
      </c>
      <c r="B1752" s="2" t="s">
        <v>4301</v>
      </c>
      <c r="C1752" s="2" t="s">
        <v>17</v>
      </c>
      <c r="D1752" s="2" t="s">
        <v>18</v>
      </c>
      <c r="E1752" s="5">
        <v>-31353</v>
      </c>
      <c r="F1752" s="3" t="s">
        <v>247</v>
      </c>
      <c r="G1752" s="3" t="s">
        <v>248</v>
      </c>
      <c r="H1752" s="2" t="s">
        <v>62</v>
      </c>
      <c r="I1752" s="2" t="s">
        <v>4302</v>
      </c>
      <c r="J1752" s="3" t="str">
        <f>HYPERLINK("https://www.boe.es/gazeta/dias/1814/02/26/pdfs/GRE-1814-27.pdf#page=5","Abrir facsímil")</f>
        <v>Abrir facsímil</v>
      </c>
      <c r="K1752" s="3" t="s">
        <v>64</v>
      </c>
    </row>
    <row r="1753" spans="1:11" ht="42" customHeight="1">
      <c r="A1753" s="2" t="s">
        <v>4303</v>
      </c>
      <c r="B1753" s="2" t="s">
        <v>4304</v>
      </c>
      <c r="C1753" s="2" t="s">
        <v>38</v>
      </c>
      <c r="D1753" s="2" t="s">
        <v>39</v>
      </c>
      <c r="E1753" s="5">
        <v>-31325</v>
      </c>
      <c r="F1753" s="3" t="s">
        <v>67</v>
      </c>
      <c r="G1753" s="3" t="s">
        <v>57</v>
      </c>
      <c r="H1753" s="2" t="s">
        <v>62</v>
      </c>
      <c r="I1753" s="2" t="s">
        <v>4305</v>
      </c>
      <c r="J1753" s="3" t="str">
        <f>HYPERLINK("https://www.boe.es/gazeta/dias/1814/03/26/pdfs/GRE-1814-43.pdf#page=6","Abrir facsímil")</f>
        <v>Abrir facsímil</v>
      </c>
      <c r="K1753" s="3" t="s">
        <v>64</v>
      </c>
    </row>
    <row r="1754" spans="1:11" ht="42" customHeight="1">
      <c r="A1754" s="2" t="s">
        <v>4306</v>
      </c>
      <c r="B1754" s="2" t="s">
        <v>4307</v>
      </c>
      <c r="C1754" s="2" t="s">
        <v>38</v>
      </c>
      <c r="D1754" s="2" t="s">
        <v>39</v>
      </c>
      <c r="E1754" s="5">
        <v>-31364</v>
      </c>
      <c r="F1754" s="3" t="s">
        <v>594</v>
      </c>
      <c r="G1754" s="3" t="s">
        <v>57</v>
      </c>
      <c r="H1754" s="2" t="s">
        <v>62</v>
      </c>
      <c r="I1754" s="2" t="s">
        <v>4308</v>
      </c>
      <c r="J1754" s="3" t="str">
        <f>HYPERLINK("https://www.boe.es/gazeta/dias/1814/02/15/pdfs/GRE-1814-21.pdf#page=6","Abrir facsímil")</f>
        <v>Abrir facsímil</v>
      </c>
      <c r="K1754" s="3" t="s">
        <v>64</v>
      </c>
    </row>
    <row r="1755" spans="1:11" ht="42" customHeight="1">
      <c r="A1755" s="2" t="s">
        <v>4309</v>
      </c>
      <c r="B1755" s="2" t="s">
        <v>4310</v>
      </c>
      <c r="C1755" s="2" t="s">
        <v>38</v>
      </c>
      <c r="D1755" s="2" t="s">
        <v>39</v>
      </c>
      <c r="E1755" s="5">
        <v>-31175</v>
      </c>
      <c r="F1755" s="3" t="s">
        <v>145</v>
      </c>
      <c r="G1755" s="3" t="s">
        <v>99</v>
      </c>
      <c r="H1755" s="2" t="s">
        <v>62</v>
      </c>
      <c r="I1755" s="2" t="s">
        <v>4311</v>
      </c>
      <c r="J1755" s="3" t="str">
        <f>HYPERLINK("https://www.boe.es/gazeta/dias/1814/08/23/pdfs/GMD-1814-115.pdf#page=5","Abrir facsímil")</f>
        <v>Abrir facsímil</v>
      </c>
      <c r="K1755" s="3" t="s">
        <v>64</v>
      </c>
    </row>
    <row r="1756" spans="1:11" ht="42" customHeight="1">
      <c r="A1756" s="2" t="s">
        <v>4312</v>
      </c>
      <c r="B1756" s="2" t="s">
        <v>4313</v>
      </c>
      <c r="C1756" s="2" t="s">
        <v>32</v>
      </c>
      <c r="D1756" s="2" t="s">
        <v>18</v>
      </c>
      <c r="E1756" s="5">
        <v>-31089</v>
      </c>
      <c r="F1756" s="3" t="s">
        <v>531</v>
      </c>
      <c r="G1756" s="3" t="s">
        <v>20</v>
      </c>
      <c r="H1756" s="2" t="s">
        <v>62</v>
      </c>
      <c r="I1756" s="2" t="s">
        <v>4314</v>
      </c>
      <c r="J1756" s="3" t="str">
        <f>HYPERLINK("https://www.boe.es/gazeta/dias/1814/11/17/pdfs/GMD-1814-153.pdf#page=7","Abrir facsímil")</f>
        <v>Abrir facsímil</v>
      </c>
      <c r="K1756" s="3" t="s">
        <v>64</v>
      </c>
    </row>
    <row r="1757" spans="1:11" ht="42" customHeight="1">
      <c r="A1757" s="2" t="s">
        <v>4315</v>
      </c>
      <c r="B1757" s="2" t="s">
        <v>4316</v>
      </c>
      <c r="C1757" s="2" t="s">
        <v>38</v>
      </c>
      <c r="D1757" s="2" t="s">
        <v>39</v>
      </c>
      <c r="E1757" s="5">
        <v>-31115</v>
      </c>
      <c r="F1757" s="3" t="s">
        <v>805</v>
      </c>
      <c r="G1757" s="3" t="s">
        <v>52</v>
      </c>
      <c r="H1757" s="2" t="s">
        <v>62</v>
      </c>
      <c r="I1757" s="2" t="s">
        <v>4317</v>
      </c>
      <c r="J1757" s="3" t="str">
        <f>HYPERLINK("https://www.boe.es/gazeta/dias/1814/10/22/pdfs/GMD-1814-142.pdf#page=8","Abrir facsímil")</f>
        <v>Abrir facsímil</v>
      </c>
      <c r="K1757" s="3" t="s">
        <v>64</v>
      </c>
    </row>
    <row r="1758" spans="1:11" ht="42" customHeight="1">
      <c r="A1758" s="2" t="s">
        <v>4318</v>
      </c>
      <c r="B1758" s="2" t="s">
        <v>4319</v>
      </c>
      <c r="C1758" s="2" t="s">
        <v>38</v>
      </c>
      <c r="D1758" s="2" t="s">
        <v>39</v>
      </c>
      <c r="E1758" s="5">
        <v>-31194</v>
      </c>
      <c r="F1758" s="3" t="s">
        <v>333</v>
      </c>
      <c r="G1758" s="3" t="s">
        <v>57</v>
      </c>
      <c r="H1758" s="2" t="s">
        <v>62</v>
      </c>
      <c r="I1758" s="2" t="s">
        <v>4320</v>
      </c>
      <c r="J1758" s="3" t="str">
        <f>HYPERLINK("https://www.boe.es/gazeta/dias/1814/08/04/pdfs/GMD-1814-107.pdf#page=6","Abrir facsímil")</f>
        <v>Abrir facsímil</v>
      </c>
      <c r="K1758" s="3" t="s">
        <v>64</v>
      </c>
    </row>
    <row r="1759" spans="1:11" ht="42" customHeight="1">
      <c r="A1759" s="2" t="s">
        <v>4321</v>
      </c>
      <c r="B1759" s="2" t="s">
        <v>4321</v>
      </c>
      <c r="C1759" s="2" t="s">
        <v>38</v>
      </c>
      <c r="D1759" s="2" t="s">
        <v>39</v>
      </c>
      <c r="E1759" s="5">
        <v>-31126</v>
      </c>
      <c r="F1759" s="3" t="s">
        <v>56</v>
      </c>
      <c r="G1759" s="3" t="s">
        <v>57</v>
      </c>
      <c r="H1759" s="2" t="s">
        <v>62</v>
      </c>
      <c r="I1759" s="2" t="s">
        <v>4322</v>
      </c>
      <c r="J1759" s="3" t="str">
        <f>HYPERLINK("https://www.boe.es/gazeta/dias/1814/10/11/pdfs/GMD-1814-137.pdf#page=6","Abrir facsímil")</f>
        <v>Abrir facsímil</v>
      </c>
      <c r="K1759" s="3" t="s">
        <v>64</v>
      </c>
    </row>
    <row r="1760" spans="1:11" ht="42" customHeight="1">
      <c r="A1760" s="2" t="s">
        <v>4323</v>
      </c>
      <c r="B1760" s="2" t="s">
        <v>4323</v>
      </c>
      <c r="C1760" s="2" t="s">
        <v>38</v>
      </c>
      <c r="D1760" s="2" t="s">
        <v>39</v>
      </c>
      <c r="E1760" s="5">
        <v>-31147</v>
      </c>
      <c r="F1760" s="3" t="s">
        <v>86</v>
      </c>
      <c r="G1760" s="3" t="s">
        <v>87</v>
      </c>
      <c r="H1760" s="2" t="s">
        <v>62</v>
      </c>
      <c r="I1760" s="2" t="s">
        <v>4324</v>
      </c>
      <c r="J1760" s="3" t="str">
        <f>HYPERLINK("https://www.boe.es/gazeta/dias/1814/09/20/pdfs/GMD-1814-128.pdf#page=2","Abrir facsímil")</f>
        <v>Abrir facsímil</v>
      </c>
      <c r="K1760" s="3" t="s">
        <v>64</v>
      </c>
    </row>
    <row r="1761" spans="1:11" ht="42" customHeight="1">
      <c r="A1761" s="2" t="s">
        <v>4325</v>
      </c>
      <c r="B1761" s="2" t="s">
        <v>4326</v>
      </c>
      <c r="C1761" s="2" t="s">
        <v>38</v>
      </c>
      <c r="D1761" s="2" t="s">
        <v>39</v>
      </c>
      <c r="E1761" s="5">
        <v>-31222</v>
      </c>
      <c r="F1761" s="3" t="s">
        <v>153</v>
      </c>
      <c r="G1761" s="3" t="s">
        <v>107</v>
      </c>
      <c r="H1761" s="2" t="s">
        <v>21</v>
      </c>
      <c r="I1761" s="2" t="s">
        <v>4327</v>
      </c>
      <c r="J1761" s="3" t="str">
        <f>HYPERLINK("https://www.boe.es/gazeta/dias/1814/07/07/pdfs/GMD-1814-95.pdf#page=1","Abrir facsímil")</f>
        <v>Abrir facsímil</v>
      </c>
      <c r="K1761" s="3" t="s">
        <v>23</v>
      </c>
    </row>
    <row r="1762" spans="1:11" ht="42" customHeight="1">
      <c r="A1762" s="2" t="s">
        <v>4328</v>
      </c>
      <c r="B1762" s="2" t="s">
        <v>4329</v>
      </c>
      <c r="C1762" s="2" t="s">
        <v>38</v>
      </c>
      <c r="D1762" s="2" t="s">
        <v>39</v>
      </c>
      <c r="E1762" s="5">
        <v>-31348</v>
      </c>
      <c r="F1762" s="3" t="s">
        <v>898</v>
      </c>
      <c r="G1762" s="3" t="s">
        <v>961</v>
      </c>
      <c r="H1762" s="2" t="s">
        <v>62</v>
      </c>
      <c r="I1762" s="2" t="s">
        <v>4330</v>
      </c>
      <c r="J1762" s="3" t="str">
        <f>HYPERLINK("https://www.boe.es/gazeta/dias/1814/03/03/pdfs/GRE-1814-29.pdf#page=7","Abrir facsímil")</f>
        <v>Abrir facsímil</v>
      </c>
      <c r="K1762" s="3" t="s">
        <v>64</v>
      </c>
    </row>
    <row r="1763" spans="1:11" ht="42" customHeight="1">
      <c r="A1763" s="2" t="s">
        <v>4328</v>
      </c>
      <c r="B1763" s="2" t="s">
        <v>4329</v>
      </c>
      <c r="C1763" s="2" t="s">
        <v>38</v>
      </c>
      <c r="D1763" s="2" t="s">
        <v>314</v>
      </c>
      <c r="E1763" s="5">
        <v>-31322</v>
      </c>
      <c r="F1763" s="3" t="s">
        <v>883</v>
      </c>
      <c r="G1763" s="3" t="s">
        <v>107</v>
      </c>
      <c r="H1763" s="2" t="s">
        <v>62</v>
      </c>
      <c r="I1763" s="2" t="s">
        <v>4331</v>
      </c>
      <c r="J1763" s="3" t="str">
        <f>HYPERLINK("https://www.boe.es/gazeta/dias/1814/03/29/pdfs/GRE-1814-45E.pdf#page=1","Abrir facsímil")</f>
        <v>Abrir facsímil</v>
      </c>
      <c r="K1763" s="3" t="s">
        <v>64</v>
      </c>
    </row>
    <row r="1764" spans="1:11" ht="42" customHeight="1">
      <c r="A1764" s="2" t="s">
        <v>4328</v>
      </c>
      <c r="B1764" s="2" t="s">
        <v>4329</v>
      </c>
      <c r="C1764" s="2" t="s">
        <v>26</v>
      </c>
      <c r="D1764" s="2" t="s">
        <v>314</v>
      </c>
      <c r="E1764" s="5">
        <v>-31317</v>
      </c>
      <c r="F1764" s="3" t="s">
        <v>2780</v>
      </c>
      <c r="G1764" s="3" t="s">
        <v>107</v>
      </c>
      <c r="H1764" s="2" t="s">
        <v>62</v>
      </c>
      <c r="I1764" s="2" t="s">
        <v>4332</v>
      </c>
      <c r="J1764" s="3" t="str">
        <f>HYPERLINK("https://www.boe.es/gazeta/dias/1814/04/03/pdfs/GRE-1814-48E.pdf#page=1","Abrir facsímil")</f>
        <v>Abrir facsímil</v>
      </c>
      <c r="K1764" s="3" t="s">
        <v>64</v>
      </c>
    </row>
    <row r="1765" spans="1:11" ht="42" customHeight="1">
      <c r="A1765" s="2" t="s">
        <v>4328</v>
      </c>
      <c r="B1765" s="2" t="s">
        <v>4329</v>
      </c>
      <c r="C1765" s="2" t="s">
        <v>26</v>
      </c>
      <c r="D1765" s="2" t="s">
        <v>27</v>
      </c>
      <c r="E1765" s="5">
        <v>-31152</v>
      </c>
      <c r="F1765" s="3" t="s">
        <v>199</v>
      </c>
      <c r="G1765" s="3" t="s">
        <v>99</v>
      </c>
      <c r="H1765" s="2" t="s">
        <v>62</v>
      </c>
      <c r="I1765" s="2" t="s">
        <v>4333</v>
      </c>
      <c r="J1765" s="3" t="str">
        <f>HYPERLINK("https://www.boe.es/gazeta/dias/1814/09/15/pdfs/GMD-1814-126.pdf#page=5","Abrir facsímil")</f>
        <v>Abrir facsímil</v>
      </c>
      <c r="K1765" s="3" t="s">
        <v>64</v>
      </c>
    </row>
    <row r="1766" spans="1:11" ht="42" customHeight="1">
      <c r="A1766" s="2" t="s">
        <v>4328</v>
      </c>
      <c r="B1766" s="2" t="s">
        <v>4329</v>
      </c>
      <c r="C1766" s="2" t="s">
        <v>38</v>
      </c>
      <c r="D1766" s="2" t="s">
        <v>39</v>
      </c>
      <c r="E1766" s="5">
        <v>-31117</v>
      </c>
      <c r="F1766" s="3" t="s">
        <v>172</v>
      </c>
      <c r="G1766" s="3" t="s">
        <v>173</v>
      </c>
      <c r="H1766" s="2" t="s">
        <v>62</v>
      </c>
      <c r="I1766" s="2" t="s">
        <v>4334</v>
      </c>
      <c r="J1766" s="3" t="str">
        <f>HYPERLINK("https://www.boe.es/gazeta/dias/1814/10/20/pdfs/GMD-1814-141.pdf#page=7","Abrir facsímil")</f>
        <v>Abrir facsímil</v>
      </c>
      <c r="K1766" s="3" t="s">
        <v>64</v>
      </c>
    </row>
    <row r="1767" spans="1:11" ht="42" customHeight="1">
      <c r="A1767" s="2" t="s">
        <v>4328</v>
      </c>
      <c r="B1767" s="2" t="s">
        <v>4329</v>
      </c>
      <c r="C1767" s="2" t="s">
        <v>38</v>
      </c>
      <c r="D1767" s="2" t="s">
        <v>39</v>
      </c>
      <c r="E1767" s="5">
        <v>-31112</v>
      </c>
      <c r="F1767" s="3" t="s">
        <v>707</v>
      </c>
      <c r="G1767" s="3" t="s">
        <v>4335</v>
      </c>
      <c r="H1767" s="2" t="s">
        <v>62</v>
      </c>
      <c r="I1767" s="2" t="s">
        <v>4336</v>
      </c>
      <c r="J1767" s="3" t="str">
        <f>HYPERLINK("https://www.boe.es/gazeta/dias/1814/10/25/pdfs/GMD-1814-143.pdf#page=6","Abrir facsímil")</f>
        <v>Abrir facsímil</v>
      </c>
      <c r="K1767" s="3" t="s">
        <v>64</v>
      </c>
    </row>
    <row r="1768" spans="1:11" ht="42" customHeight="1">
      <c r="A1768" s="2" t="s">
        <v>4328</v>
      </c>
      <c r="B1768" s="2" t="s">
        <v>4329</v>
      </c>
      <c r="C1768" s="2" t="s">
        <v>38</v>
      </c>
      <c r="D1768" s="2" t="s">
        <v>39</v>
      </c>
      <c r="E1768" s="5">
        <v>-31101</v>
      </c>
      <c r="F1768" s="3" t="s">
        <v>2095</v>
      </c>
      <c r="G1768" s="3" t="s">
        <v>99</v>
      </c>
      <c r="H1768" s="2" t="s">
        <v>62</v>
      </c>
      <c r="I1768" s="2" t="s">
        <v>4337</v>
      </c>
      <c r="J1768" s="3" t="str">
        <f>HYPERLINK("https://www.boe.es/gazeta/dias/1814/11/05/pdfs/GMD-1814-148.pdf#page=5","Abrir facsímil")</f>
        <v>Abrir facsímil</v>
      </c>
      <c r="K1768" s="3" t="s">
        <v>64</v>
      </c>
    </row>
    <row r="1769" spans="1:11" ht="42" customHeight="1">
      <c r="A1769" s="2" t="s">
        <v>4328</v>
      </c>
      <c r="B1769" s="2" t="s">
        <v>4329</v>
      </c>
      <c r="C1769" s="2" t="s">
        <v>38</v>
      </c>
      <c r="D1769" s="2" t="s">
        <v>39</v>
      </c>
      <c r="E1769" s="5">
        <v>-31077</v>
      </c>
      <c r="F1769" s="3" t="s">
        <v>414</v>
      </c>
      <c r="G1769" s="3" t="s">
        <v>20</v>
      </c>
      <c r="H1769" s="2" t="s">
        <v>62</v>
      </c>
      <c r="I1769" s="2" t="s">
        <v>4338</v>
      </c>
      <c r="J1769" s="3" t="str">
        <f>HYPERLINK("https://www.boe.es/gazeta/dias/1814/11/29/pdfs/GMD-1814-158.pdf#page=7","Abrir facsímil")</f>
        <v>Abrir facsímil</v>
      </c>
      <c r="K1769" s="3" t="s">
        <v>64</v>
      </c>
    </row>
    <row r="1770" spans="1:11" ht="42" customHeight="1">
      <c r="A1770" s="2" t="s">
        <v>4328</v>
      </c>
      <c r="B1770" s="2" t="s">
        <v>4329</v>
      </c>
      <c r="C1770" s="2" t="s">
        <v>26</v>
      </c>
      <c r="D1770" s="2" t="s">
        <v>314</v>
      </c>
      <c r="E1770" s="5">
        <v>-31060</v>
      </c>
      <c r="F1770" s="3" t="s">
        <v>4339</v>
      </c>
      <c r="G1770" s="3" t="s">
        <v>107</v>
      </c>
      <c r="H1770" s="2" t="s">
        <v>62</v>
      </c>
      <c r="I1770" s="2" t="s">
        <v>4340</v>
      </c>
      <c r="J1770" s="3" t="str">
        <f>HYPERLINK("https://www.boe.es/gazeta/dias/1814/12/16/pdfs/GMD-1814-166E.pdf#page=1","Abrir facsímil")</f>
        <v>Abrir facsímil</v>
      </c>
      <c r="K1770" s="3" t="s">
        <v>64</v>
      </c>
    </row>
    <row r="1771" spans="1:11" ht="42" customHeight="1">
      <c r="A1771" s="2" t="s">
        <v>4341</v>
      </c>
      <c r="B1771" s="2" t="s">
        <v>4342</v>
      </c>
      <c r="C1771" s="2" t="s">
        <v>26</v>
      </c>
      <c r="D1771" s="2" t="s">
        <v>27</v>
      </c>
      <c r="E1771" s="5">
        <v>-31175</v>
      </c>
      <c r="F1771" s="3" t="s">
        <v>145</v>
      </c>
      <c r="G1771" s="3" t="s">
        <v>4343</v>
      </c>
      <c r="H1771" s="2" t="s">
        <v>62</v>
      </c>
      <c r="I1771" s="2" t="s">
        <v>4344</v>
      </c>
      <c r="J1771" s="3" t="str">
        <f>HYPERLINK("https://www.boe.es/gazeta/dias/1814/08/23/pdfs/GMD-1814-115.pdf#page=6","Abrir facsímil")</f>
        <v>Abrir facsímil</v>
      </c>
      <c r="K1771" s="3" t="s">
        <v>64</v>
      </c>
    </row>
    <row r="1772" spans="1:11" ht="42" customHeight="1">
      <c r="A1772" s="2" t="s">
        <v>4345</v>
      </c>
      <c r="B1772" s="2" t="s">
        <v>4346</v>
      </c>
      <c r="C1772" s="2" t="s">
        <v>45</v>
      </c>
      <c r="D1772" s="2" t="s">
        <v>18</v>
      </c>
      <c r="E1772" s="5">
        <v>-31131</v>
      </c>
      <c r="F1772" s="3" t="s">
        <v>132</v>
      </c>
      <c r="G1772" s="3" t="s">
        <v>4347</v>
      </c>
      <c r="H1772" s="2" t="s">
        <v>62</v>
      </c>
      <c r="I1772" s="2" t="s">
        <v>4348</v>
      </c>
      <c r="J1772" s="3" t="str">
        <f>HYPERLINK("https://www.boe.es/gazeta/dias/1814/10/06/pdfs/GMD-1814-135.pdf#page=8","Abrir facsímil")</f>
        <v>Abrir facsímil</v>
      </c>
      <c r="K1772" s="3" t="s">
        <v>64</v>
      </c>
    </row>
    <row r="1773" spans="1:11" ht="42" customHeight="1">
      <c r="A1773" s="2" t="s">
        <v>4349</v>
      </c>
      <c r="B1773" s="2" t="s">
        <v>4350</v>
      </c>
      <c r="C1773" s="2" t="s">
        <v>17</v>
      </c>
      <c r="D1773" s="2" t="s">
        <v>18</v>
      </c>
      <c r="E1773" s="5">
        <v>-31077</v>
      </c>
      <c r="F1773" s="3" t="s">
        <v>414</v>
      </c>
      <c r="G1773" s="3" t="s">
        <v>57</v>
      </c>
      <c r="H1773" s="2" t="s">
        <v>62</v>
      </c>
      <c r="I1773" s="2" t="s">
        <v>4351</v>
      </c>
      <c r="J1773" s="3" t="str">
        <f>HYPERLINK("https://www.boe.es/gazeta/dias/1814/11/29/pdfs/GMD-1814-158.pdf#page=6","Abrir facsímil")</f>
        <v>Abrir facsímil</v>
      </c>
      <c r="K1773" s="3" t="s">
        <v>64</v>
      </c>
    </row>
    <row r="1774" spans="1:11" ht="42" customHeight="1">
      <c r="A1774" s="2" t="s">
        <v>4352</v>
      </c>
      <c r="B1774" s="2" t="s">
        <v>4353</v>
      </c>
      <c r="C1774" s="2" t="s">
        <v>144</v>
      </c>
      <c r="D1774" s="2" t="s">
        <v>18</v>
      </c>
      <c r="E1774" s="5">
        <v>-31077</v>
      </c>
      <c r="F1774" s="3" t="s">
        <v>414</v>
      </c>
      <c r="G1774" s="3" t="s">
        <v>57</v>
      </c>
      <c r="H1774" s="2" t="s">
        <v>62</v>
      </c>
      <c r="I1774" s="2" t="s">
        <v>4354</v>
      </c>
      <c r="J1774" s="3" t="str">
        <f>HYPERLINK("https://www.boe.es/gazeta/dias/1814/11/29/pdfs/GMD-1814-158.pdf#page=6","Abrir facsímil")</f>
        <v>Abrir facsímil</v>
      </c>
      <c r="K1774" s="3" t="s">
        <v>64</v>
      </c>
    </row>
    <row r="1775" spans="1:11" ht="42" customHeight="1">
      <c r="A1775" s="2" t="s">
        <v>4355</v>
      </c>
      <c r="B1775" s="2" t="s">
        <v>4355</v>
      </c>
      <c r="C1775" s="2" t="s">
        <v>17</v>
      </c>
      <c r="D1775" s="2" t="s">
        <v>18</v>
      </c>
      <c r="E1775" s="5">
        <v>-31257</v>
      </c>
      <c r="F1775" s="3" t="s">
        <v>437</v>
      </c>
      <c r="G1775" s="3" t="s">
        <v>438</v>
      </c>
      <c r="H1775" s="2" t="s">
        <v>62</v>
      </c>
      <c r="I1775" s="2" t="s">
        <v>4356</v>
      </c>
      <c r="J1775" s="3" t="str">
        <f>HYPERLINK("https://www.boe.es/gazeta/dias/1814/06/02/pdfs/GMD-1814-80.pdf#page=5","Abrir facsímil")</f>
        <v>Abrir facsímil</v>
      </c>
      <c r="K1775" s="3" t="s">
        <v>64</v>
      </c>
    </row>
    <row r="1776" spans="1:11" ht="42" customHeight="1">
      <c r="A1776" s="2" t="s">
        <v>4357</v>
      </c>
      <c r="B1776" s="2" t="s">
        <v>4357</v>
      </c>
      <c r="C1776" s="2" t="s">
        <v>38</v>
      </c>
      <c r="D1776" s="2" t="s">
        <v>39</v>
      </c>
      <c r="E1776" s="5">
        <v>-31147</v>
      </c>
      <c r="F1776" s="3" t="s">
        <v>86</v>
      </c>
      <c r="G1776" s="3" t="s">
        <v>322</v>
      </c>
      <c r="H1776" s="2" t="s">
        <v>62</v>
      </c>
      <c r="I1776" s="2" t="s">
        <v>4358</v>
      </c>
      <c r="J1776" s="3" t="str">
        <f>HYPERLINK("https://www.boe.es/gazeta/dias/1814/09/20/pdfs/GMD-1814-128.pdf#page=12","Abrir facsímil")</f>
        <v>Abrir facsímil</v>
      </c>
      <c r="K1776" s="3" t="s">
        <v>64</v>
      </c>
    </row>
    <row r="1777" spans="1:11" ht="42" customHeight="1">
      <c r="A1777" s="2" t="s">
        <v>4359</v>
      </c>
      <c r="B1777" s="2" t="s">
        <v>4360</v>
      </c>
      <c r="C1777" s="2" t="s">
        <v>38</v>
      </c>
      <c r="D1777" s="2" t="s">
        <v>39</v>
      </c>
      <c r="E1777" s="5">
        <v>-31124</v>
      </c>
      <c r="F1777" s="3" t="s">
        <v>383</v>
      </c>
      <c r="G1777" s="3" t="s">
        <v>384</v>
      </c>
      <c r="H1777" s="2" t="s">
        <v>62</v>
      </c>
      <c r="I1777" s="2" t="s">
        <v>4361</v>
      </c>
      <c r="J1777" s="3" t="str">
        <f>HYPERLINK("https://www.boe.es/gazeta/dias/1814/10/13/pdfs/GMD-1814-138.pdf#page=11","Abrir facsímil")</f>
        <v>Abrir facsímil</v>
      </c>
      <c r="K1777" s="3" t="s">
        <v>64</v>
      </c>
    </row>
    <row r="1778" spans="1:11" ht="42" customHeight="1">
      <c r="A1778" s="2" t="s">
        <v>4362</v>
      </c>
      <c r="B1778" s="2" t="s">
        <v>4363</v>
      </c>
      <c r="C1778" s="2" t="s">
        <v>26</v>
      </c>
      <c r="D1778" s="2" t="s">
        <v>27</v>
      </c>
      <c r="E1778" s="5">
        <v>-31119</v>
      </c>
      <c r="F1778" s="3" t="s">
        <v>136</v>
      </c>
      <c r="G1778" s="3" t="s">
        <v>704</v>
      </c>
      <c r="H1778" s="2" t="s">
        <v>62</v>
      </c>
      <c r="I1778" s="2" t="s">
        <v>4364</v>
      </c>
      <c r="J1778" s="3" t="str">
        <f>HYPERLINK("https://www.boe.es/gazeta/dias/1814/10/18/pdfs/GMD-1814-140.pdf#page=10","Abrir facsímil")</f>
        <v>Abrir facsímil</v>
      </c>
      <c r="K1778" s="3" t="s">
        <v>64</v>
      </c>
    </row>
    <row r="1779" spans="1:11" ht="42" customHeight="1">
      <c r="A1779" s="2" t="s">
        <v>4365</v>
      </c>
      <c r="B1779" s="2" t="s">
        <v>4366</v>
      </c>
      <c r="C1779" s="2" t="s">
        <v>17</v>
      </c>
      <c r="D1779" s="2" t="s">
        <v>18</v>
      </c>
      <c r="E1779" s="5">
        <v>-31054</v>
      </c>
      <c r="F1779" s="3" t="s">
        <v>952</v>
      </c>
      <c r="G1779" s="3" t="s">
        <v>2152</v>
      </c>
      <c r="H1779" s="2" t="s">
        <v>21</v>
      </c>
      <c r="I1779" s="2" t="s">
        <v>4367</v>
      </c>
      <c r="J1779" s="3" t="str">
        <f>HYPERLINK("https://www.boe.es/gazeta/dias/1814/12/22/pdfs/GMD-1814-169.pdf#page=6","Abrir facsímil")</f>
        <v>Abrir facsímil</v>
      </c>
      <c r="K1779" s="3" t="s">
        <v>23</v>
      </c>
    </row>
    <row r="1780" spans="1:11" ht="42" customHeight="1">
      <c r="A1780" s="2" t="s">
        <v>4368</v>
      </c>
      <c r="B1780" s="2" t="s">
        <v>4369</v>
      </c>
      <c r="C1780" s="2" t="s">
        <v>38</v>
      </c>
      <c r="D1780" s="2" t="s">
        <v>39</v>
      </c>
      <c r="E1780" s="5">
        <v>-31290</v>
      </c>
      <c r="F1780" s="3" t="s">
        <v>488</v>
      </c>
      <c r="G1780" s="3" t="s">
        <v>87</v>
      </c>
      <c r="H1780" s="2" t="s">
        <v>62</v>
      </c>
      <c r="I1780" s="2" t="s">
        <v>4370</v>
      </c>
      <c r="J1780" s="3" t="str">
        <f>HYPERLINK("https://www.boe.es/gazeta/dias/1814/04/30/pdfs/GRE-1814-64.pdf#page=2","Abrir facsímil")</f>
        <v>Abrir facsímil</v>
      </c>
      <c r="K1780" s="3" t="s">
        <v>64</v>
      </c>
    </row>
    <row r="1781" spans="1:11" ht="42" customHeight="1">
      <c r="A1781" s="2" t="s">
        <v>4371</v>
      </c>
      <c r="B1781" s="2" t="s">
        <v>4372</v>
      </c>
      <c r="C1781" s="2" t="s">
        <v>17</v>
      </c>
      <c r="D1781" s="2" t="s">
        <v>18</v>
      </c>
      <c r="E1781" s="5">
        <v>-31124</v>
      </c>
      <c r="F1781" s="3" t="s">
        <v>383</v>
      </c>
      <c r="G1781" s="3" t="s">
        <v>322</v>
      </c>
      <c r="H1781" s="2" t="s">
        <v>62</v>
      </c>
      <c r="I1781" s="2" t="s">
        <v>4373</v>
      </c>
      <c r="J1781" s="3" t="str">
        <f>HYPERLINK("https://www.boe.es/gazeta/dias/1814/10/13/pdfs/GMD-1814-138.pdf#page=12","Abrir facsímil")</f>
        <v>Abrir facsímil</v>
      </c>
      <c r="K1781" s="3" t="s">
        <v>64</v>
      </c>
    </row>
    <row r="1782" spans="1:11" ht="42" customHeight="1">
      <c r="A1782" s="2" t="s">
        <v>4374</v>
      </c>
      <c r="B1782" s="2" t="s">
        <v>4375</v>
      </c>
      <c r="C1782" s="2" t="s">
        <v>17</v>
      </c>
      <c r="D1782" s="2" t="s">
        <v>18</v>
      </c>
      <c r="E1782" s="5">
        <v>-31236</v>
      </c>
      <c r="F1782" s="3" t="s">
        <v>33</v>
      </c>
      <c r="G1782" s="3" t="s">
        <v>34</v>
      </c>
      <c r="H1782" s="2" t="s">
        <v>62</v>
      </c>
      <c r="I1782" s="2" t="s">
        <v>4376</v>
      </c>
      <c r="J1782" s="3" t="str">
        <f>HYPERLINK("https://www.boe.es/gazeta/dias/1814/06/23/pdfs/GMD-1814-89.pdf#page=6","Abrir facsímil")</f>
        <v>Abrir facsímil</v>
      </c>
      <c r="K1782" s="3" t="s">
        <v>64</v>
      </c>
    </row>
    <row r="1783" spans="1:11" ht="42" customHeight="1">
      <c r="A1783" s="2" t="s">
        <v>4377</v>
      </c>
      <c r="B1783" s="2" t="s">
        <v>4378</v>
      </c>
      <c r="C1783" s="2" t="s">
        <v>38</v>
      </c>
      <c r="D1783" s="2" t="s">
        <v>39</v>
      </c>
      <c r="E1783" s="5">
        <v>-31140</v>
      </c>
      <c r="F1783" s="3" t="s">
        <v>525</v>
      </c>
      <c r="G1783" s="3" t="s">
        <v>57</v>
      </c>
      <c r="H1783" s="2" t="s">
        <v>62</v>
      </c>
      <c r="I1783" s="2" t="s">
        <v>4379</v>
      </c>
      <c r="J1783" s="3" t="str">
        <f>HYPERLINK("https://www.boe.es/gazeta/dias/1814/09/27/pdfs/GMD-1814-131.pdf#page=6","Abrir facsímil")</f>
        <v>Abrir facsímil</v>
      </c>
      <c r="K1783" s="3" t="s">
        <v>64</v>
      </c>
    </row>
    <row r="1784" spans="1:11" ht="42" customHeight="1">
      <c r="A1784" s="2" t="s">
        <v>4380</v>
      </c>
      <c r="B1784" s="2" t="s">
        <v>4381</v>
      </c>
      <c r="C1784" s="2" t="s">
        <v>38</v>
      </c>
      <c r="D1784" s="2" t="s">
        <v>39</v>
      </c>
      <c r="E1784" s="5">
        <v>-31175</v>
      </c>
      <c r="F1784" s="3" t="s">
        <v>145</v>
      </c>
      <c r="G1784" s="3" t="s">
        <v>99</v>
      </c>
      <c r="H1784" s="2" t="s">
        <v>62</v>
      </c>
      <c r="I1784" s="2" t="s">
        <v>4382</v>
      </c>
      <c r="J1784" s="3" t="str">
        <f>HYPERLINK("https://www.boe.es/gazeta/dias/1814/08/23/pdfs/GMD-1814-115.pdf#page=5","Abrir facsímil")</f>
        <v>Abrir facsímil</v>
      </c>
      <c r="K1784" s="3" t="s">
        <v>64</v>
      </c>
    </row>
    <row r="1785" spans="1:11" ht="42" customHeight="1">
      <c r="A1785" s="2" t="s">
        <v>4383</v>
      </c>
      <c r="B1785" s="2" t="s">
        <v>4384</v>
      </c>
      <c r="C1785" s="2" t="s">
        <v>38</v>
      </c>
      <c r="D1785" s="2" t="s">
        <v>39</v>
      </c>
      <c r="E1785" s="5">
        <v>-31206</v>
      </c>
      <c r="F1785" s="3" t="s">
        <v>1196</v>
      </c>
      <c r="G1785" s="3" t="s">
        <v>41</v>
      </c>
      <c r="H1785" s="2" t="s">
        <v>62</v>
      </c>
      <c r="I1785" s="2" t="s">
        <v>4385</v>
      </c>
      <c r="J1785" s="3" t="str">
        <f>HYPERLINK("https://www.boe.es/gazeta/dias/1814/07/23/pdfs/GMD-1814-102.pdf#page=4","Abrir facsímil")</f>
        <v>Abrir facsímil</v>
      </c>
      <c r="K1785" s="3" t="s">
        <v>64</v>
      </c>
    </row>
    <row r="1786" spans="1:11" ht="42" customHeight="1">
      <c r="A1786" s="2" t="s">
        <v>4386</v>
      </c>
      <c r="B1786" s="2" t="s">
        <v>4386</v>
      </c>
      <c r="C1786" s="2" t="s">
        <v>32</v>
      </c>
      <c r="D1786" s="2" t="s">
        <v>18</v>
      </c>
      <c r="E1786" s="5">
        <v>-31397</v>
      </c>
      <c r="F1786" s="3" t="s">
        <v>929</v>
      </c>
      <c r="G1786" s="3" t="s">
        <v>52</v>
      </c>
      <c r="H1786" s="2" t="s">
        <v>62</v>
      </c>
      <c r="I1786" s="2" t="s">
        <v>4387</v>
      </c>
      <c r="J1786" s="3" t="str">
        <f>HYPERLINK("https://www.boe.es/gazeta/dias/1814/01/13/pdfs/GRE-1814-7.pdf#page=8","Abrir facsímil")</f>
        <v>Abrir facsímil</v>
      </c>
      <c r="K1786" s="3" t="s">
        <v>64</v>
      </c>
    </row>
    <row r="1787" spans="1:11" ht="42" customHeight="1">
      <c r="A1787" s="2" t="s">
        <v>4386</v>
      </c>
      <c r="B1787" s="2" t="s">
        <v>4386</v>
      </c>
      <c r="C1787" s="2" t="s">
        <v>38</v>
      </c>
      <c r="D1787" s="2" t="s">
        <v>39</v>
      </c>
      <c r="E1787" s="5">
        <v>-31269</v>
      </c>
      <c r="F1787" s="3" t="s">
        <v>496</v>
      </c>
      <c r="G1787" s="3" t="s">
        <v>107</v>
      </c>
      <c r="H1787" s="2" t="s">
        <v>62</v>
      </c>
      <c r="I1787" s="2" t="s">
        <v>4388</v>
      </c>
      <c r="J1787" s="3" t="str">
        <f>HYPERLINK("https://www.boe.es/gazeta/dias/1814/05/21/pdfs/GMD-1814-75.pdf#page=1","Abrir facsímil")</f>
        <v>Abrir facsímil</v>
      </c>
      <c r="K1787" s="3" t="s">
        <v>64</v>
      </c>
    </row>
    <row r="1788" spans="1:11" ht="42" customHeight="1">
      <c r="A1788" s="2" t="s">
        <v>4386</v>
      </c>
      <c r="B1788" s="2" t="s">
        <v>4386</v>
      </c>
      <c r="C1788" s="2" t="s">
        <v>38</v>
      </c>
      <c r="D1788" s="2" t="s">
        <v>39</v>
      </c>
      <c r="E1788" s="5">
        <v>-31259</v>
      </c>
      <c r="F1788" s="3" t="s">
        <v>853</v>
      </c>
      <c r="G1788" s="3" t="s">
        <v>107</v>
      </c>
      <c r="H1788" s="2" t="s">
        <v>62</v>
      </c>
      <c r="I1788" s="2" t="s">
        <v>4389</v>
      </c>
      <c r="J1788" s="3" t="str">
        <f>HYPERLINK("https://www.boe.es/gazeta/dias/1814/05/31/pdfs/GMD-1814-79.pdf#page=1","Abrir facsímil")</f>
        <v>Abrir facsímil</v>
      </c>
      <c r="K1788" s="3" t="s">
        <v>64</v>
      </c>
    </row>
    <row r="1789" spans="1:11" ht="42" customHeight="1">
      <c r="A1789" s="2" t="s">
        <v>4386</v>
      </c>
      <c r="B1789" s="2" t="s">
        <v>4386</v>
      </c>
      <c r="C1789" s="2" t="s">
        <v>17</v>
      </c>
      <c r="D1789" s="2" t="s">
        <v>18</v>
      </c>
      <c r="E1789" s="5">
        <v>-31252</v>
      </c>
      <c r="F1789" s="3" t="s">
        <v>364</v>
      </c>
      <c r="G1789" s="3" t="s">
        <v>107</v>
      </c>
      <c r="H1789" s="2" t="s">
        <v>62</v>
      </c>
      <c r="I1789" s="2" t="s">
        <v>4390</v>
      </c>
      <c r="J1789" s="3" t="str">
        <f>HYPERLINK("https://www.boe.es/gazeta/dias/1814/06/07/pdfs/GMD-1814-82.pdf#page=1","Abrir facsímil")</f>
        <v>Abrir facsímil</v>
      </c>
      <c r="K1789" s="3" t="s">
        <v>64</v>
      </c>
    </row>
    <row r="1790" spans="1:11" ht="42" customHeight="1">
      <c r="A1790" s="2" t="s">
        <v>4386</v>
      </c>
      <c r="B1790" s="2" t="s">
        <v>4386</v>
      </c>
      <c r="C1790" s="2" t="s">
        <v>38</v>
      </c>
      <c r="D1790" s="2" t="s">
        <v>39</v>
      </c>
      <c r="E1790" s="5">
        <v>-31248</v>
      </c>
      <c r="F1790" s="3" t="s">
        <v>1123</v>
      </c>
      <c r="G1790" s="3" t="s">
        <v>1127</v>
      </c>
      <c r="H1790" s="2" t="s">
        <v>62</v>
      </c>
      <c r="I1790" s="2" t="s">
        <v>4391</v>
      </c>
      <c r="J1790" s="3" t="str">
        <f>HYPERLINK("https://www.boe.es/gazeta/dias/1814/06/11/pdfs/GMD-1814-84.pdf#page=4","Abrir facsímil")</f>
        <v>Abrir facsímil</v>
      </c>
      <c r="K1790" s="3" t="s">
        <v>64</v>
      </c>
    </row>
    <row r="1791" spans="1:11" ht="42" customHeight="1">
      <c r="A1791" s="2" t="s">
        <v>4386</v>
      </c>
      <c r="B1791" s="2" t="s">
        <v>4386</v>
      </c>
      <c r="C1791" s="2" t="s">
        <v>38</v>
      </c>
      <c r="D1791" s="2" t="s">
        <v>39</v>
      </c>
      <c r="E1791" s="5">
        <v>-31222</v>
      </c>
      <c r="F1791" s="3" t="s">
        <v>153</v>
      </c>
      <c r="G1791" s="3" t="s">
        <v>99</v>
      </c>
      <c r="H1791" s="2" t="s">
        <v>62</v>
      </c>
      <c r="I1791" s="2" t="s">
        <v>4392</v>
      </c>
      <c r="J1791" s="3" t="str">
        <f>HYPERLINK("https://www.boe.es/gazeta/dias/1814/07/07/pdfs/GMD-1814-95.pdf#page=5","Abrir facsímil")</f>
        <v>Abrir facsímil</v>
      </c>
      <c r="K1791" s="3" t="s">
        <v>64</v>
      </c>
    </row>
    <row r="1792" spans="1:11" ht="42" customHeight="1">
      <c r="A1792" s="2" t="s">
        <v>4386</v>
      </c>
      <c r="B1792" s="2" t="s">
        <v>4386</v>
      </c>
      <c r="C1792" s="2" t="s">
        <v>38</v>
      </c>
      <c r="D1792" s="2" t="s">
        <v>39</v>
      </c>
      <c r="E1792" s="5">
        <v>-31194</v>
      </c>
      <c r="F1792" s="3" t="s">
        <v>333</v>
      </c>
      <c r="G1792" s="3" t="s">
        <v>87</v>
      </c>
      <c r="H1792" s="2" t="s">
        <v>62</v>
      </c>
      <c r="I1792" s="2" t="s">
        <v>4393</v>
      </c>
      <c r="J1792" s="3" t="str">
        <f>HYPERLINK("https://www.boe.es/gazeta/dias/1814/08/04/pdfs/GMD-1814-107.pdf#page=2","Abrir facsímil")</f>
        <v>Abrir facsímil</v>
      </c>
      <c r="K1792" s="3" t="s">
        <v>64</v>
      </c>
    </row>
    <row r="1793" spans="1:11" ht="42" customHeight="1">
      <c r="A1793" s="2" t="s">
        <v>4386</v>
      </c>
      <c r="B1793" s="2" t="s">
        <v>4386</v>
      </c>
      <c r="C1793" s="2" t="s">
        <v>38</v>
      </c>
      <c r="D1793" s="2" t="s">
        <v>39</v>
      </c>
      <c r="E1793" s="5">
        <v>-31117</v>
      </c>
      <c r="F1793" s="3" t="s">
        <v>172</v>
      </c>
      <c r="G1793" s="3" t="s">
        <v>87</v>
      </c>
      <c r="H1793" s="2" t="s">
        <v>62</v>
      </c>
      <c r="I1793" s="2" t="s">
        <v>4394</v>
      </c>
      <c r="J1793" s="3" t="str">
        <f>HYPERLINK("https://www.boe.es/gazeta/dias/1814/10/20/pdfs/GMD-1814-141.pdf#page=2","Abrir facsímil")</f>
        <v>Abrir facsímil</v>
      </c>
      <c r="K1793" s="3" t="s">
        <v>64</v>
      </c>
    </row>
    <row r="1794" spans="1:11" ht="42" customHeight="1">
      <c r="A1794" s="2" t="s">
        <v>4386</v>
      </c>
      <c r="B1794" s="2" t="s">
        <v>4386</v>
      </c>
      <c r="C1794" s="2" t="s">
        <v>38</v>
      </c>
      <c r="D1794" s="2" t="s">
        <v>39</v>
      </c>
      <c r="E1794" s="5">
        <v>-31068</v>
      </c>
      <c r="F1794" s="3" t="s">
        <v>548</v>
      </c>
      <c r="G1794" s="3" t="s">
        <v>20</v>
      </c>
      <c r="H1794" s="2" t="s">
        <v>62</v>
      </c>
      <c r="I1794" s="2" t="s">
        <v>4395</v>
      </c>
      <c r="J1794" s="3" t="str">
        <f>HYPERLINK("https://www.boe.es/gazeta/dias/1814/12/08/pdfs/GMD-1814-162.pdf#page=7","Abrir facsímil")</f>
        <v>Abrir facsímil</v>
      </c>
      <c r="K1794" s="3" t="s">
        <v>64</v>
      </c>
    </row>
    <row r="1795" spans="1:11" ht="42" customHeight="1">
      <c r="A1795" s="2" t="s">
        <v>4396</v>
      </c>
      <c r="B1795" s="2" t="s">
        <v>4397</v>
      </c>
      <c r="C1795" s="2" t="s">
        <v>26</v>
      </c>
      <c r="D1795" s="2" t="s">
        <v>27</v>
      </c>
      <c r="E1795" s="5">
        <v>-31159</v>
      </c>
      <c r="F1795" s="3" t="s">
        <v>1175</v>
      </c>
      <c r="G1795" s="3" t="s">
        <v>20</v>
      </c>
      <c r="H1795" s="2" t="s">
        <v>62</v>
      </c>
      <c r="I1795" s="2" t="s">
        <v>4398</v>
      </c>
      <c r="J1795" s="3" t="str">
        <f>HYPERLINK("https://www.boe.es/gazeta/dias/1814/09/08/pdfs/GMD-1814-123.pdf#page=7","Abrir facsímil")</f>
        <v>Abrir facsímil</v>
      </c>
      <c r="K1795" s="3" t="s">
        <v>64</v>
      </c>
    </row>
    <row r="1796" spans="1:11" ht="42" customHeight="1">
      <c r="A1796" s="2" t="s">
        <v>4399</v>
      </c>
      <c r="B1796" s="2" t="s">
        <v>4400</v>
      </c>
      <c r="C1796" s="2" t="s">
        <v>38</v>
      </c>
      <c r="D1796" s="2" t="s">
        <v>39</v>
      </c>
      <c r="E1796" s="5">
        <v>-31173</v>
      </c>
      <c r="F1796" s="3" t="s">
        <v>46</v>
      </c>
      <c r="G1796" s="3" t="s">
        <v>82</v>
      </c>
      <c r="H1796" s="2" t="s">
        <v>62</v>
      </c>
      <c r="I1796" s="2" t="s">
        <v>4401</v>
      </c>
      <c r="J1796" s="3" t="str">
        <f>HYPERLINK("https://www.boe.es/gazeta/dias/1814/08/25/pdfs/GMD-1814-116.pdf#page=3","Abrir facsímil")</f>
        <v>Abrir facsímil</v>
      </c>
      <c r="K1796" s="3" t="s">
        <v>64</v>
      </c>
    </row>
    <row r="1797" spans="1:11" ht="42" customHeight="1">
      <c r="A1797" s="2" t="s">
        <v>4402</v>
      </c>
      <c r="B1797" s="2" t="s">
        <v>4403</v>
      </c>
      <c r="C1797" s="2" t="s">
        <v>45</v>
      </c>
      <c r="D1797" s="2" t="s">
        <v>18</v>
      </c>
      <c r="E1797" s="5">
        <v>-31129</v>
      </c>
      <c r="F1797" s="3" t="s">
        <v>418</v>
      </c>
      <c r="G1797" s="3" t="s">
        <v>20</v>
      </c>
      <c r="H1797" s="2" t="s">
        <v>62</v>
      </c>
      <c r="I1797" s="2" t="s">
        <v>4404</v>
      </c>
      <c r="J1797" s="3" t="str">
        <f>HYPERLINK("https://www.boe.es/gazeta/dias/1814/10/08/pdfs/GMD-1814-136.pdf#page=7","Abrir facsímil")</f>
        <v>Abrir facsímil</v>
      </c>
      <c r="K1797" s="3" t="s">
        <v>64</v>
      </c>
    </row>
    <row r="1798" spans="1:11" ht="42" customHeight="1">
      <c r="A1798" s="2" t="s">
        <v>4405</v>
      </c>
      <c r="B1798" s="2" t="s">
        <v>4405</v>
      </c>
      <c r="C1798" s="2" t="s">
        <v>38</v>
      </c>
      <c r="D1798" s="2" t="s">
        <v>39</v>
      </c>
      <c r="E1798" s="5">
        <v>-31336</v>
      </c>
      <c r="F1798" s="3" t="s">
        <v>1789</v>
      </c>
      <c r="G1798" s="3" t="s">
        <v>20</v>
      </c>
      <c r="H1798" s="2" t="s">
        <v>62</v>
      </c>
      <c r="I1798" s="2" t="s">
        <v>4406</v>
      </c>
      <c r="J1798" s="3" t="str">
        <f>HYPERLINK("https://www.boe.es/gazeta/dias/1814/03/15/pdfs/GRE-1814-36.pdf#page=7","Abrir facsímil")</f>
        <v>Abrir facsímil</v>
      </c>
      <c r="K1798" s="3" t="s">
        <v>64</v>
      </c>
    </row>
    <row r="1799" spans="1:11" ht="42" customHeight="1">
      <c r="A1799" s="2" t="s">
        <v>4405</v>
      </c>
      <c r="B1799" s="2" t="s">
        <v>4405</v>
      </c>
      <c r="C1799" s="2" t="s">
        <v>17</v>
      </c>
      <c r="D1799" s="2" t="s">
        <v>18</v>
      </c>
      <c r="E1799" s="5">
        <v>-31313</v>
      </c>
      <c r="F1799" s="3" t="s">
        <v>239</v>
      </c>
      <c r="G1799" s="3" t="s">
        <v>82</v>
      </c>
      <c r="H1799" s="2" t="s">
        <v>62</v>
      </c>
      <c r="I1799" s="2" t="s">
        <v>4407</v>
      </c>
      <c r="J1799" s="3" t="str">
        <f>HYPERLINK("https://www.boe.es/gazeta/dias/1814/04/07/pdfs/GRE-1814-50.pdf#page=3","Abrir facsímil")</f>
        <v>Abrir facsímil</v>
      </c>
      <c r="K1799" s="3" t="s">
        <v>64</v>
      </c>
    </row>
    <row r="1800" spans="1:11" ht="42" customHeight="1">
      <c r="A1800" s="2" t="s">
        <v>4405</v>
      </c>
      <c r="B1800" s="2" t="s">
        <v>4405</v>
      </c>
      <c r="C1800" s="2" t="s">
        <v>17</v>
      </c>
      <c r="D1800" s="2" t="s">
        <v>18</v>
      </c>
      <c r="E1800" s="5">
        <v>-31271</v>
      </c>
      <c r="F1800" s="3" t="s">
        <v>243</v>
      </c>
      <c r="G1800" s="3" t="s">
        <v>41</v>
      </c>
      <c r="H1800" s="2" t="s">
        <v>62</v>
      </c>
      <c r="I1800" s="2" t="s">
        <v>4408</v>
      </c>
      <c r="J1800" s="3" t="str">
        <f>HYPERLINK("https://www.boe.es/gazeta/dias/1814/05/19/pdfs/GMD-1814-74.pdf#page=4","Abrir facsímil")</f>
        <v>Abrir facsímil</v>
      </c>
      <c r="K1800" s="3" t="s">
        <v>64</v>
      </c>
    </row>
    <row r="1801" spans="1:11" ht="42" customHeight="1">
      <c r="A1801" s="2" t="s">
        <v>4405</v>
      </c>
      <c r="B1801" s="2" t="s">
        <v>4405</v>
      </c>
      <c r="C1801" s="2" t="s">
        <v>26</v>
      </c>
      <c r="D1801" s="2" t="s">
        <v>27</v>
      </c>
      <c r="E1801" s="5">
        <v>-31159</v>
      </c>
      <c r="F1801" s="3" t="s">
        <v>1175</v>
      </c>
      <c r="G1801" s="3" t="s">
        <v>3109</v>
      </c>
      <c r="H1801" s="2" t="s">
        <v>62</v>
      </c>
      <c r="I1801" s="2" t="s">
        <v>4409</v>
      </c>
      <c r="J1801" s="3" t="str">
        <f>HYPERLINK("https://www.boe.es/gazeta/dias/1814/09/08/pdfs/GMD-1814-123.pdf#page=4","Abrir facsímil")</f>
        <v>Abrir facsímil</v>
      </c>
      <c r="K1801" s="3" t="s">
        <v>64</v>
      </c>
    </row>
    <row r="1802" spans="1:11" ht="42" customHeight="1">
      <c r="A1802" s="2" t="s">
        <v>4405</v>
      </c>
      <c r="B1802" s="2" t="s">
        <v>4405</v>
      </c>
      <c r="C1802" s="2" t="s">
        <v>17</v>
      </c>
      <c r="D1802" s="2" t="s">
        <v>18</v>
      </c>
      <c r="E1802" s="5">
        <v>-31159</v>
      </c>
      <c r="F1802" s="3" t="s">
        <v>1175</v>
      </c>
      <c r="G1802" s="3" t="s">
        <v>99</v>
      </c>
      <c r="H1802" s="2" t="s">
        <v>62</v>
      </c>
      <c r="I1802" s="2" t="s">
        <v>4410</v>
      </c>
      <c r="J1802" s="3" t="str">
        <f>HYPERLINK("https://www.boe.es/gazeta/dias/1814/09/08/pdfs/GMD-1814-123.pdf#page=5","Abrir facsímil")</f>
        <v>Abrir facsímil</v>
      </c>
      <c r="K1802" s="3" t="s">
        <v>64</v>
      </c>
    </row>
    <row r="1803" spans="1:11" ht="42" customHeight="1">
      <c r="A1803" s="2" t="s">
        <v>4411</v>
      </c>
      <c r="B1803" s="2" t="s">
        <v>4412</v>
      </c>
      <c r="C1803" s="2" t="s">
        <v>45</v>
      </c>
      <c r="D1803" s="2" t="s">
        <v>18</v>
      </c>
      <c r="E1803" s="5">
        <v>-31182</v>
      </c>
      <c r="F1803" s="3" t="s">
        <v>19</v>
      </c>
      <c r="G1803" s="3" t="s">
        <v>3827</v>
      </c>
      <c r="H1803" s="2" t="s">
        <v>62</v>
      </c>
      <c r="I1803" s="2" t="s">
        <v>4413</v>
      </c>
      <c r="J1803" s="3" t="str">
        <f>HYPERLINK("https://www.boe.es/gazeta/dias/1814/08/16/pdfs/GMD-1814-112.pdf#page=8","Abrir facsímil")</f>
        <v>Abrir facsímil</v>
      </c>
      <c r="K1803" s="3" t="s">
        <v>64</v>
      </c>
    </row>
    <row r="1804" spans="1:11" ht="42" customHeight="1">
      <c r="A1804" s="2" t="s">
        <v>4414</v>
      </c>
      <c r="B1804" s="2" t="s">
        <v>4415</v>
      </c>
      <c r="C1804" s="2" t="s">
        <v>38</v>
      </c>
      <c r="D1804" s="2" t="s">
        <v>314</v>
      </c>
      <c r="E1804" s="5">
        <v>-31296</v>
      </c>
      <c r="F1804" s="3" t="s">
        <v>315</v>
      </c>
      <c r="G1804" s="3" t="s">
        <v>99</v>
      </c>
      <c r="H1804" s="2" t="s">
        <v>21</v>
      </c>
      <c r="I1804" s="2" t="s">
        <v>4416</v>
      </c>
      <c r="J1804" s="3" t="str">
        <f>HYPERLINK("https://www.boe.es/gazeta/dias/1814/04/24/pdfs/GRE-1814-60E.pdf#page=5","Abrir facsímil")</f>
        <v>Abrir facsímil</v>
      </c>
      <c r="K1804" s="3" t="s">
        <v>23</v>
      </c>
    </row>
    <row r="1805" spans="1:11" ht="42" customHeight="1">
      <c r="A1805" s="2" t="s">
        <v>4417</v>
      </c>
      <c r="B1805" s="2" t="s">
        <v>4418</v>
      </c>
      <c r="C1805" s="2" t="s">
        <v>38</v>
      </c>
      <c r="D1805" s="2" t="s">
        <v>314</v>
      </c>
      <c r="E1805" s="5">
        <v>-31296</v>
      </c>
      <c r="F1805" s="3" t="s">
        <v>315</v>
      </c>
      <c r="G1805" s="3" t="s">
        <v>82</v>
      </c>
      <c r="H1805" s="2" t="s">
        <v>62</v>
      </c>
      <c r="I1805" s="2" t="s">
        <v>4419</v>
      </c>
      <c r="J1805" s="3" t="str">
        <f>HYPERLINK("https://www.boe.es/gazeta/dias/1814/04/24/pdfs/GRE-1814-60E.pdf#page=3","Abrir facsímil")</f>
        <v>Abrir facsímil</v>
      </c>
      <c r="K1805" s="3" t="s">
        <v>64</v>
      </c>
    </row>
    <row r="1806" spans="1:11" ht="42" customHeight="1">
      <c r="A1806" s="2" t="s">
        <v>4420</v>
      </c>
      <c r="B1806" s="2" t="s">
        <v>4421</v>
      </c>
      <c r="C1806" s="2" t="s">
        <v>38</v>
      </c>
      <c r="D1806" s="2" t="s">
        <v>39</v>
      </c>
      <c r="E1806" s="5">
        <v>-31346</v>
      </c>
      <c r="F1806" s="3" t="s">
        <v>78</v>
      </c>
      <c r="G1806" s="3" t="s">
        <v>20</v>
      </c>
      <c r="H1806" s="2" t="s">
        <v>62</v>
      </c>
      <c r="I1806" s="2" t="s">
        <v>4422</v>
      </c>
      <c r="J1806" s="3" t="str">
        <f>HYPERLINK("https://www.boe.es/gazeta/dias/1814/03/05/pdfs/GRE-1814-30.pdf#page=7","Abrir facsímil")</f>
        <v>Abrir facsímil</v>
      </c>
      <c r="K1806" s="3" t="s">
        <v>64</v>
      </c>
    </row>
    <row r="1807" spans="1:11" ht="42" customHeight="1">
      <c r="A1807" s="2" t="s">
        <v>4423</v>
      </c>
      <c r="B1807" s="2" t="s">
        <v>4424</v>
      </c>
      <c r="C1807" s="2" t="s">
        <v>17</v>
      </c>
      <c r="D1807" s="2" t="s">
        <v>18</v>
      </c>
      <c r="E1807" s="5">
        <v>-31119</v>
      </c>
      <c r="F1807" s="3" t="s">
        <v>136</v>
      </c>
      <c r="G1807" s="3" t="s">
        <v>137</v>
      </c>
      <c r="H1807" s="2" t="s">
        <v>62</v>
      </c>
      <c r="I1807" s="2" t="s">
        <v>4425</v>
      </c>
      <c r="J1807" s="3" t="str">
        <f>HYPERLINK("https://www.boe.es/gazeta/dias/1814/10/18/pdfs/GMD-1814-140.pdf#page=9","Abrir facsímil")</f>
        <v>Abrir facsímil</v>
      </c>
      <c r="K1807" s="3" t="s">
        <v>64</v>
      </c>
    </row>
    <row r="1808" spans="1:11" ht="42" customHeight="1">
      <c r="A1808" s="2" t="s">
        <v>4426</v>
      </c>
      <c r="B1808" s="2" t="s">
        <v>4426</v>
      </c>
      <c r="C1808" s="2" t="s">
        <v>38</v>
      </c>
      <c r="D1808" s="2" t="s">
        <v>39</v>
      </c>
      <c r="E1808" s="5">
        <v>-31381</v>
      </c>
      <c r="F1808" s="3" t="s">
        <v>989</v>
      </c>
      <c r="G1808" s="3" t="s">
        <v>20</v>
      </c>
      <c r="H1808" s="2" t="s">
        <v>62</v>
      </c>
      <c r="I1808" s="2" t="s">
        <v>4427</v>
      </c>
      <c r="J1808" s="3" t="str">
        <f>HYPERLINK("https://www.boe.es/gazeta/dias/1814/01/29/pdfs/GRE-1814-14.pdf#page=7","Abrir facsímil")</f>
        <v>Abrir facsímil</v>
      </c>
      <c r="K1808" s="3" t="s">
        <v>64</v>
      </c>
    </row>
    <row r="1809" spans="1:11" ht="42" customHeight="1">
      <c r="A1809" s="2" t="s">
        <v>4426</v>
      </c>
      <c r="B1809" s="2" t="s">
        <v>4426</v>
      </c>
      <c r="C1809" s="2" t="s">
        <v>687</v>
      </c>
      <c r="D1809" s="2" t="s">
        <v>27</v>
      </c>
      <c r="E1809" s="5">
        <v>-31068</v>
      </c>
      <c r="F1809" s="3" t="s">
        <v>548</v>
      </c>
      <c r="G1809" s="3" t="s">
        <v>20</v>
      </c>
      <c r="H1809" s="2" t="s">
        <v>62</v>
      </c>
      <c r="I1809" s="2" t="s">
        <v>4428</v>
      </c>
      <c r="J1809" s="3" t="str">
        <f>HYPERLINK("https://www.boe.es/gazeta/dias/1814/12/08/pdfs/GMD-1814-162.pdf#page=7","Abrir facsímil")</f>
        <v>Abrir facsímil</v>
      </c>
      <c r="K1809" s="3" t="s">
        <v>64</v>
      </c>
    </row>
    <row r="1810" spans="1:11" ht="42" customHeight="1">
      <c r="A1810" s="2" t="s">
        <v>4429</v>
      </c>
      <c r="B1810" s="2" t="s">
        <v>4430</v>
      </c>
      <c r="C1810" s="2" t="s">
        <v>38</v>
      </c>
      <c r="D1810" s="2" t="s">
        <v>39</v>
      </c>
      <c r="E1810" s="5">
        <v>-31124</v>
      </c>
      <c r="F1810" s="3" t="s">
        <v>383</v>
      </c>
      <c r="G1810" s="3" t="s">
        <v>574</v>
      </c>
      <c r="H1810" s="2" t="s">
        <v>62</v>
      </c>
      <c r="I1810" s="2" t="s">
        <v>4431</v>
      </c>
      <c r="J1810" s="3" t="str">
        <f>HYPERLINK("https://www.boe.es/gazeta/dias/1814/10/13/pdfs/GMD-1814-138.pdf#page=10","Abrir facsímil")</f>
        <v>Abrir facsímil</v>
      </c>
      <c r="K1810" s="3" t="s">
        <v>64</v>
      </c>
    </row>
    <row r="1811" spans="1:11" ht="42" customHeight="1">
      <c r="A1811" s="2" t="s">
        <v>4432</v>
      </c>
      <c r="B1811" s="2" t="s">
        <v>4433</v>
      </c>
      <c r="C1811" s="2" t="s">
        <v>38</v>
      </c>
      <c r="D1811" s="2" t="s">
        <v>39</v>
      </c>
      <c r="E1811" s="5">
        <v>-31383</v>
      </c>
      <c r="F1811" s="3" t="s">
        <v>715</v>
      </c>
      <c r="G1811" s="3" t="s">
        <v>2727</v>
      </c>
      <c r="H1811" s="2" t="s">
        <v>21</v>
      </c>
      <c r="I1811" s="2" t="s">
        <v>4434</v>
      </c>
      <c r="J1811" s="3" t="str">
        <f>HYPERLINK("https://www.boe.es/gazeta/dias/1814/01/27/pdfs/GRE-1814-13.pdf#page=4","Abrir facsímil")</f>
        <v>Abrir facsímil</v>
      </c>
      <c r="K1811" s="3" t="s">
        <v>23</v>
      </c>
    </row>
    <row r="1812" spans="1:11" ht="42" customHeight="1">
      <c r="A1812" s="2" t="s">
        <v>4435</v>
      </c>
      <c r="B1812" s="2" t="s">
        <v>4435</v>
      </c>
      <c r="C1812" s="2" t="s">
        <v>17</v>
      </c>
      <c r="D1812" s="2" t="s">
        <v>18</v>
      </c>
      <c r="E1812" s="5">
        <v>-31129</v>
      </c>
      <c r="F1812" s="3" t="s">
        <v>418</v>
      </c>
      <c r="G1812" s="3" t="s">
        <v>99</v>
      </c>
      <c r="H1812" s="2" t="s">
        <v>62</v>
      </c>
      <c r="I1812" s="2" t="s">
        <v>4436</v>
      </c>
      <c r="J1812" s="3" t="str">
        <f>HYPERLINK("https://www.boe.es/gazeta/dias/1814/10/08/pdfs/GMD-1814-136.pdf#page=5","Abrir facsímil")</f>
        <v>Abrir facsímil</v>
      </c>
      <c r="K1812" s="3" t="s">
        <v>64</v>
      </c>
    </row>
    <row r="1813" spans="1:11" ht="42" customHeight="1">
      <c r="A1813" s="2" t="s">
        <v>4437</v>
      </c>
      <c r="B1813" s="2" t="s">
        <v>4437</v>
      </c>
      <c r="C1813" s="2" t="s">
        <v>38</v>
      </c>
      <c r="D1813" s="2" t="s">
        <v>39</v>
      </c>
      <c r="E1813" s="5">
        <v>-31339</v>
      </c>
      <c r="F1813" s="3" t="s">
        <v>641</v>
      </c>
      <c r="G1813" s="3" t="s">
        <v>82</v>
      </c>
      <c r="H1813" s="2" t="s">
        <v>62</v>
      </c>
      <c r="I1813" s="2" t="s">
        <v>4438</v>
      </c>
      <c r="J1813" s="3" t="str">
        <f>HYPERLINK("https://www.boe.es/gazeta/dias/1814/03/12/pdfs/GRE-1814-35.pdf#page=3","Abrir facsímil")</f>
        <v>Abrir facsímil</v>
      </c>
      <c r="K1813" s="3" t="s">
        <v>64</v>
      </c>
    </row>
    <row r="1814" spans="1:11" ht="42" customHeight="1">
      <c r="A1814" s="2" t="s">
        <v>4439</v>
      </c>
      <c r="B1814" s="2" t="s">
        <v>4440</v>
      </c>
      <c r="C1814" s="2" t="s">
        <v>17</v>
      </c>
      <c r="D1814" s="2" t="s">
        <v>18</v>
      </c>
      <c r="E1814" s="5">
        <v>-31119</v>
      </c>
      <c r="F1814" s="3" t="s">
        <v>136</v>
      </c>
      <c r="G1814" s="3" t="s">
        <v>137</v>
      </c>
      <c r="H1814" s="2" t="s">
        <v>62</v>
      </c>
      <c r="I1814" s="2" t="s">
        <v>4441</v>
      </c>
      <c r="J1814" s="3" t="str">
        <f>HYPERLINK("https://www.boe.es/gazeta/dias/1814/10/18/pdfs/GMD-1814-140.pdf#page=9","Abrir facsímil")</f>
        <v>Abrir facsímil</v>
      </c>
      <c r="K1814" s="3" t="s">
        <v>64</v>
      </c>
    </row>
    <row r="1815" spans="1:11" ht="42" customHeight="1">
      <c r="A1815" s="2" t="s">
        <v>4442</v>
      </c>
      <c r="B1815" s="2" t="s">
        <v>4443</v>
      </c>
      <c r="C1815" s="2" t="s">
        <v>38</v>
      </c>
      <c r="D1815" s="2" t="s">
        <v>314</v>
      </c>
      <c r="E1815" s="5">
        <v>-31296</v>
      </c>
      <c r="F1815" s="3" t="s">
        <v>315</v>
      </c>
      <c r="G1815" s="3" t="s">
        <v>52</v>
      </c>
      <c r="H1815" s="2" t="s">
        <v>62</v>
      </c>
      <c r="I1815" s="2" t="s">
        <v>4444</v>
      </c>
      <c r="J1815" s="3" t="str">
        <f>HYPERLINK("https://www.boe.es/gazeta/dias/1814/04/24/pdfs/GRE-1814-60E.pdf#page=8","Abrir facsímil")</f>
        <v>Abrir facsímil</v>
      </c>
      <c r="K1815" s="3" t="s">
        <v>64</v>
      </c>
    </row>
    <row r="1816" spans="1:11" ht="42" customHeight="1">
      <c r="A1816" s="2" t="s">
        <v>4445</v>
      </c>
      <c r="B1816" s="2" t="s">
        <v>4445</v>
      </c>
      <c r="C1816" s="2" t="s">
        <v>38</v>
      </c>
      <c r="D1816" s="2" t="s">
        <v>314</v>
      </c>
      <c r="E1816" s="5">
        <v>-31328</v>
      </c>
      <c r="F1816" s="3" t="s">
        <v>442</v>
      </c>
      <c r="G1816" s="3" t="s">
        <v>52</v>
      </c>
      <c r="H1816" s="2" t="s">
        <v>62</v>
      </c>
      <c r="I1816" s="2" t="s">
        <v>4446</v>
      </c>
      <c r="J1816" s="3" t="str">
        <f>HYPERLINK("https://www.boe.es/gazeta/dias/1814/03/23/pdfs/GRE-1814-40E.pdf#page=8","Abrir facsímil")</f>
        <v>Abrir facsímil</v>
      </c>
      <c r="K1816" s="3" t="s">
        <v>64</v>
      </c>
    </row>
    <row r="1817" spans="1:11" ht="42" customHeight="1">
      <c r="A1817" s="2" t="s">
        <v>4445</v>
      </c>
      <c r="B1817" s="2" t="s">
        <v>4445</v>
      </c>
      <c r="C1817" s="2" t="s">
        <v>38</v>
      </c>
      <c r="D1817" s="2" t="s">
        <v>39</v>
      </c>
      <c r="E1817" s="5">
        <v>-31306</v>
      </c>
      <c r="F1817" s="3" t="s">
        <v>670</v>
      </c>
      <c r="G1817" s="3" t="s">
        <v>20</v>
      </c>
      <c r="H1817" s="2" t="s">
        <v>62</v>
      </c>
      <c r="I1817" s="2" t="s">
        <v>4447</v>
      </c>
      <c r="J1817" s="3" t="str">
        <f>HYPERLINK("https://www.boe.es/gazeta/dias/1814/04/14/pdfs/GRE-1814-53.pdf#page=7","Abrir facsímil")</f>
        <v>Abrir facsímil</v>
      </c>
      <c r="K1817" s="3" t="s">
        <v>64</v>
      </c>
    </row>
    <row r="1818" spans="1:11" ht="42" customHeight="1">
      <c r="A1818" s="2" t="s">
        <v>4448</v>
      </c>
      <c r="B1818" s="2" t="s">
        <v>4449</v>
      </c>
      <c r="C1818" s="2" t="s">
        <v>309</v>
      </c>
      <c r="D1818" s="2" t="s">
        <v>18</v>
      </c>
      <c r="E1818" s="5">
        <v>-31098</v>
      </c>
      <c r="F1818" s="3" t="s">
        <v>290</v>
      </c>
      <c r="G1818" s="3" t="s">
        <v>310</v>
      </c>
      <c r="H1818" s="2" t="s">
        <v>62</v>
      </c>
      <c r="I1818" s="2" t="s">
        <v>4450</v>
      </c>
      <c r="J1818" s="3" t="str">
        <f>HYPERLINK("https://www.boe.es/gazeta/dias/1814/11/08/pdfs/GMD-1814-149.pdf#page=8","Abrir facsímil")</f>
        <v>Abrir facsímil</v>
      </c>
      <c r="K1818" s="3" t="s">
        <v>64</v>
      </c>
    </row>
    <row r="1819" spans="1:11" ht="42" customHeight="1">
      <c r="A1819" s="2" t="s">
        <v>4451</v>
      </c>
      <c r="B1819" s="2" t="s">
        <v>4451</v>
      </c>
      <c r="C1819" s="2" t="s">
        <v>38</v>
      </c>
      <c r="D1819" s="2" t="s">
        <v>39</v>
      </c>
      <c r="E1819" s="5">
        <v>-31378</v>
      </c>
      <c r="F1819" s="3" t="s">
        <v>98</v>
      </c>
      <c r="G1819" s="3" t="s">
        <v>41</v>
      </c>
      <c r="H1819" s="2" t="s">
        <v>62</v>
      </c>
      <c r="I1819" s="2" t="s">
        <v>4452</v>
      </c>
      <c r="J1819" s="3" t="str">
        <f>HYPERLINK("https://www.boe.es/gazeta/dias/1814/02/01/pdfs/GRE-1814-15.pdf#page=4","Abrir facsímil")</f>
        <v>Abrir facsímil</v>
      </c>
      <c r="K1819" s="3" t="s">
        <v>64</v>
      </c>
    </row>
    <row r="1820" spans="1:11" ht="42" customHeight="1">
      <c r="A1820" s="2" t="s">
        <v>4453</v>
      </c>
      <c r="B1820" s="2" t="s">
        <v>4453</v>
      </c>
      <c r="C1820" s="2" t="s">
        <v>38</v>
      </c>
      <c r="D1820" s="2" t="s">
        <v>39</v>
      </c>
      <c r="E1820" s="5">
        <v>-31399</v>
      </c>
      <c r="F1820" s="3" t="s">
        <v>218</v>
      </c>
      <c r="G1820" s="3" t="s">
        <v>82</v>
      </c>
      <c r="H1820" s="2" t="s">
        <v>62</v>
      </c>
      <c r="I1820" s="2" t="s">
        <v>4454</v>
      </c>
      <c r="J1820" s="3" t="str">
        <f>HYPERLINK("https://www.boe.es/gazeta/dias/1814/01/11/pdfs/GRE-1814-6.pdf#page=3","Abrir facsímil")</f>
        <v>Abrir facsímil</v>
      </c>
      <c r="K1820" s="3" t="s">
        <v>64</v>
      </c>
    </row>
    <row r="1821" spans="1:11" ht="42" customHeight="1">
      <c r="A1821" s="2" t="s">
        <v>4455</v>
      </c>
      <c r="B1821" s="2" t="s">
        <v>4456</v>
      </c>
      <c r="C1821" s="2" t="s">
        <v>26</v>
      </c>
      <c r="D1821" s="2" t="s">
        <v>27</v>
      </c>
      <c r="E1821" s="5">
        <v>-31294</v>
      </c>
      <c r="F1821" s="3" t="s">
        <v>680</v>
      </c>
      <c r="G1821" s="3" t="s">
        <v>41</v>
      </c>
      <c r="H1821" s="2" t="s">
        <v>62</v>
      </c>
      <c r="I1821" s="2" t="s">
        <v>4457</v>
      </c>
      <c r="J1821" s="3" t="str">
        <f>HYPERLINK("https://www.boe.es/gazeta/dias/1814/04/26/pdfs/GRE-1814-61.pdf#page=4","Abrir facsímil")</f>
        <v>Abrir facsímil</v>
      </c>
      <c r="K1821" s="3" t="s">
        <v>64</v>
      </c>
    </row>
    <row r="1822" spans="1:11" ht="42" customHeight="1">
      <c r="A1822" s="2" t="s">
        <v>4458</v>
      </c>
      <c r="B1822" s="2" t="s">
        <v>4458</v>
      </c>
      <c r="C1822" s="2" t="s">
        <v>26</v>
      </c>
      <c r="D1822" s="2" t="s">
        <v>27</v>
      </c>
      <c r="E1822" s="5">
        <v>-31182</v>
      </c>
      <c r="F1822" s="3" t="s">
        <v>19</v>
      </c>
      <c r="G1822" s="3" t="s">
        <v>3827</v>
      </c>
      <c r="H1822" s="2" t="s">
        <v>62</v>
      </c>
      <c r="I1822" s="2" t="s">
        <v>4459</v>
      </c>
      <c r="J1822" s="3" t="str">
        <f>HYPERLINK("https://www.boe.es/gazeta/dias/1814/08/16/pdfs/GMD-1814-112.pdf#page=8","Abrir facsímil")</f>
        <v>Abrir facsímil</v>
      </c>
      <c r="K1822" s="3" t="s">
        <v>64</v>
      </c>
    </row>
    <row r="1823" spans="1:11" ht="42" customHeight="1">
      <c r="A1823" s="2" t="s">
        <v>4460</v>
      </c>
      <c r="B1823" s="2" t="s">
        <v>4460</v>
      </c>
      <c r="C1823" s="2" t="s">
        <v>26</v>
      </c>
      <c r="D1823" s="2" t="s">
        <v>27</v>
      </c>
      <c r="E1823" s="5">
        <v>-31080</v>
      </c>
      <c r="F1823" s="3" t="s">
        <v>286</v>
      </c>
      <c r="G1823" s="3" t="s">
        <v>677</v>
      </c>
      <c r="H1823" s="2" t="s">
        <v>62</v>
      </c>
      <c r="I1823" s="2" t="s">
        <v>4461</v>
      </c>
      <c r="J1823" s="3" t="str">
        <f>HYPERLINK("https://www.boe.es/gazeta/dias/1814/11/26/pdfs/GMD-1814-157.pdf#page=7","Abrir facsímil")</f>
        <v>Abrir facsímil</v>
      </c>
      <c r="K1823" s="3" t="s">
        <v>64</v>
      </c>
    </row>
    <row r="1824" spans="1:11" ht="42" customHeight="1">
      <c r="A1824" s="2" t="s">
        <v>4462</v>
      </c>
      <c r="B1824" s="2" t="s">
        <v>4463</v>
      </c>
      <c r="C1824" s="2" t="s">
        <v>38</v>
      </c>
      <c r="D1824" s="2" t="s">
        <v>39</v>
      </c>
      <c r="E1824" s="5">
        <v>-31353</v>
      </c>
      <c r="F1824" s="3" t="s">
        <v>247</v>
      </c>
      <c r="G1824" s="3" t="s">
        <v>3029</v>
      </c>
      <c r="H1824" s="2" t="s">
        <v>62</v>
      </c>
      <c r="I1824" s="2" t="s">
        <v>4464</v>
      </c>
      <c r="J1824" s="3" t="str">
        <f>HYPERLINK("https://www.boe.es/gazeta/dias/1814/02/26/pdfs/GRE-1814-27.pdf#page=4","Abrir facsímil")</f>
        <v>Abrir facsímil</v>
      </c>
      <c r="K1824" s="3" t="s">
        <v>64</v>
      </c>
    </row>
    <row r="1825" spans="1:11" ht="42" customHeight="1">
      <c r="A1825" s="2" t="s">
        <v>4465</v>
      </c>
      <c r="B1825" s="2" t="s">
        <v>4466</v>
      </c>
      <c r="C1825" s="2" t="s">
        <v>38</v>
      </c>
      <c r="D1825" s="2" t="s">
        <v>39</v>
      </c>
      <c r="E1825" s="5">
        <v>-31203</v>
      </c>
      <c r="F1825" s="3" t="s">
        <v>512</v>
      </c>
      <c r="G1825" s="3" t="s">
        <v>52</v>
      </c>
      <c r="H1825" s="2" t="s">
        <v>62</v>
      </c>
      <c r="I1825" s="2" t="s">
        <v>4467</v>
      </c>
      <c r="J1825" s="3" t="str">
        <f>HYPERLINK("https://www.boe.es/gazeta/dias/1814/07/26/pdfs/GMD-1814-103.pdf#page=8","Abrir facsímil")</f>
        <v>Abrir facsímil</v>
      </c>
      <c r="K1825" s="3" t="s">
        <v>64</v>
      </c>
    </row>
    <row r="1826" spans="1:11" ht="42" customHeight="1">
      <c r="A1826" s="2" t="s">
        <v>4468</v>
      </c>
      <c r="B1826" s="2" t="s">
        <v>4468</v>
      </c>
      <c r="C1826" s="2" t="s">
        <v>32</v>
      </c>
      <c r="D1826" s="2" t="s">
        <v>18</v>
      </c>
      <c r="E1826" s="5">
        <v>-31201</v>
      </c>
      <c r="F1826" s="3" t="s">
        <v>863</v>
      </c>
      <c r="G1826" s="3" t="s">
        <v>82</v>
      </c>
      <c r="H1826" s="2" t="s">
        <v>62</v>
      </c>
      <c r="I1826" s="2" t="s">
        <v>4469</v>
      </c>
      <c r="J1826" s="3" t="str">
        <f>HYPERLINK("https://www.boe.es/gazeta/dias/1814/07/28/pdfs/GMD-1814-104.pdf#page=3","Abrir facsímil")</f>
        <v>Abrir facsímil</v>
      </c>
      <c r="K1826" s="3" t="s">
        <v>64</v>
      </c>
    </row>
    <row r="1827" spans="1:11" ht="42" customHeight="1">
      <c r="A1827" s="2" t="s">
        <v>4470</v>
      </c>
      <c r="B1827" s="2" t="s">
        <v>4470</v>
      </c>
      <c r="C1827" s="2" t="s">
        <v>38</v>
      </c>
      <c r="D1827" s="2" t="s">
        <v>39</v>
      </c>
      <c r="E1827" s="5">
        <v>-31388</v>
      </c>
      <c r="F1827" s="3" t="s">
        <v>1299</v>
      </c>
      <c r="G1827" s="3" t="s">
        <v>87</v>
      </c>
      <c r="H1827" s="2" t="s">
        <v>62</v>
      </c>
      <c r="I1827" s="2" t="s">
        <v>4471</v>
      </c>
      <c r="J1827" s="3" t="str">
        <f>HYPERLINK("https://www.boe.es/gazeta/dias/1814/01/22/pdfs/GRE-1814-11.pdf#page=2","Abrir facsímil")</f>
        <v>Abrir facsímil</v>
      </c>
      <c r="K1827" s="3" t="s">
        <v>64</v>
      </c>
    </row>
    <row r="1828" spans="1:11" ht="42" customHeight="1">
      <c r="A1828" s="2" t="s">
        <v>4472</v>
      </c>
      <c r="B1828" s="2" t="s">
        <v>4472</v>
      </c>
      <c r="C1828" s="2" t="s">
        <v>38</v>
      </c>
      <c r="D1828" s="2" t="s">
        <v>39</v>
      </c>
      <c r="E1828" s="5">
        <v>-31124</v>
      </c>
      <c r="F1828" s="3" t="s">
        <v>383</v>
      </c>
      <c r="G1828" s="3" t="s">
        <v>574</v>
      </c>
      <c r="H1828" s="2" t="s">
        <v>62</v>
      </c>
      <c r="I1828" s="2" t="s">
        <v>4473</v>
      </c>
      <c r="J1828" s="3" t="str">
        <f>HYPERLINK("https://www.boe.es/gazeta/dias/1814/10/13/pdfs/GMD-1814-138.pdf#page=10","Abrir facsímil")</f>
        <v>Abrir facsímil</v>
      </c>
      <c r="K1828" s="3" t="s">
        <v>64</v>
      </c>
    </row>
    <row r="1829" spans="1:11" ht="42" customHeight="1">
      <c r="A1829" s="2" t="s">
        <v>4474</v>
      </c>
      <c r="B1829" s="2" t="s">
        <v>4474</v>
      </c>
      <c r="C1829" s="2" t="s">
        <v>17</v>
      </c>
      <c r="D1829" s="2" t="s">
        <v>18</v>
      </c>
      <c r="E1829" s="5">
        <v>-31227</v>
      </c>
      <c r="F1829" s="3" t="s">
        <v>102</v>
      </c>
      <c r="G1829" s="3" t="s">
        <v>103</v>
      </c>
      <c r="H1829" s="2" t="s">
        <v>62</v>
      </c>
      <c r="I1829" s="2" t="s">
        <v>4475</v>
      </c>
      <c r="J1829" s="3" t="str">
        <f>HYPERLINK("https://www.boe.es/gazeta/dias/1814/07/02/pdfs/GMD-1814-93.pdf#page=4","Abrir facsímil")</f>
        <v>Abrir facsímil</v>
      </c>
      <c r="K1829" s="3" t="s">
        <v>64</v>
      </c>
    </row>
    <row r="1830" spans="1:11" ht="42" customHeight="1">
      <c r="A1830" s="2" t="s">
        <v>4476</v>
      </c>
      <c r="B1830" s="2" t="s">
        <v>4476</v>
      </c>
      <c r="C1830" s="2" t="s">
        <v>38</v>
      </c>
      <c r="D1830" s="2" t="s">
        <v>39</v>
      </c>
      <c r="E1830" s="5">
        <v>-31325</v>
      </c>
      <c r="F1830" s="3" t="s">
        <v>67</v>
      </c>
      <c r="G1830" s="3" t="s">
        <v>20</v>
      </c>
      <c r="H1830" s="2" t="s">
        <v>62</v>
      </c>
      <c r="I1830" s="2" t="s">
        <v>4477</v>
      </c>
      <c r="J1830" s="3" t="str">
        <f>HYPERLINK("https://www.boe.es/gazeta/dias/1814/03/26/pdfs/GRE-1814-43.pdf#page=7","Abrir facsímil")</f>
        <v>Abrir facsímil</v>
      </c>
      <c r="K1830" s="3" t="s">
        <v>64</v>
      </c>
    </row>
    <row r="1831" spans="1:11" ht="42" customHeight="1">
      <c r="A1831" s="2" t="s">
        <v>4478</v>
      </c>
      <c r="B1831" s="2" t="s">
        <v>4478</v>
      </c>
      <c r="C1831" s="2" t="s">
        <v>17</v>
      </c>
      <c r="D1831" s="2" t="s">
        <v>18</v>
      </c>
      <c r="E1831" s="5">
        <v>-31355</v>
      </c>
      <c r="F1831" s="3" t="s">
        <v>50</v>
      </c>
      <c r="G1831" s="3" t="s">
        <v>2740</v>
      </c>
      <c r="H1831" s="2" t="s">
        <v>62</v>
      </c>
      <c r="I1831" s="2" t="s">
        <v>4479</v>
      </c>
      <c r="J1831" s="3" t="str">
        <f>HYPERLINK("https://www.boe.es/gazeta/dias/1814/02/24/pdfs/GRE-1814-26.pdf#page=6","Abrir facsímil")</f>
        <v>Abrir facsímil</v>
      </c>
      <c r="K1831" s="3" t="s">
        <v>64</v>
      </c>
    </row>
    <row r="1832" spans="1:11" ht="42" customHeight="1">
      <c r="A1832" s="2" t="s">
        <v>4478</v>
      </c>
      <c r="B1832" s="2" t="s">
        <v>4478</v>
      </c>
      <c r="C1832" s="2" t="s">
        <v>26</v>
      </c>
      <c r="D1832" s="2" t="s">
        <v>27</v>
      </c>
      <c r="E1832" s="5">
        <v>-31280</v>
      </c>
      <c r="F1832" s="3" t="s">
        <v>4480</v>
      </c>
      <c r="G1832" s="3" t="s">
        <v>41</v>
      </c>
      <c r="H1832" s="2" t="s">
        <v>62</v>
      </c>
      <c r="I1832" s="2" t="s">
        <v>4481</v>
      </c>
      <c r="J1832" s="3" t="str">
        <f>HYPERLINK("https://www.boe.es/gazeta/dias/1814/05/10/pdfs/GRE-1814-68.pdf#page=4","Abrir facsímil")</f>
        <v>Abrir facsímil</v>
      </c>
      <c r="K1832" s="3" t="s">
        <v>64</v>
      </c>
    </row>
    <row r="1833" spans="1:11" ht="42" customHeight="1">
      <c r="A1833" s="2" t="s">
        <v>4478</v>
      </c>
      <c r="B1833" s="2" t="s">
        <v>4478</v>
      </c>
      <c r="C1833" s="2" t="s">
        <v>38</v>
      </c>
      <c r="D1833" s="2" t="s">
        <v>39</v>
      </c>
      <c r="E1833" s="5">
        <v>-31276</v>
      </c>
      <c r="F1833" s="3" t="s">
        <v>494</v>
      </c>
      <c r="G1833" s="3" t="s">
        <v>41</v>
      </c>
      <c r="H1833" s="2" t="s">
        <v>62</v>
      </c>
      <c r="I1833" s="2" t="s">
        <v>4482</v>
      </c>
      <c r="J1833" s="3" t="str">
        <f>HYPERLINK("https://www.boe.es/gazeta/dias/1814/05/14/pdfs/GMD-1814-71.pdf#page=4","Abrir facsímil")</f>
        <v>Abrir facsímil</v>
      </c>
      <c r="K1833" s="3" t="s">
        <v>64</v>
      </c>
    </row>
    <row r="1834" spans="1:11" ht="42" customHeight="1">
      <c r="A1834" s="2" t="s">
        <v>4478</v>
      </c>
      <c r="B1834" s="2" t="s">
        <v>4478</v>
      </c>
      <c r="C1834" s="2" t="s">
        <v>17</v>
      </c>
      <c r="D1834" s="2" t="s">
        <v>18</v>
      </c>
      <c r="E1834" s="5">
        <v>-31262</v>
      </c>
      <c r="F1834" s="3" t="s">
        <v>254</v>
      </c>
      <c r="G1834" s="3" t="s">
        <v>57</v>
      </c>
      <c r="H1834" s="2" t="s">
        <v>62</v>
      </c>
      <c r="I1834" s="2" t="s">
        <v>4483</v>
      </c>
      <c r="J1834" s="3" t="str">
        <f>HYPERLINK("https://www.boe.es/gazeta/dias/1814/05/28/pdfs/GMD-1814-78.pdf#page=6","Abrir facsímil")</f>
        <v>Abrir facsímil</v>
      </c>
      <c r="K1834" s="3" t="s">
        <v>64</v>
      </c>
    </row>
    <row r="1835" spans="1:11" ht="42" customHeight="1">
      <c r="A1835" s="2" t="s">
        <v>4478</v>
      </c>
      <c r="B1835" s="2" t="s">
        <v>4478</v>
      </c>
      <c r="C1835" s="2" t="s">
        <v>17</v>
      </c>
      <c r="D1835" s="2" t="s">
        <v>18</v>
      </c>
      <c r="E1835" s="5">
        <v>-31250</v>
      </c>
      <c r="F1835" s="3" t="s">
        <v>177</v>
      </c>
      <c r="G1835" s="3" t="s">
        <v>20</v>
      </c>
      <c r="H1835" s="2" t="s">
        <v>62</v>
      </c>
      <c r="I1835" s="2" t="s">
        <v>4484</v>
      </c>
      <c r="J1835" s="3" t="str">
        <f>HYPERLINK("https://www.boe.es/gazeta/dias/1814/06/09/pdfs/GMD-1814-83.pdf#page=7","Abrir facsímil")</f>
        <v>Abrir facsímil</v>
      </c>
      <c r="K1835" s="3" t="s">
        <v>64</v>
      </c>
    </row>
    <row r="1836" spans="1:11" ht="42" customHeight="1">
      <c r="A1836" s="2" t="s">
        <v>4478</v>
      </c>
      <c r="B1836" s="2" t="s">
        <v>4478</v>
      </c>
      <c r="C1836" s="2" t="s">
        <v>26</v>
      </c>
      <c r="D1836" s="2" t="s">
        <v>27</v>
      </c>
      <c r="E1836" s="5">
        <v>-31229</v>
      </c>
      <c r="F1836" s="3" t="s">
        <v>502</v>
      </c>
      <c r="G1836" s="3" t="s">
        <v>20</v>
      </c>
      <c r="H1836" s="2" t="s">
        <v>62</v>
      </c>
      <c r="I1836" s="2" t="s">
        <v>4485</v>
      </c>
      <c r="J1836" s="3" t="str">
        <f>HYPERLINK("https://www.boe.es/gazeta/dias/1814/06/30/pdfs/GMD-1814-92.pdf#page=7","Abrir facsímil")</f>
        <v>Abrir facsímil</v>
      </c>
      <c r="K1836" s="3" t="s">
        <v>64</v>
      </c>
    </row>
    <row r="1837" spans="1:11" ht="42" customHeight="1">
      <c r="A1837" s="2" t="s">
        <v>4478</v>
      </c>
      <c r="B1837" s="2" t="s">
        <v>4478</v>
      </c>
      <c r="C1837" s="2" t="s">
        <v>26</v>
      </c>
      <c r="D1837" s="2" t="s">
        <v>27</v>
      </c>
      <c r="E1837" s="5">
        <v>-31185</v>
      </c>
      <c r="F1837" s="3" t="s">
        <v>1238</v>
      </c>
      <c r="G1837" s="3" t="s">
        <v>99</v>
      </c>
      <c r="H1837" s="2" t="s">
        <v>62</v>
      </c>
      <c r="I1837" s="2" t="s">
        <v>4486</v>
      </c>
      <c r="J1837" s="3" t="str">
        <f>HYPERLINK("https://www.boe.es/gazeta/dias/1814/08/13/pdfs/GMD-1814-111.pdf#page=5","Abrir facsímil")</f>
        <v>Abrir facsímil</v>
      </c>
      <c r="K1837" s="3" t="s">
        <v>64</v>
      </c>
    </row>
    <row r="1838" spans="1:11" ht="42" customHeight="1">
      <c r="A1838" s="2" t="s">
        <v>4478</v>
      </c>
      <c r="B1838" s="2" t="s">
        <v>4478</v>
      </c>
      <c r="C1838" s="2" t="s">
        <v>17</v>
      </c>
      <c r="D1838" s="2" t="s">
        <v>18</v>
      </c>
      <c r="E1838" s="5">
        <v>-31150</v>
      </c>
      <c r="F1838" s="3" t="s">
        <v>106</v>
      </c>
      <c r="G1838" s="3" t="s">
        <v>82</v>
      </c>
      <c r="H1838" s="2" t="s">
        <v>62</v>
      </c>
      <c r="I1838" s="2" t="s">
        <v>4487</v>
      </c>
      <c r="J1838" s="3" t="str">
        <f>HYPERLINK("https://www.boe.es/gazeta/dias/1814/09/17/pdfs/GMD-1814-127.pdf#page=3","Abrir facsímil")</f>
        <v>Abrir facsímil</v>
      </c>
      <c r="K1838" s="3" t="s">
        <v>64</v>
      </c>
    </row>
    <row r="1839" spans="1:11" ht="42" customHeight="1">
      <c r="A1839" s="2" t="s">
        <v>4478</v>
      </c>
      <c r="B1839" s="2" t="s">
        <v>4478</v>
      </c>
      <c r="C1839" s="2" t="s">
        <v>38</v>
      </c>
      <c r="D1839" s="2" t="s">
        <v>39</v>
      </c>
      <c r="E1839" s="5">
        <v>-31077</v>
      </c>
      <c r="F1839" s="3" t="s">
        <v>414</v>
      </c>
      <c r="G1839" s="3" t="s">
        <v>4488</v>
      </c>
      <c r="H1839" s="2" t="s">
        <v>62</v>
      </c>
      <c r="I1839" s="2" t="s">
        <v>4489</v>
      </c>
      <c r="J1839" s="3" t="str">
        <f>HYPERLINK("https://www.boe.es/gazeta/dias/1814/11/29/pdfs/GMD-1814-158.pdf#page=5","Abrir facsímil")</f>
        <v>Abrir facsímil</v>
      </c>
      <c r="K1839" s="3" t="s">
        <v>64</v>
      </c>
    </row>
    <row r="1840" spans="1:11" ht="42" customHeight="1">
      <c r="A1840" s="2" t="s">
        <v>4478</v>
      </c>
      <c r="B1840" s="2" t="s">
        <v>4478</v>
      </c>
      <c r="C1840" s="2" t="s">
        <v>45</v>
      </c>
      <c r="D1840" s="2" t="s">
        <v>18</v>
      </c>
      <c r="E1840" s="5">
        <v>-31070</v>
      </c>
      <c r="F1840" s="3" t="s">
        <v>92</v>
      </c>
      <c r="G1840" s="3" t="s">
        <v>41</v>
      </c>
      <c r="H1840" s="2" t="s">
        <v>62</v>
      </c>
      <c r="I1840" s="2" t="s">
        <v>4490</v>
      </c>
      <c r="J1840" s="3" t="str">
        <f>HYPERLINK("https://www.boe.es/gazeta/dias/1814/12/06/pdfs/GMD-1814-161.pdf#page=4","Abrir facsímil")</f>
        <v>Abrir facsímil</v>
      </c>
      <c r="K1840" s="3" t="s">
        <v>64</v>
      </c>
    </row>
    <row r="1841" spans="1:11" ht="42" customHeight="1">
      <c r="A1841" s="2" t="s">
        <v>4478</v>
      </c>
      <c r="B1841" s="2" t="s">
        <v>4478</v>
      </c>
      <c r="C1841" s="2" t="s">
        <v>45</v>
      </c>
      <c r="D1841" s="2" t="s">
        <v>18</v>
      </c>
      <c r="E1841" s="5">
        <v>-31059</v>
      </c>
      <c r="F1841" s="3" t="s">
        <v>263</v>
      </c>
      <c r="G1841" s="3" t="s">
        <v>264</v>
      </c>
      <c r="H1841" s="2" t="s">
        <v>62</v>
      </c>
      <c r="I1841" s="2" t="s">
        <v>4491</v>
      </c>
      <c r="J1841" s="3" t="str">
        <f>HYPERLINK("https://www.boe.es/gazeta/dias/1814/12/17/pdfs/GMD-1814-167.pdf#page=7","Abrir facsímil")</f>
        <v>Abrir facsímil</v>
      </c>
      <c r="K1841" s="3" t="s">
        <v>64</v>
      </c>
    </row>
    <row r="1842" spans="1:11" ht="42" customHeight="1">
      <c r="A1842" s="2" t="s">
        <v>4492</v>
      </c>
      <c r="B1842" s="2" t="s">
        <v>4492</v>
      </c>
      <c r="C1842" s="2" t="s">
        <v>38</v>
      </c>
      <c r="D1842" s="2" t="s">
        <v>39</v>
      </c>
      <c r="E1842" s="5">
        <v>-31259</v>
      </c>
      <c r="F1842" s="3" t="s">
        <v>853</v>
      </c>
      <c r="G1842" s="3" t="s">
        <v>1732</v>
      </c>
      <c r="H1842" s="2" t="s">
        <v>62</v>
      </c>
      <c r="I1842" s="2" t="s">
        <v>4493</v>
      </c>
      <c r="J1842" s="3" t="str">
        <f>HYPERLINK("https://www.boe.es/gazeta/dias/1814/05/31/pdfs/GMD-1814-79.pdf#page=5","Abrir facsímil")</f>
        <v>Abrir facsímil</v>
      </c>
      <c r="K1842" s="3" t="s">
        <v>64</v>
      </c>
    </row>
    <row r="1843" spans="1:11" ht="42" customHeight="1">
      <c r="A1843" s="2" t="s">
        <v>4494</v>
      </c>
      <c r="B1843" s="2" t="s">
        <v>4494</v>
      </c>
      <c r="C1843" s="2" t="s">
        <v>26</v>
      </c>
      <c r="D1843" s="2" t="s">
        <v>27</v>
      </c>
      <c r="E1843" s="5">
        <v>-31318</v>
      </c>
      <c r="F1843" s="3" t="s">
        <v>400</v>
      </c>
      <c r="G1843" s="3" t="s">
        <v>20</v>
      </c>
      <c r="H1843" s="2" t="s">
        <v>62</v>
      </c>
      <c r="I1843" s="2" t="s">
        <v>4495</v>
      </c>
      <c r="J1843" s="3" t="str">
        <f>HYPERLINK("https://www.boe.es/gazeta/dias/1814/04/02/pdfs/GRE-1814-47.pdf#page=7","Abrir facsímil")</f>
        <v>Abrir facsímil</v>
      </c>
      <c r="K1843" s="3" t="s">
        <v>64</v>
      </c>
    </row>
    <row r="1844" spans="1:11" ht="42" customHeight="1">
      <c r="A1844" s="2" t="s">
        <v>4494</v>
      </c>
      <c r="B1844" s="2" t="s">
        <v>4494</v>
      </c>
      <c r="C1844" s="2" t="s">
        <v>45</v>
      </c>
      <c r="D1844" s="2" t="s">
        <v>18</v>
      </c>
      <c r="E1844" s="5">
        <v>-31173</v>
      </c>
      <c r="F1844" s="3" t="s">
        <v>46</v>
      </c>
      <c r="G1844" s="3" t="s">
        <v>20</v>
      </c>
      <c r="H1844" s="2" t="s">
        <v>62</v>
      </c>
      <c r="I1844" s="2" t="s">
        <v>4496</v>
      </c>
      <c r="J1844" s="3" t="str">
        <f>HYPERLINK("https://www.boe.es/gazeta/dias/1814/08/25/pdfs/GMD-1814-116.pdf#page=7","Abrir facsímil")</f>
        <v>Abrir facsímil</v>
      </c>
      <c r="K1844" s="3" t="s">
        <v>64</v>
      </c>
    </row>
    <row r="1845" spans="1:11" ht="42" customHeight="1">
      <c r="A1845" s="2" t="s">
        <v>4497</v>
      </c>
      <c r="B1845" s="2" t="s">
        <v>4498</v>
      </c>
      <c r="C1845" s="2" t="s">
        <v>17</v>
      </c>
      <c r="D1845" s="2" t="s">
        <v>18</v>
      </c>
      <c r="E1845" s="5">
        <v>-31257</v>
      </c>
      <c r="F1845" s="3" t="s">
        <v>437</v>
      </c>
      <c r="G1845" s="3" t="s">
        <v>41</v>
      </c>
      <c r="H1845" s="2" t="s">
        <v>62</v>
      </c>
      <c r="I1845" s="2" t="s">
        <v>4499</v>
      </c>
      <c r="J1845" s="3" t="str">
        <f>HYPERLINK("https://www.boe.es/gazeta/dias/1814/06/02/pdfs/GMD-1814-80.pdf#page=4","Abrir facsímil")</f>
        <v>Abrir facsímil</v>
      </c>
      <c r="K1845" s="3" t="s">
        <v>64</v>
      </c>
    </row>
    <row r="1846" spans="1:11" ht="42" customHeight="1">
      <c r="A1846" s="2" t="s">
        <v>4500</v>
      </c>
      <c r="B1846" s="2" t="s">
        <v>4501</v>
      </c>
      <c r="C1846" s="2" t="s">
        <v>144</v>
      </c>
      <c r="D1846" s="2" t="s">
        <v>18</v>
      </c>
      <c r="E1846" s="5">
        <v>-31222</v>
      </c>
      <c r="F1846" s="3" t="s">
        <v>153</v>
      </c>
      <c r="G1846" s="3" t="s">
        <v>57</v>
      </c>
      <c r="H1846" s="2" t="s">
        <v>62</v>
      </c>
      <c r="I1846" s="2" t="s">
        <v>4502</v>
      </c>
      <c r="J1846" s="3" t="str">
        <f>HYPERLINK("https://www.boe.es/gazeta/dias/1814/07/07/pdfs/GMD-1814-95.pdf#page=6","Abrir facsímil")</f>
        <v>Abrir facsímil</v>
      </c>
      <c r="K1846" s="3" t="s">
        <v>64</v>
      </c>
    </row>
    <row r="1847" spans="1:11" ht="42" customHeight="1">
      <c r="A1847" s="2" t="s">
        <v>4503</v>
      </c>
      <c r="B1847" s="2" t="s">
        <v>4504</v>
      </c>
      <c r="C1847" s="2" t="s">
        <v>38</v>
      </c>
      <c r="D1847" s="2" t="s">
        <v>39</v>
      </c>
      <c r="E1847" s="5">
        <v>-31189</v>
      </c>
      <c r="F1847" s="3" t="s">
        <v>379</v>
      </c>
      <c r="G1847" s="3" t="s">
        <v>4505</v>
      </c>
      <c r="H1847" s="2" t="s">
        <v>62</v>
      </c>
      <c r="I1847" s="2" t="s">
        <v>4506</v>
      </c>
      <c r="J1847" s="3" t="str">
        <f>HYPERLINK("https://www.boe.es/gazeta/dias/1814/08/09/pdfs/GMD-1814-109.pdf#page=4","Abrir facsímil")</f>
        <v>Abrir facsímil</v>
      </c>
      <c r="K1847" s="3" t="s">
        <v>64</v>
      </c>
    </row>
    <row r="1848" spans="1:11" ht="42" customHeight="1">
      <c r="A1848" s="2" t="s">
        <v>4507</v>
      </c>
      <c r="B1848" s="2" t="s">
        <v>4508</v>
      </c>
      <c r="C1848" s="2" t="s">
        <v>45</v>
      </c>
      <c r="D1848" s="2" t="s">
        <v>18</v>
      </c>
      <c r="E1848" s="5">
        <v>-31189</v>
      </c>
      <c r="F1848" s="3" t="s">
        <v>379</v>
      </c>
      <c r="G1848" s="3" t="s">
        <v>52</v>
      </c>
      <c r="H1848" s="2" t="s">
        <v>62</v>
      </c>
      <c r="I1848" s="2" t="s">
        <v>4509</v>
      </c>
      <c r="J1848" s="3" t="str">
        <f>HYPERLINK("https://www.boe.es/gazeta/dias/1814/08/09/pdfs/GMD-1814-109.pdf#page=8","Abrir facsímil")</f>
        <v>Abrir facsímil</v>
      </c>
      <c r="K1848" s="3" t="s">
        <v>64</v>
      </c>
    </row>
    <row r="1849" spans="1:11" ht="42" customHeight="1">
      <c r="A1849" s="2" t="s">
        <v>4507</v>
      </c>
      <c r="B1849" s="2" t="s">
        <v>4508</v>
      </c>
      <c r="C1849" s="2" t="s">
        <v>309</v>
      </c>
      <c r="D1849" s="2" t="s">
        <v>18</v>
      </c>
      <c r="E1849" s="5">
        <v>-31129</v>
      </c>
      <c r="F1849" s="3" t="s">
        <v>418</v>
      </c>
      <c r="G1849" s="3" t="s">
        <v>82</v>
      </c>
      <c r="H1849" s="2" t="s">
        <v>62</v>
      </c>
      <c r="I1849" s="2" t="s">
        <v>4510</v>
      </c>
      <c r="J1849" s="3" t="str">
        <f>HYPERLINK("https://www.boe.es/gazeta/dias/1814/10/08/pdfs/GMD-1814-136.pdf#page=3","Abrir facsímil")</f>
        <v>Abrir facsímil</v>
      </c>
      <c r="K1849" s="3" t="s">
        <v>64</v>
      </c>
    </row>
    <row r="1850" spans="1:11" ht="42" customHeight="1">
      <c r="A1850" s="2" t="s">
        <v>4511</v>
      </c>
      <c r="B1850" s="2" t="s">
        <v>4511</v>
      </c>
      <c r="C1850" s="2" t="s">
        <v>26</v>
      </c>
      <c r="D1850" s="2" t="s">
        <v>27</v>
      </c>
      <c r="E1850" s="5">
        <v>-31357</v>
      </c>
      <c r="F1850" s="3" t="s">
        <v>1460</v>
      </c>
      <c r="G1850" s="3" t="s">
        <v>41</v>
      </c>
      <c r="H1850" s="2" t="s">
        <v>62</v>
      </c>
      <c r="I1850" s="2" t="s">
        <v>4512</v>
      </c>
      <c r="J1850" s="3" t="str">
        <f>HYPERLINK("https://www.boe.es/gazeta/dias/1814/02/22/pdfs/GRE-1814-25.pdf#page=4","Abrir facsímil")</f>
        <v>Abrir facsímil</v>
      </c>
      <c r="K1850" s="3" t="s">
        <v>64</v>
      </c>
    </row>
    <row r="1851" spans="1:11" ht="42" customHeight="1">
      <c r="A1851" s="2" t="s">
        <v>4513</v>
      </c>
      <c r="B1851" s="2" t="s">
        <v>4513</v>
      </c>
      <c r="C1851" s="2" t="s">
        <v>17</v>
      </c>
      <c r="D1851" s="2" t="s">
        <v>18</v>
      </c>
      <c r="E1851" s="5">
        <v>-31068</v>
      </c>
      <c r="F1851" s="3" t="s">
        <v>548</v>
      </c>
      <c r="G1851" s="3" t="s">
        <v>20</v>
      </c>
      <c r="H1851" s="2" t="s">
        <v>62</v>
      </c>
      <c r="I1851" s="2" t="s">
        <v>4514</v>
      </c>
      <c r="J1851" s="3" t="str">
        <f>HYPERLINK("https://www.boe.es/gazeta/dias/1814/12/08/pdfs/GMD-1814-162.pdf#page=7","Abrir facsímil")</f>
        <v>Abrir facsímil</v>
      </c>
      <c r="K1851" s="3" t="s">
        <v>64</v>
      </c>
    </row>
    <row r="1852" spans="1:11" ht="42" customHeight="1">
      <c r="A1852" s="2" t="s">
        <v>4515</v>
      </c>
      <c r="B1852" s="2" t="s">
        <v>4515</v>
      </c>
      <c r="C1852" s="2" t="s">
        <v>38</v>
      </c>
      <c r="D1852" s="2" t="s">
        <v>39</v>
      </c>
      <c r="E1852" s="5">
        <v>-31133</v>
      </c>
      <c r="F1852" s="3" t="s">
        <v>184</v>
      </c>
      <c r="G1852" s="3" t="s">
        <v>20</v>
      </c>
      <c r="H1852" s="2" t="s">
        <v>62</v>
      </c>
      <c r="I1852" s="2" t="s">
        <v>4516</v>
      </c>
      <c r="J1852" s="3" t="str">
        <f>HYPERLINK("https://www.boe.es/gazeta/dias/1814/10/04/pdfs/GMD-1814-134.pdf#page=7","Abrir facsímil")</f>
        <v>Abrir facsímil</v>
      </c>
      <c r="K1852" s="3" t="s">
        <v>64</v>
      </c>
    </row>
    <row r="1853" spans="1:11" ht="42" customHeight="1">
      <c r="A1853" s="2" t="s">
        <v>4517</v>
      </c>
      <c r="B1853" s="2" t="s">
        <v>4517</v>
      </c>
      <c r="C1853" s="2" t="s">
        <v>309</v>
      </c>
      <c r="D1853" s="2" t="s">
        <v>18</v>
      </c>
      <c r="E1853" s="5">
        <v>-31357</v>
      </c>
      <c r="F1853" s="3" t="s">
        <v>1460</v>
      </c>
      <c r="G1853" s="3" t="s">
        <v>99</v>
      </c>
      <c r="H1853" s="2" t="s">
        <v>62</v>
      </c>
      <c r="I1853" s="2" t="s">
        <v>4518</v>
      </c>
      <c r="J1853" s="3" t="str">
        <f>HYPERLINK("https://www.boe.es/gazeta/dias/1814/02/22/pdfs/GRE-1814-25.pdf#page=5","Abrir facsímil")</f>
        <v>Abrir facsímil</v>
      </c>
      <c r="K1853" s="3" t="s">
        <v>64</v>
      </c>
    </row>
    <row r="1854" spans="1:11" ht="42" customHeight="1">
      <c r="A1854" s="2" t="s">
        <v>4517</v>
      </c>
      <c r="B1854" s="2" t="s">
        <v>4517</v>
      </c>
      <c r="C1854" s="2" t="s">
        <v>38</v>
      </c>
      <c r="D1854" s="2" t="s">
        <v>314</v>
      </c>
      <c r="E1854" s="5">
        <v>-31342</v>
      </c>
      <c r="F1854" s="3" t="s">
        <v>4519</v>
      </c>
      <c r="G1854" s="3" t="s">
        <v>107</v>
      </c>
      <c r="H1854" s="2" t="s">
        <v>62</v>
      </c>
      <c r="I1854" s="2" t="s">
        <v>4520</v>
      </c>
      <c r="J1854" s="3" t="str">
        <f>HYPERLINK("https://www.boe.es/gazeta/dias/1814/03/09/pdfs/GRE-1814-32E.pdf#page=1","Abrir facsímil")</f>
        <v>Abrir facsímil</v>
      </c>
      <c r="K1854" s="3" t="s">
        <v>64</v>
      </c>
    </row>
    <row r="1855" spans="1:11" ht="42" customHeight="1">
      <c r="A1855" s="2" t="s">
        <v>4517</v>
      </c>
      <c r="B1855" s="2" t="s">
        <v>4517</v>
      </c>
      <c r="C1855" s="2" t="s">
        <v>17</v>
      </c>
      <c r="D1855" s="2" t="s">
        <v>18</v>
      </c>
      <c r="E1855" s="5">
        <v>-31304</v>
      </c>
      <c r="F1855" s="3" t="s">
        <v>1964</v>
      </c>
      <c r="G1855" s="3" t="s">
        <v>99</v>
      </c>
      <c r="H1855" s="2" t="s">
        <v>62</v>
      </c>
      <c r="I1855" s="2" t="s">
        <v>4521</v>
      </c>
      <c r="J1855" s="3" t="str">
        <f>HYPERLINK("https://www.boe.es/gazeta/dias/1814/04/16/pdfs/GRE-1814-55.pdf#page=5","Abrir facsímil")</f>
        <v>Abrir facsímil</v>
      </c>
      <c r="K1855" s="3" t="s">
        <v>64</v>
      </c>
    </row>
    <row r="1856" spans="1:11" ht="42" customHeight="1">
      <c r="A1856" s="2" t="s">
        <v>4517</v>
      </c>
      <c r="B1856" s="2" t="s">
        <v>4517</v>
      </c>
      <c r="C1856" s="2" t="s">
        <v>17</v>
      </c>
      <c r="D1856" s="2" t="s">
        <v>18</v>
      </c>
      <c r="E1856" s="5">
        <v>-31285</v>
      </c>
      <c r="F1856" s="3" t="s">
        <v>1141</v>
      </c>
      <c r="G1856" s="3" t="s">
        <v>57</v>
      </c>
      <c r="H1856" s="2" t="s">
        <v>62</v>
      </c>
      <c r="I1856" s="2" t="s">
        <v>4522</v>
      </c>
      <c r="J1856" s="3" t="str">
        <f>HYPERLINK("https://www.boe.es/gazeta/dias/1814/05/05/pdfs/GRE-1814-66.pdf#page=6","Abrir facsímil")</f>
        <v>Abrir facsímil</v>
      </c>
      <c r="K1856" s="3" t="s">
        <v>64</v>
      </c>
    </row>
    <row r="1857" spans="1:11" ht="42" customHeight="1">
      <c r="A1857" s="2" t="s">
        <v>4517</v>
      </c>
      <c r="B1857" s="2" t="s">
        <v>4517</v>
      </c>
      <c r="C1857" s="2" t="s">
        <v>38</v>
      </c>
      <c r="D1857" s="2" t="s">
        <v>39</v>
      </c>
      <c r="E1857" s="5">
        <v>-31252</v>
      </c>
      <c r="F1857" s="3" t="s">
        <v>364</v>
      </c>
      <c r="G1857" s="3" t="s">
        <v>57</v>
      </c>
      <c r="H1857" s="2" t="s">
        <v>62</v>
      </c>
      <c r="I1857" s="2" t="s">
        <v>4523</v>
      </c>
      <c r="J1857" s="3" t="str">
        <f>HYPERLINK("https://www.boe.es/gazeta/dias/1814/06/07/pdfs/GMD-1814-82.pdf#page=6","Abrir facsímil")</f>
        <v>Abrir facsímil</v>
      </c>
      <c r="K1857" s="3" t="s">
        <v>64</v>
      </c>
    </row>
    <row r="1858" spans="1:11" ht="42" customHeight="1">
      <c r="A1858" s="2" t="s">
        <v>4517</v>
      </c>
      <c r="B1858" s="2" t="s">
        <v>4517</v>
      </c>
      <c r="C1858" s="2" t="s">
        <v>26</v>
      </c>
      <c r="D1858" s="2" t="s">
        <v>27</v>
      </c>
      <c r="E1858" s="5">
        <v>-31157</v>
      </c>
      <c r="F1858" s="3" t="s">
        <v>206</v>
      </c>
      <c r="G1858" s="3" t="s">
        <v>1072</v>
      </c>
      <c r="H1858" s="2" t="s">
        <v>62</v>
      </c>
      <c r="I1858" s="2" t="s">
        <v>4524</v>
      </c>
      <c r="J1858" s="3" t="str">
        <f>HYPERLINK("https://www.boe.es/gazeta/dias/1814/09/10/pdfs/GMD-1814-124.pdf#page=7","Abrir facsímil")</f>
        <v>Abrir facsímil</v>
      </c>
      <c r="K1858" s="3" t="s">
        <v>64</v>
      </c>
    </row>
    <row r="1859" spans="1:11" ht="42" customHeight="1">
      <c r="A1859" s="2" t="s">
        <v>4517</v>
      </c>
      <c r="B1859" s="2" t="s">
        <v>4517</v>
      </c>
      <c r="C1859" s="2" t="s">
        <v>144</v>
      </c>
      <c r="D1859" s="2" t="s">
        <v>18</v>
      </c>
      <c r="E1859" s="5">
        <v>-31105</v>
      </c>
      <c r="F1859" s="3" t="s">
        <v>61</v>
      </c>
      <c r="G1859" s="3" t="s">
        <v>4525</v>
      </c>
      <c r="H1859" s="2" t="s">
        <v>62</v>
      </c>
      <c r="I1859" s="2" t="s">
        <v>4526</v>
      </c>
      <c r="J1859" s="3" t="str">
        <f>HYPERLINK("https://www.boe.es/gazeta/dias/1814/11/01/pdfs/GMD-1814-146.pdf#page=4","Abrir facsímil")</f>
        <v>Abrir facsímil</v>
      </c>
      <c r="K1859" s="3" t="s">
        <v>64</v>
      </c>
    </row>
    <row r="1860" spans="1:11" ht="42" customHeight="1">
      <c r="A1860" s="2" t="s">
        <v>4517</v>
      </c>
      <c r="B1860" s="2" t="s">
        <v>4517</v>
      </c>
      <c r="C1860" s="2" t="s">
        <v>105</v>
      </c>
      <c r="D1860" s="2" t="s">
        <v>18</v>
      </c>
      <c r="E1860" s="5">
        <v>-31084</v>
      </c>
      <c r="F1860" s="3" t="s">
        <v>282</v>
      </c>
      <c r="G1860" s="3" t="s">
        <v>52</v>
      </c>
      <c r="H1860" s="2" t="s">
        <v>62</v>
      </c>
      <c r="I1860" s="2" t="s">
        <v>4527</v>
      </c>
      <c r="J1860" s="3" t="str">
        <f>HYPERLINK("https://www.boe.es/gazeta/dias/1814/11/22/pdfs/GMD-1814-155.pdf#page=8","Abrir facsímil")</f>
        <v>Abrir facsímil</v>
      </c>
      <c r="K1860" s="3" t="s">
        <v>64</v>
      </c>
    </row>
    <row r="1861" spans="1:11" ht="42" customHeight="1">
      <c r="A1861" s="2" t="s">
        <v>4517</v>
      </c>
      <c r="B1861" s="2" t="s">
        <v>4517</v>
      </c>
      <c r="C1861" s="2" t="s">
        <v>38</v>
      </c>
      <c r="D1861" s="2" t="s">
        <v>39</v>
      </c>
      <c r="E1861" s="5">
        <v>-31077</v>
      </c>
      <c r="F1861" s="3" t="s">
        <v>414</v>
      </c>
      <c r="G1861" s="3" t="s">
        <v>82</v>
      </c>
      <c r="H1861" s="2" t="s">
        <v>62</v>
      </c>
      <c r="I1861" s="2" t="s">
        <v>4528</v>
      </c>
      <c r="J1861" s="3" t="str">
        <f>HYPERLINK("https://www.boe.es/gazeta/dias/1814/11/29/pdfs/GMD-1814-158.pdf#page=3","Abrir facsímil")</f>
        <v>Abrir facsímil</v>
      </c>
      <c r="K1861" s="3" t="s">
        <v>64</v>
      </c>
    </row>
    <row r="1862" spans="1:11" ht="42" customHeight="1">
      <c r="A1862" s="2" t="s">
        <v>4529</v>
      </c>
      <c r="B1862" s="2" t="s">
        <v>4530</v>
      </c>
      <c r="C1862" s="2" t="s">
        <v>38</v>
      </c>
      <c r="D1862" s="2" t="s">
        <v>39</v>
      </c>
      <c r="E1862" s="5">
        <v>-31182</v>
      </c>
      <c r="F1862" s="3" t="s">
        <v>19</v>
      </c>
      <c r="G1862" s="3" t="s">
        <v>57</v>
      </c>
      <c r="H1862" s="2" t="s">
        <v>62</v>
      </c>
      <c r="I1862" s="2" t="s">
        <v>4531</v>
      </c>
      <c r="J1862" s="3" t="str">
        <f>HYPERLINK("https://www.boe.es/gazeta/dias/1814/08/16/pdfs/GMD-1814-112.pdf#page=6","Abrir facsímil")</f>
        <v>Abrir facsímil</v>
      </c>
      <c r="K1862" s="3" t="s">
        <v>64</v>
      </c>
    </row>
    <row r="1863" spans="1:11" ht="42" customHeight="1">
      <c r="A1863" s="2" t="s">
        <v>4532</v>
      </c>
      <c r="B1863" s="2" t="s">
        <v>4533</v>
      </c>
      <c r="C1863" s="2" t="s">
        <v>144</v>
      </c>
      <c r="D1863" s="2" t="s">
        <v>18</v>
      </c>
      <c r="E1863" s="5">
        <v>-31138</v>
      </c>
      <c r="F1863" s="3" t="s">
        <v>1363</v>
      </c>
      <c r="G1863" s="3" t="s">
        <v>52</v>
      </c>
      <c r="H1863" s="2" t="s">
        <v>62</v>
      </c>
      <c r="I1863" s="2" t="s">
        <v>4534</v>
      </c>
      <c r="J1863" s="3" t="str">
        <f>HYPERLINK("https://www.boe.es/gazeta/dias/1814/09/29/pdfs/GMD-1814-132.pdf#page=8","Abrir facsímil")</f>
        <v>Abrir facsímil</v>
      </c>
      <c r="K1863" s="3" t="s">
        <v>64</v>
      </c>
    </row>
    <row r="1864" spans="1:11" ht="42" customHeight="1">
      <c r="A1864" s="2" t="s">
        <v>4535</v>
      </c>
      <c r="B1864" s="2" t="s">
        <v>4536</v>
      </c>
      <c r="C1864" s="2" t="s">
        <v>38</v>
      </c>
      <c r="D1864" s="2" t="s">
        <v>39</v>
      </c>
      <c r="E1864" s="5">
        <v>-31341</v>
      </c>
      <c r="F1864" s="3" t="s">
        <v>360</v>
      </c>
      <c r="G1864" s="3" t="s">
        <v>20</v>
      </c>
      <c r="H1864" s="2" t="s">
        <v>62</v>
      </c>
      <c r="I1864" s="2" t="s">
        <v>4537</v>
      </c>
      <c r="J1864" s="3" t="str">
        <f>HYPERLINK("https://www.boe.es/gazeta/dias/1814/03/10/pdfs/GRE-1814-33.pdf#page=7","Abrir facsímil")</f>
        <v>Abrir facsímil</v>
      </c>
      <c r="K1864" s="3" t="s">
        <v>64</v>
      </c>
    </row>
    <row r="1865" spans="1:11" ht="42" customHeight="1">
      <c r="A1865" s="2" t="s">
        <v>4538</v>
      </c>
      <c r="B1865" s="2" t="s">
        <v>4538</v>
      </c>
      <c r="C1865" s="2" t="s">
        <v>32</v>
      </c>
      <c r="D1865" s="2" t="s">
        <v>314</v>
      </c>
      <c r="E1865" s="5">
        <v>-31165</v>
      </c>
      <c r="F1865" s="3" t="s">
        <v>2087</v>
      </c>
      <c r="G1865" s="3" t="s">
        <v>87</v>
      </c>
      <c r="H1865" s="2" t="s">
        <v>62</v>
      </c>
      <c r="I1865" s="2" t="s">
        <v>4539</v>
      </c>
      <c r="J1865" s="3" t="str">
        <f>HYPERLINK("https://www.boe.es/gazeta/dias/1814/09/02/pdfs/GMD-1814-120E.pdf#page=2","Abrir facsímil")</f>
        <v>Abrir facsímil</v>
      </c>
      <c r="K1865" s="3" t="s">
        <v>64</v>
      </c>
    </row>
    <row r="1866" spans="1:11" ht="42" customHeight="1">
      <c r="A1866" s="2" t="s">
        <v>4540</v>
      </c>
      <c r="B1866" s="2" t="s">
        <v>4541</v>
      </c>
      <c r="C1866" s="2" t="s">
        <v>26</v>
      </c>
      <c r="D1866" s="2" t="s">
        <v>27</v>
      </c>
      <c r="E1866" s="5">
        <v>-31250</v>
      </c>
      <c r="F1866" s="3" t="s">
        <v>177</v>
      </c>
      <c r="G1866" s="3" t="s">
        <v>99</v>
      </c>
      <c r="H1866" s="2" t="s">
        <v>62</v>
      </c>
      <c r="I1866" s="2" t="s">
        <v>4542</v>
      </c>
      <c r="J1866" s="3" t="str">
        <f>HYPERLINK("https://www.boe.es/gazeta/dias/1814/06/09/pdfs/GMD-1814-83.pdf#page=5","Abrir facsímil")</f>
        <v>Abrir facsímil</v>
      </c>
      <c r="K1866" s="3" t="s">
        <v>64</v>
      </c>
    </row>
    <row r="1867" spans="1:11" ht="42" customHeight="1">
      <c r="A1867" s="2" t="s">
        <v>4543</v>
      </c>
      <c r="B1867" s="2" t="s">
        <v>4544</v>
      </c>
      <c r="C1867" s="2" t="s">
        <v>144</v>
      </c>
      <c r="D1867" s="2" t="s">
        <v>18</v>
      </c>
      <c r="E1867" s="5">
        <v>-31364</v>
      </c>
      <c r="F1867" s="3" t="s">
        <v>594</v>
      </c>
      <c r="G1867" s="3" t="s">
        <v>52</v>
      </c>
      <c r="H1867" s="2" t="s">
        <v>62</v>
      </c>
      <c r="I1867" s="2" t="s">
        <v>4545</v>
      </c>
      <c r="J1867" s="3" t="str">
        <f>HYPERLINK("https://www.boe.es/gazeta/dias/1814/02/15/pdfs/GRE-1814-21.pdf#page=8","Abrir facsímil")</f>
        <v>Abrir facsímil</v>
      </c>
      <c r="K1867" s="3" t="s">
        <v>64</v>
      </c>
    </row>
    <row r="1868" spans="1:11" ht="42" customHeight="1">
      <c r="A1868" s="2" t="s">
        <v>4546</v>
      </c>
      <c r="B1868" s="2" t="s">
        <v>4547</v>
      </c>
      <c r="C1868" s="2" t="s">
        <v>45</v>
      </c>
      <c r="D1868" s="2" t="s">
        <v>18</v>
      </c>
      <c r="E1868" s="5">
        <v>-31206</v>
      </c>
      <c r="F1868" s="3" t="s">
        <v>1196</v>
      </c>
      <c r="G1868" s="3" t="s">
        <v>20</v>
      </c>
      <c r="H1868" s="2" t="s">
        <v>62</v>
      </c>
      <c r="I1868" s="2" t="s">
        <v>4548</v>
      </c>
      <c r="J1868" s="3" t="str">
        <f>HYPERLINK("https://www.boe.es/gazeta/dias/1814/07/23/pdfs/GMD-1814-102.pdf#page=7","Abrir facsímil")</f>
        <v>Abrir facsímil</v>
      </c>
      <c r="K1868" s="3" t="s">
        <v>64</v>
      </c>
    </row>
    <row r="1869" spans="1:11" ht="42" customHeight="1">
      <c r="A1869" s="2" t="s">
        <v>4549</v>
      </c>
      <c r="B1869" s="2" t="s">
        <v>4550</v>
      </c>
      <c r="C1869" s="2" t="s">
        <v>17</v>
      </c>
      <c r="D1869" s="2" t="s">
        <v>18</v>
      </c>
      <c r="E1869" s="5">
        <v>-31154</v>
      </c>
      <c r="F1869" s="3" t="s">
        <v>688</v>
      </c>
      <c r="G1869" s="3" t="s">
        <v>831</v>
      </c>
      <c r="H1869" s="2" t="s">
        <v>62</v>
      </c>
      <c r="I1869" s="2" t="s">
        <v>4551</v>
      </c>
      <c r="J1869" s="3" t="str">
        <f>HYPERLINK("https://www.boe.es/gazeta/dias/1814/09/13/pdfs/GMD-1814-125.pdf#page=3","Abrir facsímil")</f>
        <v>Abrir facsímil</v>
      </c>
      <c r="K1869" s="3" t="s">
        <v>64</v>
      </c>
    </row>
    <row r="1870" spans="1:11" ht="42" customHeight="1">
      <c r="A1870" s="2" t="s">
        <v>4552</v>
      </c>
      <c r="B1870" s="2" t="s">
        <v>4553</v>
      </c>
      <c r="C1870" s="2" t="s">
        <v>26</v>
      </c>
      <c r="D1870" s="2" t="s">
        <v>27</v>
      </c>
      <c r="E1870" s="5">
        <v>-31164</v>
      </c>
      <c r="F1870" s="3" t="s">
        <v>1423</v>
      </c>
      <c r="G1870" s="3" t="s">
        <v>57</v>
      </c>
      <c r="H1870" s="2" t="s">
        <v>62</v>
      </c>
      <c r="I1870" s="2" t="s">
        <v>4554</v>
      </c>
      <c r="J1870" s="3" t="str">
        <f>HYPERLINK("https://www.boe.es/gazeta/dias/1814/09/03/pdfs/GMD-1814-121.pdf#page=6","Abrir facsímil")</f>
        <v>Abrir facsímil</v>
      </c>
      <c r="K1870" s="3" t="s">
        <v>64</v>
      </c>
    </row>
    <row r="1871" spans="1:11" ht="42" customHeight="1">
      <c r="A1871" s="2" t="s">
        <v>4555</v>
      </c>
      <c r="B1871" s="2" t="s">
        <v>4556</v>
      </c>
      <c r="C1871" s="2" t="s">
        <v>38</v>
      </c>
      <c r="D1871" s="2" t="s">
        <v>39</v>
      </c>
      <c r="E1871" s="5">
        <v>-31299</v>
      </c>
      <c r="F1871" s="3" t="s">
        <v>71</v>
      </c>
      <c r="G1871" s="3" t="s">
        <v>52</v>
      </c>
      <c r="H1871" s="2" t="s">
        <v>62</v>
      </c>
      <c r="I1871" s="2" t="s">
        <v>4557</v>
      </c>
      <c r="J1871" s="3" t="str">
        <f>HYPERLINK("https://www.boe.es/gazeta/dias/1814/04/21/pdfs/GRE-1814-57.pdf#page=8","Abrir facsímil")</f>
        <v>Abrir facsímil</v>
      </c>
      <c r="K1871" s="3" t="s">
        <v>64</v>
      </c>
    </row>
    <row r="1872" spans="1:11" ht="42" customHeight="1">
      <c r="A1872" s="2" t="s">
        <v>4558</v>
      </c>
      <c r="B1872" s="2" t="s">
        <v>4559</v>
      </c>
      <c r="C1872" s="2" t="s">
        <v>45</v>
      </c>
      <c r="D1872" s="2" t="s">
        <v>18</v>
      </c>
      <c r="E1872" s="5">
        <v>-31131</v>
      </c>
      <c r="F1872" s="3" t="s">
        <v>132</v>
      </c>
      <c r="G1872" s="3" t="s">
        <v>20</v>
      </c>
      <c r="H1872" s="2" t="s">
        <v>62</v>
      </c>
      <c r="I1872" s="2" t="s">
        <v>4560</v>
      </c>
      <c r="J1872" s="3" t="str">
        <f>HYPERLINK("https://www.boe.es/gazeta/dias/1814/10/06/pdfs/GMD-1814-135.pdf#page=7","Abrir facsímil")</f>
        <v>Abrir facsímil</v>
      </c>
      <c r="K1872" s="3" t="s">
        <v>64</v>
      </c>
    </row>
    <row r="1873" spans="1:11" ht="42" customHeight="1">
      <c r="A1873" s="2" t="s">
        <v>4561</v>
      </c>
      <c r="B1873" s="2" t="s">
        <v>4562</v>
      </c>
      <c r="C1873" s="2" t="s">
        <v>38</v>
      </c>
      <c r="D1873" s="2" t="s">
        <v>39</v>
      </c>
      <c r="E1873" s="5">
        <v>-31122</v>
      </c>
      <c r="F1873" s="3" t="s">
        <v>28</v>
      </c>
      <c r="G1873" s="3" t="s">
        <v>20</v>
      </c>
      <c r="H1873" s="2" t="s">
        <v>62</v>
      </c>
      <c r="I1873" s="2" t="s">
        <v>4563</v>
      </c>
      <c r="J1873" s="3" t="str">
        <f>HYPERLINK("https://www.boe.es/gazeta/dias/1814/10/15/pdfs/GMD-1814-139.pdf#page=7","Abrir facsímil")</f>
        <v>Abrir facsímil</v>
      </c>
      <c r="K1873" s="3" t="s">
        <v>64</v>
      </c>
    </row>
    <row r="1874" spans="1:11" ht="42" customHeight="1">
      <c r="A1874" s="2" t="s">
        <v>4564</v>
      </c>
      <c r="B1874" s="2" t="s">
        <v>4565</v>
      </c>
      <c r="C1874" s="2" t="s">
        <v>26</v>
      </c>
      <c r="D1874" s="2" t="s">
        <v>27</v>
      </c>
      <c r="E1874" s="5">
        <v>-31152</v>
      </c>
      <c r="F1874" s="3" t="s">
        <v>199</v>
      </c>
      <c r="G1874" s="3" t="s">
        <v>82</v>
      </c>
      <c r="H1874" s="2" t="s">
        <v>62</v>
      </c>
      <c r="I1874" s="2" t="s">
        <v>4566</v>
      </c>
      <c r="J1874" s="3" t="str">
        <f>HYPERLINK("https://www.boe.es/gazeta/dias/1814/09/15/pdfs/GMD-1814-126.pdf#page=3","Abrir facsímil")</f>
        <v>Abrir facsímil</v>
      </c>
      <c r="K1874" s="3" t="s">
        <v>64</v>
      </c>
    </row>
    <row r="1875" spans="1:11" ht="42" customHeight="1">
      <c r="A1875" s="2" t="s">
        <v>4567</v>
      </c>
      <c r="B1875" s="2" t="s">
        <v>4568</v>
      </c>
      <c r="C1875" s="2" t="s">
        <v>144</v>
      </c>
      <c r="D1875" s="2" t="s">
        <v>18</v>
      </c>
      <c r="E1875" s="5">
        <v>-31154</v>
      </c>
      <c r="F1875" s="3" t="s">
        <v>688</v>
      </c>
      <c r="G1875" s="3" t="s">
        <v>52</v>
      </c>
      <c r="H1875" s="2" t="s">
        <v>62</v>
      </c>
      <c r="I1875" s="2" t="s">
        <v>4569</v>
      </c>
      <c r="J1875" s="3" t="str">
        <f>HYPERLINK("https://www.boe.es/gazeta/dias/1814/09/13/pdfs/GMD-1814-125.pdf#page=8","Abrir facsímil")</f>
        <v>Abrir facsímil</v>
      </c>
      <c r="K1875" s="3" t="s">
        <v>64</v>
      </c>
    </row>
    <row r="1876" spans="1:11" ht="42" customHeight="1">
      <c r="A1876" s="2" t="s">
        <v>4570</v>
      </c>
      <c r="B1876" s="2" t="s">
        <v>4571</v>
      </c>
      <c r="C1876" s="2" t="s">
        <v>26</v>
      </c>
      <c r="D1876" s="2" t="s">
        <v>27</v>
      </c>
      <c r="E1876" s="5">
        <v>-31185</v>
      </c>
      <c r="F1876" s="3" t="s">
        <v>1238</v>
      </c>
      <c r="G1876" s="3" t="s">
        <v>52</v>
      </c>
      <c r="H1876" s="2" t="s">
        <v>62</v>
      </c>
      <c r="I1876" s="2" t="s">
        <v>4572</v>
      </c>
      <c r="J1876" s="3" t="str">
        <f>HYPERLINK("https://www.boe.es/gazeta/dias/1814/08/13/pdfs/GMD-1814-111.pdf#page=8","Abrir facsímil")</f>
        <v>Abrir facsímil</v>
      </c>
      <c r="K1876" s="3" t="s">
        <v>64</v>
      </c>
    </row>
    <row r="1877" spans="1:11" ht="42" customHeight="1">
      <c r="A1877" s="2" t="s">
        <v>4573</v>
      </c>
      <c r="B1877" s="2" t="s">
        <v>4574</v>
      </c>
      <c r="C1877" s="2" t="s">
        <v>38</v>
      </c>
      <c r="D1877" s="2" t="s">
        <v>314</v>
      </c>
      <c r="E1877" s="5">
        <v>-31296</v>
      </c>
      <c r="F1877" s="3" t="s">
        <v>315</v>
      </c>
      <c r="G1877" s="3" t="s">
        <v>20</v>
      </c>
      <c r="H1877" s="2" t="s">
        <v>62</v>
      </c>
      <c r="I1877" s="2" t="s">
        <v>4575</v>
      </c>
      <c r="J1877" s="3" t="str">
        <f>HYPERLINK("https://www.boe.es/gazeta/dias/1814/04/24/pdfs/GRE-1814-60E.pdf#page=7","Abrir facsímil")</f>
        <v>Abrir facsímil</v>
      </c>
      <c r="K1877" s="3" t="s">
        <v>64</v>
      </c>
    </row>
    <row r="1878" spans="1:11" ht="42" customHeight="1">
      <c r="A1878" s="2" t="s">
        <v>4576</v>
      </c>
      <c r="B1878" s="2" t="s">
        <v>4577</v>
      </c>
      <c r="C1878" s="2" t="s">
        <v>38</v>
      </c>
      <c r="D1878" s="2" t="s">
        <v>39</v>
      </c>
      <c r="E1878" s="5">
        <v>-31124</v>
      </c>
      <c r="F1878" s="3" t="s">
        <v>383</v>
      </c>
      <c r="G1878" s="3" t="s">
        <v>574</v>
      </c>
      <c r="H1878" s="2" t="s">
        <v>62</v>
      </c>
      <c r="I1878" s="2" t="s">
        <v>4578</v>
      </c>
      <c r="J1878" s="3" t="str">
        <f>HYPERLINK("https://www.boe.es/gazeta/dias/1814/10/13/pdfs/GMD-1814-138.pdf#page=10","Abrir facsímil")</f>
        <v>Abrir facsímil</v>
      </c>
      <c r="K1878" s="3" t="s">
        <v>64</v>
      </c>
    </row>
    <row r="1879" spans="1:11" ht="42" customHeight="1">
      <c r="A1879" s="2" t="s">
        <v>4579</v>
      </c>
      <c r="B1879" s="2" t="s">
        <v>4580</v>
      </c>
      <c r="C1879" s="2" t="s">
        <v>38</v>
      </c>
      <c r="D1879" s="2" t="s">
        <v>39</v>
      </c>
      <c r="E1879" s="5">
        <v>-31094</v>
      </c>
      <c r="F1879" s="3" t="s">
        <v>761</v>
      </c>
      <c r="G1879" s="3" t="s">
        <v>52</v>
      </c>
      <c r="H1879" s="2" t="s">
        <v>62</v>
      </c>
      <c r="I1879" s="2" t="s">
        <v>4581</v>
      </c>
      <c r="J1879" s="3" t="str">
        <f>HYPERLINK("https://www.boe.es/gazeta/dias/1814/11/12/pdfs/GMD-1814-151.pdf#page=8","Abrir facsímil")</f>
        <v>Abrir facsímil</v>
      </c>
      <c r="K1879" s="3" t="s">
        <v>64</v>
      </c>
    </row>
    <row r="1880" spans="1:11" ht="42" customHeight="1">
      <c r="A1880" s="2" t="s">
        <v>4582</v>
      </c>
      <c r="B1880" s="2" t="s">
        <v>4583</v>
      </c>
      <c r="C1880" s="2" t="s">
        <v>38</v>
      </c>
      <c r="D1880" s="2" t="s">
        <v>39</v>
      </c>
      <c r="E1880" s="5">
        <v>-31248</v>
      </c>
      <c r="F1880" s="3" t="s">
        <v>1123</v>
      </c>
      <c r="G1880" s="3" t="s">
        <v>1127</v>
      </c>
      <c r="H1880" s="2" t="s">
        <v>62</v>
      </c>
      <c r="I1880" s="2" t="s">
        <v>4584</v>
      </c>
      <c r="J1880" s="3" t="str">
        <f>HYPERLINK("https://www.boe.es/gazeta/dias/1814/06/11/pdfs/GMD-1814-84.pdf#page=4","Abrir facsímil")</f>
        <v>Abrir facsímil</v>
      </c>
      <c r="K1880" s="3" t="s">
        <v>64</v>
      </c>
    </row>
    <row r="1881" spans="1:11" ht="42" customHeight="1">
      <c r="A1881" s="2" t="s">
        <v>4582</v>
      </c>
      <c r="B1881" s="2" t="s">
        <v>4583</v>
      </c>
      <c r="C1881" s="2" t="s">
        <v>38</v>
      </c>
      <c r="D1881" s="2" t="s">
        <v>39</v>
      </c>
      <c r="E1881" s="5">
        <v>-31248</v>
      </c>
      <c r="F1881" s="3" t="s">
        <v>1123</v>
      </c>
      <c r="G1881" s="3" t="s">
        <v>99</v>
      </c>
      <c r="H1881" s="2" t="s">
        <v>62</v>
      </c>
      <c r="I1881" s="2" t="s">
        <v>4585</v>
      </c>
      <c r="J1881" s="3" t="str">
        <f>HYPERLINK("https://www.boe.es/gazeta/dias/1814/06/11/pdfs/GMD-1814-84.pdf#page=5","Abrir facsímil")</f>
        <v>Abrir facsímil</v>
      </c>
      <c r="K1881" s="3" t="s">
        <v>64</v>
      </c>
    </row>
    <row r="1882" spans="1:11" ht="42" customHeight="1">
      <c r="A1882" s="2" t="s">
        <v>4586</v>
      </c>
      <c r="B1882" s="2" t="s">
        <v>4586</v>
      </c>
      <c r="C1882" s="2" t="s">
        <v>38</v>
      </c>
      <c r="D1882" s="2" t="s">
        <v>314</v>
      </c>
      <c r="E1882" s="5">
        <v>-31404</v>
      </c>
      <c r="F1882" s="3" t="s">
        <v>4587</v>
      </c>
      <c r="G1882" s="3" t="s">
        <v>107</v>
      </c>
      <c r="H1882" s="2" t="s">
        <v>62</v>
      </c>
      <c r="I1882" s="2" t="s">
        <v>4588</v>
      </c>
      <c r="J1882" s="3" t="str">
        <f>HYPERLINK("https://www.boe.es/gazeta/dias/1814/01/06/pdfs/GRE-1814-4E.pdf#page=1","Abrir facsímil")</f>
        <v>Abrir facsímil</v>
      </c>
      <c r="K1882" s="3" t="s">
        <v>64</v>
      </c>
    </row>
    <row r="1883" spans="1:11" ht="42" customHeight="1">
      <c r="A1883" s="2" t="s">
        <v>4586</v>
      </c>
      <c r="B1883" s="2" t="s">
        <v>4586</v>
      </c>
      <c r="C1883" s="2" t="s">
        <v>17</v>
      </c>
      <c r="D1883" s="2" t="s">
        <v>314</v>
      </c>
      <c r="E1883" s="5">
        <v>-31404</v>
      </c>
      <c r="F1883" s="3" t="s">
        <v>4587</v>
      </c>
      <c r="G1883" s="3" t="s">
        <v>41</v>
      </c>
      <c r="H1883" s="2" t="s">
        <v>62</v>
      </c>
      <c r="I1883" s="2" t="s">
        <v>4589</v>
      </c>
      <c r="J1883" s="3" t="str">
        <f>HYPERLINK("https://www.boe.es/gazeta/dias/1814/01/06/pdfs/GRE-1814-4E.pdf#page=4","Abrir facsímil")</f>
        <v>Abrir facsímil</v>
      </c>
      <c r="K1883" s="3" t="s">
        <v>64</v>
      </c>
    </row>
    <row r="1884" spans="1:11" ht="42" customHeight="1">
      <c r="A1884" s="2" t="s">
        <v>4586</v>
      </c>
      <c r="B1884" s="2" t="s">
        <v>4586</v>
      </c>
      <c r="C1884" s="2" t="s">
        <v>38</v>
      </c>
      <c r="D1884" s="2" t="s">
        <v>39</v>
      </c>
      <c r="E1884" s="5">
        <v>-31390</v>
      </c>
      <c r="F1884" s="3" t="s">
        <v>349</v>
      </c>
      <c r="G1884" s="3" t="s">
        <v>4295</v>
      </c>
      <c r="H1884" s="2" t="s">
        <v>62</v>
      </c>
      <c r="I1884" s="2" t="s">
        <v>4590</v>
      </c>
      <c r="J1884" s="3" t="str">
        <f>HYPERLINK("https://www.boe.es/gazeta/dias/1814/01/20/pdfs/GRE-1814-10.pdf#page=6","Abrir facsímil")</f>
        <v>Abrir facsímil</v>
      </c>
      <c r="K1884" s="3" t="s">
        <v>64</v>
      </c>
    </row>
    <row r="1885" spans="1:11" ht="42" customHeight="1">
      <c r="A1885" s="2" t="s">
        <v>4586</v>
      </c>
      <c r="B1885" s="2" t="s">
        <v>4586</v>
      </c>
      <c r="C1885" s="2" t="s">
        <v>38</v>
      </c>
      <c r="D1885" s="2" t="s">
        <v>39</v>
      </c>
      <c r="E1885" s="5">
        <v>-31381</v>
      </c>
      <c r="F1885" s="3" t="s">
        <v>989</v>
      </c>
      <c r="G1885" s="3" t="s">
        <v>99</v>
      </c>
      <c r="H1885" s="2" t="s">
        <v>62</v>
      </c>
      <c r="I1885" s="2" t="s">
        <v>4591</v>
      </c>
      <c r="J1885" s="3" t="str">
        <f>HYPERLINK("https://www.boe.es/gazeta/dias/1814/01/29/pdfs/GRE-1814-14.pdf#page=5","Abrir facsímil")</f>
        <v>Abrir facsímil</v>
      </c>
      <c r="K1885" s="3" t="s">
        <v>64</v>
      </c>
    </row>
    <row r="1886" spans="1:11" ht="42" customHeight="1">
      <c r="A1886" s="2" t="s">
        <v>4586</v>
      </c>
      <c r="B1886" s="2" t="s">
        <v>4586</v>
      </c>
      <c r="C1886" s="2" t="s">
        <v>38</v>
      </c>
      <c r="D1886" s="2" t="s">
        <v>39</v>
      </c>
      <c r="E1886" s="5">
        <v>-31374</v>
      </c>
      <c r="F1886" s="3" t="s">
        <v>474</v>
      </c>
      <c r="G1886" s="3" t="s">
        <v>57</v>
      </c>
      <c r="H1886" s="2" t="s">
        <v>62</v>
      </c>
      <c r="I1886" s="2" t="s">
        <v>4592</v>
      </c>
      <c r="J1886" s="3" t="str">
        <f>HYPERLINK("https://www.boe.es/gazeta/dias/1814/02/05/pdfs/GRE-1814-17.pdf#page=6","Abrir facsímil")</f>
        <v>Abrir facsímil</v>
      </c>
      <c r="K1886" s="3" t="s">
        <v>64</v>
      </c>
    </row>
    <row r="1887" spans="1:11" ht="42" customHeight="1">
      <c r="A1887" s="2" t="s">
        <v>4586</v>
      </c>
      <c r="B1887" s="2" t="s">
        <v>4586</v>
      </c>
      <c r="C1887" s="2" t="s">
        <v>38</v>
      </c>
      <c r="D1887" s="2" t="s">
        <v>39</v>
      </c>
      <c r="E1887" s="5">
        <v>-31374</v>
      </c>
      <c r="F1887" s="3" t="s">
        <v>474</v>
      </c>
      <c r="G1887" s="3" t="s">
        <v>20</v>
      </c>
      <c r="H1887" s="2" t="s">
        <v>62</v>
      </c>
      <c r="I1887" s="2" t="s">
        <v>4593</v>
      </c>
      <c r="J1887" s="3" t="str">
        <f>HYPERLINK("https://www.boe.es/gazeta/dias/1814/02/05/pdfs/GRE-1814-17.pdf#page=7","Abrir facsímil")</f>
        <v>Abrir facsímil</v>
      </c>
      <c r="K1887" s="3" t="s">
        <v>64</v>
      </c>
    </row>
    <row r="1888" spans="1:11" ht="42" customHeight="1">
      <c r="A1888" s="2" t="s">
        <v>4586</v>
      </c>
      <c r="B1888" s="2" t="s">
        <v>4586</v>
      </c>
      <c r="C1888" s="2" t="s">
        <v>105</v>
      </c>
      <c r="D1888" s="2" t="s">
        <v>18</v>
      </c>
      <c r="E1888" s="5">
        <v>-31371</v>
      </c>
      <c r="F1888" s="3" t="s">
        <v>476</v>
      </c>
      <c r="G1888" s="3" t="s">
        <v>52</v>
      </c>
      <c r="H1888" s="2" t="s">
        <v>62</v>
      </c>
      <c r="I1888" s="2" t="s">
        <v>4594</v>
      </c>
      <c r="J1888" s="3" t="str">
        <f>HYPERLINK("https://www.boe.es/gazeta/dias/1814/02/08/pdfs/GRE-1814-31.pdf#page=8","Abrir facsímil")</f>
        <v>Abrir facsímil</v>
      </c>
      <c r="K1888" s="3" t="s">
        <v>64</v>
      </c>
    </row>
    <row r="1889" spans="1:11" ht="42" customHeight="1">
      <c r="A1889" s="2" t="s">
        <v>4586</v>
      </c>
      <c r="B1889" s="2" t="s">
        <v>4586</v>
      </c>
      <c r="C1889" s="2" t="s">
        <v>105</v>
      </c>
      <c r="D1889" s="2" t="s">
        <v>18</v>
      </c>
      <c r="E1889" s="5">
        <v>-31343</v>
      </c>
      <c r="F1889" s="3" t="s">
        <v>476</v>
      </c>
      <c r="G1889" s="3" t="s">
        <v>52</v>
      </c>
      <c r="H1889" s="2" t="s">
        <v>62</v>
      </c>
      <c r="I1889" s="2" t="s">
        <v>4594</v>
      </c>
      <c r="J1889" s="3" t="str">
        <f>HYPERLINK("https://www.boe.es/gazeta/dias/1814/03/08/pdfs/GRE-1814-31.pdf#page=8","Abrir facsímil")</f>
        <v>Abrir facsímil</v>
      </c>
      <c r="K1889" s="3" t="s">
        <v>64</v>
      </c>
    </row>
    <row r="1890" spans="1:11" ht="42" customHeight="1">
      <c r="A1890" s="2" t="s">
        <v>4586</v>
      </c>
      <c r="B1890" s="2" t="s">
        <v>4586</v>
      </c>
      <c r="C1890" s="2" t="s">
        <v>38</v>
      </c>
      <c r="D1890" s="2" t="s">
        <v>39</v>
      </c>
      <c r="E1890" s="5">
        <v>-31341</v>
      </c>
      <c r="F1890" s="3" t="s">
        <v>360</v>
      </c>
      <c r="G1890" s="3" t="s">
        <v>52</v>
      </c>
      <c r="H1890" s="2" t="s">
        <v>62</v>
      </c>
      <c r="I1890" s="2" t="s">
        <v>4595</v>
      </c>
      <c r="J1890" s="3" t="str">
        <f>HYPERLINK("https://www.boe.es/gazeta/dias/1814/03/10/pdfs/GRE-1814-33.pdf#page=8","Abrir facsímil")</f>
        <v>Abrir facsímil</v>
      </c>
      <c r="K1890" s="3" t="s">
        <v>64</v>
      </c>
    </row>
    <row r="1891" spans="1:11" ht="42" customHeight="1">
      <c r="A1891" s="2" t="s">
        <v>4586</v>
      </c>
      <c r="B1891" s="2" t="s">
        <v>4586</v>
      </c>
      <c r="C1891" s="2" t="s">
        <v>38</v>
      </c>
      <c r="D1891" s="2" t="s">
        <v>39</v>
      </c>
      <c r="E1891" s="5">
        <v>-31334</v>
      </c>
      <c r="F1891" s="3" t="s">
        <v>482</v>
      </c>
      <c r="G1891" s="3" t="s">
        <v>4596</v>
      </c>
      <c r="H1891" s="2" t="s">
        <v>62</v>
      </c>
      <c r="I1891" s="2" t="s">
        <v>4597</v>
      </c>
      <c r="J1891" s="3" t="str">
        <f>HYPERLINK("https://www.boe.es/gazeta/dias/1814/03/17/pdfs/GRE-1814-37.pdf#page=7","Abrir facsímil")</f>
        <v>Abrir facsímil</v>
      </c>
      <c r="K1891" s="3" t="s">
        <v>64</v>
      </c>
    </row>
    <row r="1892" spans="1:11" ht="42" customHeight="1">
      <c r="A1892" s="2" t="s">
        <v>4586</v>
      </c>
      <c r="B1892" s="2" t="s">
        <v>4586</v>
      </c>
      <c r="C1892" s="2" t="s">
        <v>38</v>
      </c>
      <c r="D1892" s="2" t="s">
        <v>39</v>
      </c>
      <c r="E1892" s="5">
        <v>-31332</v>
      </c>
      <c r="F1892" s="3" t="s">
        <v>343</v>
      </c>
      <c r="G1892" s="3" t="s">
        <v>449</v>
      </c>
      <c r="H1892" s="2" t="s">
        <v>62</v>
      </c>
      <c r="I1892" s="2" t="s">
        <v>4598</v>
      </c>
      <c r="J1892" s="3" t="str">
        <f>HYPERLINK("https://www.boe.es/gazeta/dias/1814/03/19/pdfs/GRE-1814-38.pdf#page=8","Abrir facsímil")</f>
        <v>Abrir facsímil</v>
      </c>
      <c r="K1892" s="3" t="s">
        <v>64</v>
      </c>
    </row>
    <row r="1893" spans="1:11" ht="42" customHeight="1">
      <c r="A1893" s="2" t="s">
        <v>4586</v>
      </c>
      <c r="B1893" s="2" t="s">
        <v>4586</v>
      </c>
      <c r="C1893" s="2" t="s">
        <v>38</v>
      </c>
      <c r="D1893" s="2" t="s">
        <v>39</v>
      </c>
      <c r="E1893" s="5">
        <v>-31332</v>
      </c>
      <c r="F1893" s="3" t="s">
        <v>343</v>
      </c>
      <c r="G1893" s="3" t="s">
        <v>41</v>
      </c>
      <c r="H1893" s="2" t="s">
        <v>62</v>
      </c>
      <c r="I1893" s="2" t="s">
        <v>4599</v>
      </c>
      <c r="J1893" s="3" t="str">
        <f>HYPERLINK("https://www.boe.es/gazeta/dias/1814/03/19/pdfs/GRE-1814-38.pdf#page=4","Abrir facsímil")</f>
        <v>Abrir facsímil</v>
      </c>
      <c r="K1893" s="3" t="s">
        <v>64</v>
      </c>
    </row>
    <row r="1894" spans="1:11" ht="42" customHeight="1">
      <c r="A1894" s="2" t="s">
        <v>4586</v>
      </c>
      <c r="B1894" s="2" t="s">
        <v>4586</v>
      </c>
      <c r="C1894" s="2" t="s">
        <v>105</v>
      </c>
      <c r="D1894" s="2" t="s">
        <v>18</v>
      </c>
      <c r="E1894" s="5">
        <v>-31329</v>
      </c>
      <c r="F1894" s="3" t="s">
        <v>621</v>
      </c>
      <c r="G1894" s="3" t="s">
        <v>57</v>
      </c>
      <c r="H1894" s="2" t="s">
        <v>62</v>
      </c>
      <c r="I1894" s="2" t="s">
        <v>4600</v>
      </c>
      <c r="J1894" s="3" t="str">
        <f>HYPERLINK("https://www.boe.es/gazeta/dias/1814/03/22/pdfs/GRE-1814-39.pdf#page=6","Abrir facsímil")</f>
        <v>Abrir facsímil</v>
      </c>
      <c r="K1894" s="3" t="s">
        <v>64</v>
      </c>
    </row>
    <row r="1895" spans="1:11" ht="42" customHeight="1">
      <c r="A1895" s="2" t="s">
        <v>4586</v>
      </c>
      <c r="B1895" s="2" t="s">
        <v>4586</v>
      </c>
      <c r="C1895" s="2" t="s">
        <v>32</v>
      </c>
      <c r="D1895" s="2" t="s">
        <v>18</v>
      </c>
      <c r="E1895" s="5">
        <v>-31329</v>
      </c>
      <c r="F1895" s="3" t="s">
        <v>621</v>
      </c>
      <c r="G1895" s="3" t="s">
        <v>20</v>
      </c>
      <c r="H1895" s="2" t="s">
        <v>62</v>
      </c>
      <c r="I1895" s="2" t="s">
        <v>4601</v>
      </c>
      <c r="J1895" s="3" t="str">
        <f>HYPERLINK("https://www.boe.es/gazeta/dias/1814/03/22/pdfs/GRE-1814-39.pdf#page=7","Abrir facsímil")</f>
        <v>Abrir facsímil</v>
      </c>
      <c r="K1895" s="3" t="s">
        <v>64</v>
      </c>
    </row>
    <row r="1896" spans="1:11" ht="42" customHeight="1">
      <c r="A1896" s="2" t="s">
        <v>4586</v>
      </c>
      <c r="B1896" s="2" t="s">
        <v>4586</v>
      </c>
      <c r="C1896" s="2" t="s">
        <v>38</v>
      </c>
      <c r="D1896" s="2" t="s">
        <v>314</v>
      </c>
      <c r="E1896" s="5">
        <v>-31322</v>
      </c>
      <c r="F1896" s="3" t="s">
        <v>883</v>
      </c>
      <c r="G1896" s="3" t="s">
        <v>107</v>
      </c>
      <c r="H1896" s="2" t="s">
        <v>62</v>
      </c>
      <c r="I1896" s="2" t="s">
        <v>4602</v>
      </c>
      <c r="J1896" s="3" t="str">
        <f>HYPERLINK("https://www.boe.es/gazeta/dias/1814/03/29/pdfs/GRE-1814-45E.pdf#page=1","Abrir facsímil")</f>
        <v>Abrir facsímil</v>
      </c>
      <c r="K1896" s="3" t="s">
        <v>64</v>
      </c>
    </row>
    <row r="1897" spans="1:11" ht="42" customHeight="1">
      <c r="A1897" s="2" t="s">
        <v>4586</v>
      </c>
      <c r="B1897" s="2" t="s">
        <v>4586</v>
      </c>
      <c r="C1897" s="2" t="s">
        <v>38</v>
      </c>
      <c r="D1897" s="2" t="s">
        <v>39</v>
      </c>
      <c r="E1897" s="5">
        <v>-31320</v>
      </c>
      <c r="F1897" s="3" t="s">
        <v>40</v>
      </c>
      <c r="G1897" s="3" t="s">
        <v>99</v>
      </c>
      <c r="H1897" s="2" t="s">
        <v>62</v>
      </c>
      <c r="I1897" s="2" t="s">
        <v>4603</v>
      </c>
      <c r="J1897" s="3" t="str">
        <f>HYPERLINK("https://www.boe.es/gazeta/dias/1814/03/31/pdfs/GRE-1814-46.pdf#page=5","Abrir facsímil")</f>
        <v>Abrir facsímil</v>
      </c>
      <c r="K1897" s="3" t="s">
        <v>64</v>
      </c>
    </row>
    <row r="1898" spans="1:11" ht="42" customHeight="1">
      <c r="A1898" s="2" t="s">
        <v>4586</v>
      </c>
      <c r="B1898" s="2" t="s">
        <v>4586</v>
      </c>
      <c r="C1898" s="2" t="s">
        <v>38</v>
      </c>
      <c r="D1898" s="2" t="s">
        <v>39</v>
      </c>
      <c r="E1898" s="5">
        <v>-31318</v>
      </c>
      <c r="F1898" s="3" t="s">
        <v>400</v>
      </c>
      <c r="G1898" s="3" t="s">
        <v>57</v>
      </c>
      <c r="H1898" s="2" t="s">
        <v>62</v>
      </c>
      <c r="I1898" s="2" t="s">
        <v>4604</v>
      </c>
      <c r="J1898" s="3" t="str">
        <f>HYPERLINK("https://www.boe.es/gazeta/dias/1814/04/02/pdfs/GRE-1814-47.pdf#page=6","Abrir facsímil")</f>
        <v>Abrir facsímil</v>
      </c>
      <c r="K1898" s="3" t="s">
        <v>64</v>
      </c>
    </row>
    <row r="1899" spans="1:11" ht="42" customHeight="1">
      <c r="A1899" s="2" t="s">
        <v>4586</v>
      </c>
      <c r="B1899" s="2" t="s">
        <v>4586</v>
      </c>
      <c r="C1899" s="2" t="s">
        <v>17</v>
      </c>
      <c r="D1899" s="2" t="s">
        <v>314</v>
      </c>
      <c r="E1899" s="5">
        <v>-31317</v>
      </c>
      <c r="F1899" s="3" t="s">
        <v>2780</v>
      </c>
      <c r="G1899" s="3" t="s">
        <v>107</v>
      </c>
      <c r="H1899" s="2" t="s">
        <v>62</v>
      </c>
      <c r="I1899" s="2" t="s">
        <v>4605</v>
      </c>
      <c r="J1899" s="3" t="str">
        <f>HYPERLINK("https://www.boe.es/gazeta/dias/1814/04/03/pdfs/GRE-1814-48E.pdf#page=1","Abrir facsímil")</f>
        <v>Abrir facsímil</v>
      </c>
      <c r="K1899" s="3" t="s">
        <v>64</v>
      </c>
    </row>
    <row r="1900" spans="1:11" ht="42" customHeight="1">
      <c r="A1900" s="2" t="s">
        <v>4586</v>
      </c>
      <c r="B1900" s="2" t="s">
        <v>4586</v>
      </c>
      <c r="C1900" s="2" t="s">
        <v>38</v>
      </c>
      <c r="D1900" s="2" t="s">
        <v>314</v>
      </c>
      <c r="E1900" s="5">
        <v>-31317</v>
      </c>
      <c r="F1900" s="3" t="s">
        <v>2780</v>
      </c>
      <c r="G1900" s="3" t="s">
        <v>87</v>
      </c>
      <c r="H1900" s="2" t="s">
        <v>62</v>
      </c>
      <c r="I1900" s="2" t="s">
        <v>4606</v>
      </c>
      <c r="J1900" s="3" t="str">
        <f>HYPERLINK("https://www.boe.es/gazeta/dias/1814/04/03/pdfs/GRE-1814-48E.pdf#page=2","Abrir facsímil")</f>
        <v>Abrir facsímil</v>
      </c>
      <c r="K1900" s="3" t="s">
        <v>64</v>
      </c>
    </row>
    <row r="1901" spans="1:11" ht="42" customHeight="1">
      <c r="A1901" s="2" t="s">
        <v>4586</v>
      </c>
      <c r="B1901" s="2" t="s">
        <v>4586</v>
      </c>
      <c r="C1901" s="2" t="s">
        <v>38</v>
      </c>
      <c r="D1901" s="2" t="s">
        <v>39</v>
      </c>
      <c r="E1901" s="5">
        <v>-31315</v>
      </c>
      <c r="F1901" s="3" t="s">
        <v>645</v>
      </c>
      <c r="G1901" s="3" t="s">
        <v>41</v>
      </c>
      <c r="H1901" s="2" t="s">
        <v>62</v>
      </c>
      <c r="I1901" s="2" t="s">
        <v>4607</v>
      </c>
      <c r="J1901" s="3" t="str">
        <f>HYPERLINK("https://www.boe.es/gazeta/dias/1814/04/05/pdfs/GRE-1814-49.pdf#page=4","Abrir facsímil")</f>
        <v>Abrir facsímil</v>
      </c>
      <c r="K1901" s="3" t="s">
        <v>64</v>
      </c>
    </row>
    <row r="1902" spans="1:11" ht="42" customHeight="1">
      <c r="A1902" s="2" t="s">
        <v>4586</v>
      </c>
      <c r="B1902" s="2" t="s">
        <v>4586</v>
      </c>
      <c r="C1902" s="2" t="s">
        <v>26</v>
      </c>
      <c r="D1902" s="2" t="s">
        <v>27</v>
      </c>
      <c r="E1902" s="5">
        <v>-31315</v>
      </c>
      <c r="F1902" s="3" t="s">
        <v>645</v>
      </c>
      <c r="G1902" s="3" t="s">
        <v>57</v>
      </c>
      <c r="H1902" s="2" t="s">
        <v>62</v>
      </c>
      <c r="I1902" s="2" t="s">
        <v>4608</v>
      </c>
      <c r="J1902" s="3" t="str">
        <f>HYPERLINK("https://www.boe.es/gazeta/dias/1814/04/05/pdfs/GRE-1814-49.pdf#page=6","Abrir facsímil")</f>
        <v>Abrir facsímil</v>
      </c>
      <c r="K1902" s="3" t="s">
        <v>64</v>
      </c>
    </row>
    <row r="1903" spans="1:11" ht="42" customHeight="1">
      <c r="A1903" s="2" t="s">
        <v>4586</v>
      </c>
      <c r="B1903" s="2" t="s">
        <v>4586</v>
      </c>
      <c r="C1903" s="2" t="s">
        <v>38</v>
      </c>
      <c r="D1903" s="2" t="s">
        <v>39</v>
      </c>
      <c r="E1903" s="5">
        <v>-31313</v>
      </c>
      <c r="F1903" s="3" t="s">
        <v>239</v>
      </c>
      <c r="G1903" s="3" t="s">
        <v>590</v>
      </c>
      <c r="H1903" s="2" t="s">
        <v>62</v>
      </c>
      <c r="I1903" s="2" t="s">
        <v>4609</v>
      </c>
      <c r="J1903" s="3" t="str">
        <f>HYPERLINK("https://www.boe.es/gazeta/dias/1814/04/07/pdfs/GRE-1814-50.pdf#page=8","Abrir facsímil")</f>
        <v>Abrir facsímil</v>
      </c>
      <c r="K1903" s="3" t="s">
        <v>64</v>
      </c>
    </row>
    <row r="1904" spans="1:11" ht="42" customHeight="1">
      <c r="A1904" s="2" t="s">
        <v>4586</v>
      </c>
      <c r="B1904" s="2" t="s">
        <v>4586</v>
      </c>
      <c r="C1904" s="2" t="s">
        <v>17</v>
      </c>
      <c r="D1904" s="2" t="s">
        <v>18</v>
      </c>
      <c r="E1904" s="5">
        <v>-31313</v>
      </c>
      <c r="F1904" s="3" t="s">
        <v>239</v>
      </c>
      <c r="G1904" s="3" t="s">
        <v>57</v>
      </c>
      <c r="H1904" s="2" t="s">
        <v>62</v>
      </c>
      <c r="I1904" s="2" t="s">
        <v>4610</v>
      </c>
      <c r="J1904" s="3" t="str">
        <f>HYPERLINK("https://www.boe.es/gazeta/dias/1814/04/07/pdfs/GRE-1814-50.pdf#page=6","Abrir facsímil")</f>
        <v>Abrir facsímil</v>
      </c>
      <c r="K1904" s="3" t="s">
        <v>64</v>
      </c>
    </row>
    <row r="1905" spans="1:11" ht="42" customHeight="1">
      <c r="A1905" s="2" t="s">
        <v>4586</v>
      </c>
      <c r="B1905" s="2" t="s">
        <v>4586</v>
      </c>
      <c r="C1905" s="2" t="s">
        <v>26</v>
      </c>
      <c r="D1905" s="2" t="s">
        <v>27</v>
      </c>
      <c r="E1905" s="5">
        <v>-31311</v>
      </c>
      <c r="F1905" s="3" t="s">
        <v>3144</v>
      </c>
      <c r="G1905" s="3" t="s">
        <v>41</v>
      </c>
      <c r="H1905" s="2" t="s">
        <v>62</v>
      </c>
      <c r="I1905" s="2" t="s">
        <v>4611</v>
      </c>
      <c r="J1905" s="3" t="str">
        <f>HYPERLINK("https://www.boe.es/gazeta/dias/1814/04/09/pdfs/GRE-1814-51.pdf#page=4","Abrir facsímil")</f>
        <v>Abrir facsímil</v>
      </c>
      <c r="K1905" s="3" t="s">
        <v>64</v>
      </c>
    </row>
    <row r="1906" spans="1:11" ht="42" customHeight="1">
      <c r="A1906" s="2" t="s">
        <v>4586</v>
      </c>
      <c r="B1906" s="2" t="s">
        <v>4586</v>
      </c>
      <c r="C1906" s="2" t="s">
        <v>26</v>
      </c>
      <c r="D1906" s="2" t="s">
        <v>27</v>
      </c>
      <c r="E1906" s="5">
        <v>-31311</v>
      </c>
      <c r="F1906" s="3" t="s">
        <v>3144</v>
      </c>
      <c r="G1906" s="3" t="s">
        <v>20</v>
      </c>
      <c r="H1906" s="2" t="s">
        <v>62</v>
      </c>
      <c r="I1906" s="2" t="s">
        <v>4612</v>
      </c>
      <c r="J1906" s="3" t="str">
        <f>HYPERLINK("https://www.boe.es/gazeta/dias/1814/04/09/pdfs/GRE-1814-51.pdf#page=7","Abrir facsímil")</f>
        <v>Abrir facsímil</v>
      </c>
      <c r="K1906" s="3" t="s">
        <v>64</v>
      </c>
    </row>
    <row r="1907" spans="1:11" ht="42" customHeight="1">
      <c r="A1907" s="2" t="s">
        <v>4586</v>
      </c>
      <c r="B1907" s="2" t="s">
        <v>4586</v>
      </c>
      <c r="C1907" s="2" t="s">
        <v>38</v>
      </c>
      <c r="D1907" s="2" t="s">
        <v>39</v>
      </c>
      <c r="E1907" s="5">
        <v>-31311</v>
      </c>
      <c r="F1907" s="3" t="s">
        <v>3144</v>
      </c>
      <c r="G1907" s="3" t="s">
        <v>52</v>
      </c>
      <c r="H1907" s="2" t="s">
        <v>62</v>
      </c>
      <c r="I1907" s="2" t="s">
        <v>4613</v>
      </c>
      <c r="J1907" s="3" t="str">
        <f>HYPERLINK("https://www.boe.es/gazeta/dias/1814/04/09/pdfs/GRE-1814-51.pdf#page=8","Abrir facsímil")</f>
        <v>Abrir facsímil</v>
      </c>
      <c r="K1907" s="3" t="s">
        <v>64</v>
      </c>
    </row>
    <row r="1908" spans="1:11" ht="42" customHeight="1">
      <c r="A1908" s="2" t="s">
        <v>4586</v>
      </c>
      <c r="B1908" s="2" t="s">
        <v>4586</v>
      </c>
      <c r="C1908" s="2" t="s">
        <v>38</v>
      </c>
      <c r="D1908" s="2" t="s">
        <v>39</v>
      </c>
      <c r="E1908" s="5">
        <v>-31306</v>
      </c>
      <c r="F1908" s="3" t="s">
        <v>670</v>
      </c>
      <c r="G1908" s="3" t="s">
        <v>41</v>
      </c>
      <c r="H1908" s="2" t="s">
        <v>62</v>
      </c>
      <c r="I1908" s="2" t="s">
        <v>4614</v>
      </c>
      <c r="J1908" s="3" t="str">
        <f>HYPERLINK("https://www.boe.es/gazeta/dias/1814/04/14/pdfs/GRE-1814-53.pdf#page=4","Abrir facsímil")</f>
        <v>Abrir facsímil</v>
      </c>
      <c r="K1908" s="3" t="s">
        <v>64</v>
      </c>
    </row>
    <row r="1909" spans="1:11" ht="42" customHeight="1">
      <c r="A1909" s="2" t="s">
        <v>4586</v>
      </c>
      <c r="B1909" s="2" t="s">
        <v>4586</v>
      </c>
      <c r="C1909" s="2" t="s">
        <v>38</v>
      </c>
      <c r="D1909" s="2" t="s">
        <v>39</v>
      </c>
      <c r="E1909" s="5">
        <v>-31306</v>
      </c>
      <c r="F1909" s="3" t="s">
        <v>670</v>
      </c>
      <c r="G1909" s="3" t="s">
        <v>99</v>
      </c>
      <c r="H1909" s="2" t="s">
        <v>62</v>
      </c>
      <c r="I1909" s="2" t="s">
        <v>4615</v>
      </c>
      <c r="J1909" s="3" t="str">
        <f>HYPERLINK("https://www.boe.es/gazeta/dias/1814/04/14/pdfs/GRE-1814-53.pdf#page=5","Abrir facsímil")</f>
        <v>Abrir facsímil</v>
      </c>
      <c r="K1909" s="3" t="s">
        <v>64</v>
      </c>
    </row>
    <row r="1910" spans="1:11" ht="42" customHeight="1">
      <c r="A1910" s="2" t="s">
        <v>4586</v>
      </c>
      <c r="B1910" s="2" t="s">
        <v>4586</v>
      </c>
      <c r="C1910" s="2" t="s">
        <v>38</v>
      </c>
      <c r="D1910" s="2" t="s">
        <v>39</v>
      </c>
      <c r="E1910" s="5">
        <v>-31304</v>
      </c>
      <c r="F1910" s="3" t="s">
        <v>1964</v>
      </c>
      <c r="G1910" s="3" t="s">
        <v>57</v>
      </c>
      <c r="H1910" s="2" t="s">
        <v>62</v>
      </c>
      <c r="I1910" s="2" t="s">
        <v>4616</v>
      </c>
      <c r="J1910" s="3" t="str">
        <f>HYPERLINK("https://www.boe.es/gazeta/dias/1814/04/16/pdfs/GRE-1814-55.pdf#page=6","Abrir facsímil")</f>
        <v>Abrir facsímil</v>
      </c>
      <c r="K1910" s="3" t="s">
        <v>64</v>
      </c>
    </row>
    <row r="1911" spans="1:11" ht="42" customHeight="1">
      <c r="A1911" s="2" t="s">
        <v>4586</v>
      </c>
      <c r="B1911" s="2" t="s">
        <v>4586</v>
      </c>
      <c r="C1911" s="2" t="s">
        <v>38</v>
      </c>
      <c r="D1911" s="2" t="s">
        <v>39</v>
      </c>
      <c r="E1911" s="5">
        <v>-31301</v>
      </c>
      <c r="F1911" s="3" t="s">
        <v>81</v>
      </c>
      <c r="G1911" s="3" t="s">
        <v>20</v>
      </c>
      <c r="H1911" s="2" t="s">
        <v>62</v>
      </c>
      <c r="I1911" s="2" t="s">
        <v>4617</v>
      </c>
      <c r="J1911" s="3" t="str">
        <f>HYPERLINK("https://www.boe.es/gazeta/dias/1814/04/19/pdfs/GRE-1814-56.pdf#page=7","Abrir facsímil")</f>
        <v>Abrir facsímil</v>
      </c>
      <c r="K1911" s="3" t="s">
        <v>64</v>
      </c>
    </row>
    <row r="1912" spans="1:11" ht="42" customHeight="1">
      <c r="A1912" s="2" t="s">
        <v>4586</v>
      </c>
      <c r="B1912" s="2" t="s">
        <v>4586</v>
      </c>
      <c r="C1912" s="2" t="s">
        <v>38</v>
      </c>
      <c r="D1912" s="2" t="s">
        <v>39</v>
      </c>
      <c r="E1912" s="5">
        <v>-31299</v>
      </c>
      <c r="F1912" s="3" t="s">
        <v>71</v>
      </c>
      <c r="G1912" s="3" t="s">
        <v>57</v>
      </c>
      <c r="H1912" s="2" t="s">
        <v>62</v>
      </c>
      <c r="I1912" s="2" t="s">
        <v>4618</v>
      </c>
      <c r="J1912" s="3" t="str">
        <f>HYPERLINK("https://www.boe.es/gazeta/dias/1814/04/21/pdfs/GRE-1814-57.pdf#page=6","Abrir facsímil")</f>
        <v>Abrir facsímil</v>
      </c>
      <c r="K1912" s="3" t="s">
        <v>64</v>
      </c>
    </row>
    <row r="1913" spans="1:11" ht="42" customHeight="1">
      <c r="A1913" s="2" t="s">
        <v>4586</v>
      </c>
      <c r="B1913" s="2" t="s">
        <v>4586</v>
      </c>
      <c r="C1913" s="2" t="s">
        <v>32</v>
      </c>
      <c r="D1913" s="2" t="s">
        <v>18</v>
      </c>
      <c r="E1913" s="5">
        <v>-31294</v>
      </c>
      <c r="F1913" s="3" t="s">
        <v>680</v>
      </c>
      <c r="G1913" s="3" t="s">
        <v>4619</v>
      </c>
      <c r="H1913" s="2" t="s">
        <v>62</v>
      </c>
      <c r="I1913" s="2" t="s">
        <v>4620</v>
      </c>
      <c r="J1913" s="3" t="str">
        <f>HYPERLINK("https://www.boe.es/gazeta/dias/1814/04/26/pdfs/GRE-1814-61.pdf#page=7","Abrir facsímil")</f>
        <v>Abrir facsímil</v>
      </c>
      <c r="K1913" s="3" t="s">
        <v>64</v>
      </c>
    </row>
    <row r="1914" spans="1:11" ht="42" customHeight="1">
      <c r="A1914" s="2" t="s">
        <v>4586</v>
      </c>
      <c r="B1914" s="2" t="s">
        <v>4586</v>
      </c>
      <c r="C1914" s="2" t="s">
        <v>38</v>
      </c>
      <c r="D1914" s="2" t="s">
        <v>39</v>
      </c>
      <c r="E1914" s="5">
        <v>-31294</v>
      </c>
      <c r="F1914" s="3" t="s">
        <v>680</v>
      </c>
      <c r="G1914" s="3" t="s">
        <v>4621</v>
      </c>
      <c r="H1914" s="2" t="s">
        <v>62</v>
      </c>
      <c r="I1914" s="2" t="s">
        <v>4622</v>
      </c>
      <c r="J1914" s="3" t="str">
        <f>HYPERLINK("https://www.boe.es/gazeta/dias/1814/04/26/pdfs/GRE-1814-61.pdf#page=8","Abrir facsímil")</f>
        <v>Abrir facsímil</v>
      </c>
      <c r="K1914" s="3" t="s">
        <v>64</v>
      </c>
    </row>
    <row r="1915" spans="1:11" ht="42" customHeight="1">
      <c r="A1915" s="2" t="s">
        <v>4586</v>
      </c>
      <c r="B1915" s="2" t="s">
        <v>4586</v>
      </c>
      <c r="C1915" s="2" t="s">
        <v>144</v>
      </c>
      <c r="D1915" s="2" t="s">
        <v>18</v>
      </c>
      <c r="E1915" s="5">
        <v>-31292</v>
      </c>
      <c r="F1915" s="3" t="s">
        <v>557</v>
      </c>
      <c r="G1915" s="3" t="s">
        <v>3894</v>
      </c>
      <c r="H1915" s="2" t="s">
        <v>62</v>
      </c>
      <c r="I1915" s="2" t="s">
        <v>4623</v>
      </c>
      <c r="J1915" s="3" t="str">
        <f>HYPERLINK("https://www.boe.es/gazeta/dias/1814/04/28/pdfs/GRE-1814-63.pdf#page=5","Abrir facsímil")</f>
        <v>Abrir facsímil</v>
      </c>
      <c r="K1915" s="3" t="s">
        <v>64</v>
      </c>
    </row>
    <row r="1916" spans="1:11" ht="42" customHeight="1">
      <c r="A1916" s="2" t="s">
        <v>4586</v>
      </c>
      <c r="B1916" s="2" t="s">
        <v>4586</v>
      </c>
      <c r="C1916" s="2" t="s">
        <v>38</v>
      </c>
      <c r="D1916" s="2" t="s">
        <v>39</v>
      </c>
      <c r="E1916" s="5">
        <v>-31292</v>
      </c>
      <c r="F1916" s="3" t="s">
        <v>557</v>
      </c>
      <c r="G1916" s="3" t="s">
        <v>4624</v>
      </c>
      <c r="H1916" s="2" t="s">
        <v>62</v>
      </c>
      <c r="I1916" s="2" t="s">
        <v>4625</v>
      </c>
      <c r="J1916" s="3" t="str">
        <f>HYPERLINK("https://www.boe.es/gazeta/dias/1814/04/28/pdfs/GRE-1814-63.pdf#page=6","Abrir facsímil")</f>
        <v>Abrir facsímil</v>
      </c>
      <c r="K1916" s="3" t="s">
        <v>64</v>
      </c>
    </row>
    <row r="1917" spans="1:11" ht="42" customHeight="1">
      <c r="A1917" s="2" t="s">
        <v>4586</v>
      </c>
      <c r="B1917" s="2" t="s">
        <v>4586</v>
      </c>
      <c r="C1917" s="2" t="s">
        <v>26</v>
      </c>
      <c r="D1917" s="2" t="s">
        <v>27</v>
      </c>
      <c r="E1917" s="5">
        <v>-31292</v>
      </c>
      <c r="F1917" s="3" t="s">
        <v>557</v>
      </c>
      <c r="G1917" s="3" t="s">
        <v>52</v>
      </c>
      <c r="H1917" s="2" t="s">
        <v>62</v>
      </c>
      <c r="I1917" s="2" t="s">
        <v>4626</v>
      </c>
      <c r="J1917" s="3" t="str">
        <f>HYPERLINK("https://www.boe.es/gazeta/dias/1814/04/28/pdfs/GRE-1814-63.pdf#page=8","Abrir facsímil")</f>
        <v>Abrir facsímil</v>
      </c>
      <c r="K1917" s="3" t="s">
        <v>64</v>
      </c>
    </row>
    <row r="1918" spans="1:11" ht="42" customHeight="1">
      <c r="A1918" s="2" t="s">
        <v>4586</v>
      </c>
      <c r="B1918" s="2" t="s">
        <v>4586</v>
      </c>
      <c r="C1918" s="2" t="s">
        <v>38</v>
      </c>
      <c r="D1918" s="2" t="s">
        <v>39</v>
      </c>
      <c r="E1918" s="5">
        <v>-31290</v>
      </c>
      <c r="F1918" s="3" t="s">
        <v>488</v>
      </c>
      <c r="G1918" s="3" t="s">
        <v>99</v>
      </c>
      <c r="H1918" s="2" t="s">
        <v>62</v>
      </c>
      <c r="I1918" s="2" t="s">
        <v>4627</v>
      </c>
      <c r="J1918" s="3" t="str">
        <f>HYPERLINK("https://www.boe.es/gazeta/dias/1814/04/30/pdfs/GRE-1814-64.pdf#page=5","Abrir facsímil")</f>
        <v>Abrir facsímil</v>
      </c>
      <c r="K1918" s="3" t="s">
        <v>64</v>
      </c>
    </row>
    <row r="1919" spans="1:11" ht="42" customHeight="1">
      <c r="A1919" s="2" t="s">
        <v>4586</v>
      </c>
      <c r="B1919" s="2" t="s">
        <v>4586</v>
      </c>
      <c r="C1919" s="2" t="s">
        <v>38</v>
      </c>
      <c r="D1919" s="2" t="s">
        <v>39</v>
      </c>
      <c r="E1919" s="5">
        <v>-31287</v>
      </c>
      <c r="F1919" s="3" t="s">
        <v>491</v>
      </c>
      <c r="G1919" s="3" t="s">
        <v>57</v>
      </c>
      <c r="H1919" s="2" t="s">
        <v>62</v>
      </c>
      <c r="I1919" s="2" t="s">
        <v>4628</v>
      </c>
      <c r="J1919" s="3" t="str">
        <f>HYPERLINK("https://www.boe.es/gazeta/dias/1814/05/03/pdfs/GRE-1814-65.pdf#page=6","Abrir facsímil")</f>
        <v>Abrir facsímil</v>
      </c>
      <c r="K1919" s="3" t="s">
        <v>64</v>
      </c>
    </row>
    <row r="1920" spans="1:11" ht="42" customHeight="1">
      <c r="A1920" s="2" t="s">
        <v>4586</v>
      </c>
      <c r="B1920" s="2" t="s">
        <v>4586</v>
      </c>
      <c r="C1920" s="2" t="s">
        <v>38</v>
      </c>
      <c r="D1920" s="2" t="s">
        <v>39</v>
      </c>
      <c r="E1920" s="5">
        <v>-31287</v>
      </c>
      <c r="F1920" s="3" t="s">
        <v>491</v>
      </c>
      <c r="G1920" s="3" t="s">
        <v>20</v>
      </c>
      <c r="H1920" s="2" t="s">
        <v>62</v>
      </c>
      <c r="I1920" s="2" t="s">
        <v>4629</v>
      </c>
      <c r="J1920" s="3" t="str">
        <f>HYPERLINK("https://www.boe.es/gazeta/dias/1814/05/03/pdfs/GRE-1814-65.pdf#page=7","Abrir facsímil")</f>
        <v>Abrir facsímil</v>
      </c>
      <c r="K1920" s="3" t="s">
        <v>64</v>
      </c>
    </row>
    <row r="1921" spans="1:11" ht="42" customHeight="1">
      <c r="A1921" s="2" t="s">
        <v>4586</v>
      </c>
      <c r="B1921" s="2" t="s">
        <v>4586</v>
      </c>
      <c r="C1921" s="2" t="s">
        <v>309</v>
      </c>
      <c r="D1921" s="2" t="s">
        <v>18</v>
      </c>
      <c r="E1921" s="5">
        <v>-31285</v>
      </c>
      <c r="F1921" s="3" t="s">
        <v>1141</v>
      </c>
      <c r="G1921" s="3" t="s">
        <v>99</v>
      </c>
      <c r="H1921" s="2" t="s">
        <v>62</v>
      </c>
      <c r="I1921" s="2" t="s">
        <v>4630</v>
      </c>
      <c r="J1921" s="3" t="str">
        <f>HYPERLINK("https://www.boe.es/gazeta/dias/1814/05/05/pdfs/GRE-1814-66.pdf#page=5","Abrir facsímil")</f>
        <v>Abrir facsímil</v>
      </c>
      <c r="K1921" s="3" t="s">
        <v>64</v>
      </c>
    </row>
    <row r="1922" spans="1:11" ht="42" customHeight="1">
      <c r="A1922" s="2" t="s">
        <v>4586</v>
      </c>
      <c r="B1922" s="2" t="s">
        <v>4586</v>
      </c>
      <c r="C1922" s="2" t="s">
        <v>105</v>
      </c>
      <c r="D1922" s="2" t="s">
        <v>18</v>
      </c>
      <c r="E1922" s="5">
        <v>-31285</v>
      </c>
      <c r="F1922" s="3" t="s">
        <v>1141</v>
      </c>
      <c r="G1922" s="3" t="s">
        <v>57</v>
      </c>
      <c r="H1922" s="2" t="s">
        <v>62</v>
      </c>
      <c r="I1922" s="2" t="s">
        <v>4631</v>
      </c>
      <c r="J1922" s="3" t="str">
        <f>HYPERLINK("https://www.boe.es/gazeta/dias/1814/05/05/pdfs/GRE-1814-66.pdf#page=6","Abrir facsímil")</f>
        <v>Abrir facsímil</v>
      </c>
      <c r="K1922" s="3" t="s">
        <v>64</v>
      </c>
    </row>
    <row r="1923" spans="1:11" ht="42" customHeight="1">
      <c r="A1923" s="2" t="s">
        <v>4586</v>
      </c>
      <c r="B1923" s="2" t="s">
        <v>4586</v>
      </c>
      <c r="C1923" s="2" t="s">
        <v>38</v>
      </c>
      <c r="D1923" s="2" t="s">
        <v>39</v>
      </c>
      <c r="E1923" s="5">
        <v>-31283</v>
      </c>
      <c r="F1923" s="3" t="s">
        <v>701</v>
      </c>
      <c r="G1923" s="3" t="s">
        <v>57</v>
      </c>
      <c r="H1923" s="2" t="s">
        <v>62</v>
      </c>
      <c r="I1923" s="2" t="s">
        <v>4632</v>
      </c>
      <c r="J1923" s="3" t="str">
        <f>HYPERLINK("https://www.boe.es/gazeta/dias/1814/05/07/pdfs/GRE-1814-67.pdf#page=6","Abrir facsímil")</f>
        <v>Abrir facsímil</v>
      </c>
      <c r="K1923" s="3" t="s">
        <v>64</v>
      </c>
    </row>
    <row r="1924" spans="1:11" ht="42" customHeight="1">
      <c r="A1924" s="2" t="s">
        <v>4586</v>
      </c>
      <c r="B1924" s="2" t="s">
        <v>4586</v>
      </c>
      <c r="C1924" s="2" t="s">
        <v>38</v>
      </c>
      <c r="D1924" s="2" t="s">
        <v>39</v>
      </c>
      <c r="E1924" s="5">
        <v>-31283</v>
      </c>
      <c r="F1924" s="3" t="s">
        <v>701</v>
      </c>
      <c r="G1924" s="3" t="s">
        <v>20</v>
      </c>
      <c r="H1924" s="2" t="s">
        <v>62</v>
      </c>
      <c r="I1924" s="2" t="s">
        <v>4633</v>
      </c>
      <c r="J1924" s="3" t="str">
        <f>HYPERLINK("https://www.boe.es/gazeta/dias/1814/05/07/pdfs/GRE-1814-67.pdf#page=7","Abrir facsímil")</f>
        <v>Abrir facsímil</v>
      </c>
      <c r="K1924" s="3" t="s">
        <v>64</v>
      </c>
    </row>
    <row r="1925" spans="1:11" ht="42" customHeight="1">
      <c r="A1925" s="2" t="s">
        <v>4586</v>
      </c>
      <c r="B1925" s="2" t="s">
        <v>4586</v>
      </c>
      <c r="C1925" s="2" t="s">
        <v>38</v>
      </c>
      <c r="D1925" s="2" t="s">
        <v>39</v>
      </c>
      <c r="E1925" s="5">
        <v>-31280</v>
      </c>
      <c r="F1925" s="3" t="s">
        <v>4480</v>
      </c>
      <c r="G1925" s="3" t="s">
        <v>41</v>
      </c>
      <c r="H1925" s="2" t="s">
        <v>62</v>
      </c>
      <c r="I1925" s="2" t="s">
        <v>4634</v>
      </c>
      <c r="J1925" s="3" t="str">
        <f>HYPERLINK("https://www.boe.es/gazeta/dias/1814/05/10/pdfs/GRE-1814-68.pdf#page=4","Abrir facsímil")</f>
        <v>Abrir facsímil</v>
      </c>
      <c r="K1925" s="3" t="s">
        <v>64</v>
      </c>
    </row>
    <row r="1926" spans="1:11" ht="42" customHeight="1">
      <c r="A1926" s="2" t="s">
        <v>4586</v>
      </c>
      <c r="B1926" s="2" t="s">
        <v>4586</v>
      </c>
      <c r="C1926" s="2" t="s">
        <v>105</v>
      </c>
      <c r="D1926" s="2" t="s">
        <v>18</v>
      </c>
      <c r="E1926" s="5">
        <v>-31278</v>
      </c>
      <c r="F1926" s="3" t="s">
        <v>773</v>
      </c>
      <c r="G1926" s="3" t="s">
        <v>20</v>
      </c>
      <c r="H1926" s="2" t="s">
        <v>62</v>
      </c>
      <c r="I1926" s="2" t="s">
        <v>4635</v>
      </c>
      <c r="J1926" s="3" t="str">
        <f>HYPERLINK("https://www.boe.es/gazeta/dias/1814/05/12/pdfs/GMD-1814-69.pdf#page=7","Abrir facsímil")</f>
        <v>Abrir facsímil</v>
      </c>
      <c r="K1926" s="3" t="s">
        <v>64</v>
      </c>
    </row>
    <row r="1927" spans="1:11" ht="42" customHeight="1">
      <c r="A1927" s="2" t="s">
        <v>4586</v>
      </c>
      <c r="B1927" s="2" t="s">
        <v>4586</v>
      </c>
      <c r="C1927" s="2" t="s">
        <v>26</v>
      </c>
      <c r="D1927" s="2" t="s">
        <v>27</v>
      </c>
      <c r="E1927" s="5">
        <v>-31276</v>
      </c>
      <c r="F1927" s="3" t="s">
        <v>494</v>
      </c>
      <c r="G1927" s="3" t="s">
        <v>57</v>
      </c>
      <c r="H1927" s="2" t="s">
        <v>62</v>
      </c>
      <c r="I1927" s="2" t="s">
        <v>4636</v>
      </c>
      <c r="J1927" s="3" t="str">
        <f>HYPERLINK("https://www.boe.es/gazeta/dias/1814/05/14/pdfs/GMD-1814-71.pdf#page=6","Abrir facsímil")</f>
        <v>Abrir facsímil</v>
      </c>
      <c r="K1927" s="3" t="s">
        <v>64</v>
      </c>
    </row>
    <row r="1928" spans="1:11" ht="42" customHeight="1">
      <c r="A1928" s="2" t="s">
        <v>4586</v>
      </c>
      <c r="B1928" s="2" t="s">
        <v>4586</v>
      </c>
      <c r="C1928" s="2" t="s">
        <v>17</v>
      </c>
      <c r="D1928" s="2" t="s">
        <v>18</v>
      </c>
      <c r="E1928" s="5">
        <v>-31273</v>
      </c>
      <c r="F1928" s="3" t="s">
        <v>2108</v>
      </c>
      <c r="G1928" s="3" t="s">
        <v>99</v>
      </c>
      <c r="H1928" s="2" t="s">
        <v>62</v>
      </c>
      <c r="I1928" s="2" t="s">
        <v>4637</v>
      </c>
      <c r="J1928" s="3" t="str">
        <f>HYPERLINK("https://www.boe.es/gazeta/dias/1814/05/17/pdfs/GMD-1814-72.pdf#page=5","Abrir facsímil")</f>
        <v>Abrir facsímil</v>
      </c>
      <c r="K1928" s="3" t="s">
        <v>64</v>
      </c>
    </row>
    <row r="1929" spans="1:11" ht="42" customHeight="1">
      <c r="A1929" s="2" t="s">
        <v>4586</v>
      </c>
      <c r="B1929" s="2" t="s">
        <v>4586</v>
      </c>
      <c r="C1929" s="2" t="s">
        <v>144</v>
      </c>
      <c r="D1929" s="2" t="s">
        <v>314</v>
      </c>
      <c r="E1929" s="5">
        <v>-31273</v>
      </c>
      <c r="F1929" s="3" t="s">
        <v>1134</v>
      </c>
      <c r="G1929" s="3" t="s">
        <v>107</v>
      </c>
      <c r="H1929" s="2" t="s">
        <v>62</v>
      </c>
      <c r="I1929" s="2" t="s">
        <v>4638</v>
      </c>
      <c r="J1929" s="3" t="str">
        <f>HYPERLINK("https://www.boe.es/gazeta/dias/1814/05/17/pdfs/GMD-1814-73E.pdf#page=1","Abrir facsímil")</f>
        <v>Abrir facsímil</v>
      </c>
      <c r="K1929" s="3" t="s">
        <v>64</v>
      </c>
    </row>
    <row r="1930" spans="1:11" ht="42" customHeight="1">
      <c r="A1930" s="2" t="s">
        <v>4586</v>
      </c>
      <c r="B1930" s="2" t="s">
        <v>4586</v>
      </c>
      <c r="C1930" s="2" t="s">
        <v>17</v>
      </c>
      <c r="D1930" s="2" t="s">
        <v>314</v>
      </c>
      <c r="E1930" s="5">
        <v>-31273</v>
      </c>
      <c r="F1930" s="3" t="s">
        <v>1134</v>
      </c>
      <c r="G1930" s="3" t="s">
        <v>87</v>
      </c>
      <c r="H1930" s="2" t="s">
        <v>62</v>
      </c>
      <c r="I1930" s="2" t="s">
        <v>4639</v>
      </c>
      <c r="J1930" s="3" t="str">
        <f>HYPERLINK("https://www.boe.es/gazeta/dias/1814/05/17/pdfs/GMD-1814-73E.pdf#page=2","Abrir facsímil")</f>
        <v>Abrir facsímil</v>
      </c>
      <c r="K1930" s="3" t="s">
        <v>64</v>
      </c>
    </row>
    <row r="1931" spans="1:11" ht="42" customHeight="1">
      <c r="A1931" s="2" t="s">
        <v>4586</v>
      </c>
      <c r="B1931" s="2" t="s">
        <v>4586</v>
      </c>
      <c r="C1931" s="2" t="s">
        <v>17</v>
      </c>
      <c r="D1931" s="2" t="s">
        <v>18</v>
      </c>
      <c r="E1931" s="5">
        <v>-31269</v>
      </c>
      <c r="F1931" s="3" t="s">
        <v>496</v>
      </c>
      <c r="G1931" s="3" t="s">
        <v>99</v>
      </c>
      <c r="H1931" s="2" t="s">
        <v>62</v>
      </c>
      <c r="I1931" s="2" t="s">
        <v>4640</v>
      </c>
      <c r="J1931" s="3" t="str">
        <f>HYPERLINK("https://www.boe.es/gazeta/dias/1814/05/21/pdfs/GMD-1814-75.pdf#page=5","Abrir facsímil")</f>
        <v>Abrir facsímil</v>
      </c>
      <c r="K1931" s="3" t="s">
        <v>64</v>
      </c>
    </row>
    <row r="1932" spans="1:11" ht="42" customHeight="1">
      <c r="A1932" s="2" t="s">
        <v>4586</v>
      </c>
      <c r="B1932" s="2" t="s">
        <v>4586</v>
      </c>
      <c r="C1932" s="2" t="s">
        <v>32</v>
      </c>
      <c r="D1932" s="2" t="s">
        <v>18</v>
      </c>
      <c r="E1932" s="5">
        <v>-31266</v>
      </c>
      <c r="F1932" s="3" t="s">
        <v>191</v>
      </c>
      <c r="G1932" s="3" t="s">
        <v>99</v>
      </c>
      <c r="H1932" s="2" t="s">
        <v>62</v>
      </c>
      <c r="I1932" s="2" t="s">
        <v>4641</v>
      </c>
      <c r="J1932" s="3" t="str">
        <f>HYPERLINK("https://www.boe.es/gazeta/dias/1814/05/24/pdfs/GMD-1814-76.pdf#page=5","Abrir facsímil")</f>
        <v>Abrir facsímil</v>
      </c>
      <c r="K1932" s="3" t="s">
        <v>64</v>
      </c>
    </row>
    <row r="1933" spans="1:11" ht="42" customHeight="1">
      <c r="A1933" s="2" t="s">
        <v>4586</v>
      </c>
      <c r="B1933" s="2" t="s">
        <v>4586</v>
      </c>
      <c r="C1933" s="2" t="s">
        <v>38</v>
      </c>
      <c r="D1933" s="2" t="s">
        <v>39</v>
      </c>
      <c r="E1933" s="5">
        <v>-31266</v>
      </c>
      <c r="F1933" s="3" t="s">
        <v>191</v>
      </c>
      <c r="G1933" s="3" t="s">
        <v>57</v>
      </c>
      <c r="H1933" s="2" t="s">
        <v>62</v>
      </c>
      <c r="I1933" s="2" t="s">
        <v>4642</v>
      </c>
      <c r="J1933" s="3" t="str">
        <f>HYPERLINK("https://www.boe.es/gazeta/dias/1814/05/24/pdfs/GMD-1814-76.pdf#page=6","Abrir facsímil")</f>
        <v>Abrir facsímil</v>
      </c>
      <c r="K1933" s="3" t="s">
        <v>64</v>
      </c>
    </row>
    <row r="1934" spans="1:11" ht="42" customHeight="1">
      <c r="A1934" s="2" t="s">
        <v>4586</v>
      </c>
      <c r="B1934" s="2" t="s">
        <v>4586</v>
      </c>
      <c r="C1934" s="2" t="s">
        <v>38</v>
      </c>
      <c r="D1934" s="2" t="s">
        <v>39</v>
      </c>
      <c r="E1934" s="5">
        <v>-31262</v>
      </c>
      <c r="F1934" s="3" t="s">
        <v>254</v>
      </c>
      <c r="G1934" s="3" t="s">
        <v>82</v>
      </c>
      <c r="H1934" s="2" t="s">
        <v>62</v>
      </c>
      <c r="I1934" s="2" t="s">
        <v>4643</v>
      </c>
      <c r="J1934" s="3" t="str">
        <f>HYPERLINK("https://www.boe.es/gazeta/dias/1814/05/28/pdfs/GMD-1814-78.pdf#page=3","Abrir facsímil")</f>
        <v>Abrir facsímil</v>
      </c>
      <c r="K1934" s="3" t="s">
        <v>64</v>
      </c>
    </row>
    <row r="1935" spans="1:11" ht="42" customHeight="1">
      <c r="A1935" s="2" t="s">
        <v>4586</v>
      </c>
      <c r="B1935" s="2" t="s">
        <v>4586</v>
      </c>
      <c r="C1935" s="2" t="s">
        <v>26</v>
      </c>
      <c r="D1935" s="2" t="s">
        <v>27</v>
      </c>
      <c r="E1935" s="5">
        <v>-31259</v>
      </c>
      <c r="F1935" s="3" t="s">
        <v>853</v>
      </c>
      <c r="G1935" s="3" t="s">
        <v>1732</v>
      </c>
      <c r="H1935" s="2" t="s">
        <v>62</v>
      </c>
      <c r="I1935" s="2" t="s">
        <v>4644</v>
      </c>
      <c r="J1935" s="3" t="str">
        <f>HYPERLINK("https://www.boe.es/gazeta/dias/1814/05/31/pdfs/GMD-1814-79.pdf#page=5","Abrir facsímil")</f>
        <v>Abrir facsímil</v>
      </c>
      <c r="K1935" s="3" t="s">
        <v>64</v>
      </c>
    </row>
    <row r="1936" spans="1:11" ht="42" customHeight="1">
      <c r="A1936" s="2" t="s">
        <v>4586</v>
      </c>
      <c r="B1936" s="2" t="s">
        <v>4586</v>
      </c>
      <c r="C1936" s="2" t="s">
        <v>38</v>
      </c>
      <c r="D1936" s="2" t="s">
        <v>39</v>
      </c>
      <c r="E1936" s="5">
        <v>-31259</v>
      </c>
      <c r="F1936" s="3" t="s">
        <v>853</v>
      </c>
      <c r="G1936" s="3" t="s">
        <v>57</v>
      </c>
      <c r="H1936" s="2" t="s">
        <v>62</v>
      </c>
      <c r="I1936" s="2" t="s">
        <v>4645</v>
      </c>
      <c r="J1936" s="3" t="str">
        <f>HYPERLINK("https://www.boe.es/gazeta/dias/1814/05/31/pdfs/GMD-1814-79.pdf#page=6","Abrir facsímil")</f>
        <v>Abrir facsímil</v>
      </c>
      <c r="K1936" s="3" t="s">
        <v>64</v>
      </c>
    </row>
    <row r="1937" spans="1:11" ht="42" customHeight="1">
      <c r="A1937" s="2" t="s">
        <v>4586</v>
      </c>
      <c r="B1937" s="2" t="s">
        <v>4586</v>
      </c>
      <c r="C1937" s="2" t="s">
        <v>32</v>
      </c>
      <c r="D1937" s="2" t="s">
        <v>18</v>
      </c>
      <c r="E1937" s="5">
        <v>-31257</v>
      </c>
      <c r="F1937" s="3" t="s">
        <v>437</v>
      </c>
      <c r="G1937" s="3" t="s">
        <v>87</v>
      </c>
      <c r="H1937" s="2" t="s">
        <v>62</v>
      </c>
      <c r="I1937" s="2" t="s">
        <v>4646</v>
      </c>
      <c r="J1937" s="3" t="str">
        <f>HYPERLINK("https://www.boe.es/gazeta/dias/1814/06/02/pdfs/GMD-1814-80.pdf#page=2","Abrir facsímil")</f>
        <v>Abrir facsímil</v>
      </c>
      <c r="K1937" s="3" t="s">
        <v>64</v>
      </c>
    </row>
    <row r="1938" spans="1:11" ht="42" customHeight="1">
      <c r="A1938" s="2" t="s">
        <v>4586</v>
      </c>
      <c r="B1938" s="2" t="s">
        <v>4586</v>
      </c>
      <c r="C1938" s="2" t="s">
        <v>38</v>
      </c>
      <c r="D1938" s="2" t="s">
        <v>39</v>
      </c>
      <c r="E1938" s="5">
        <v>-31255</v>
      </c>
      <c r="F1938" s="3" t="s">
        <v>983</v>
      </c>
      <c r="G1938" s="3" t="s">
        <v>87</v>
      </c>
      <c r="H1938" s="2" t="s">
        <v>62</v>
      </c>
      <c r="I1938" s="2" t="s">
        <v>4647</v>
      </c>
      <c r="J1938" s="3" t="str">
        <f>HYPERLINK("https://www.boe.es/gazeta/dias/1814/06/04/pdfs/GMD-1814-81.pdf#page=2","Abrir facsímil")</f>
        <v>Abrir facsímil</v>
      </c>
      <c r="K1938" s="3" t="s">
        <v>64</v>
      </c>
    </row>
    <row r="1939" spans="1:11" ht="42" customHeight="1">
      <c r="A1939" s="2" t="s">
        <v>4586</v>
      </c>
      <c r="B1939" s="2" t="s">
        <v>4586</v>
      </c>
      <c r="C1939" s="2" t="s">
        <v>38</v>
      </c>
      <c r="D1939" s="2" t="s">
        <v>39</v>
      </c>
      <c r="E1939" s="5">
        <v>-31252</v>
      </c>
      <c r="F1939" s="3" t="s">
        <v>364</v>
      </c>
      <c r="G1939" s="3" t="s">
        <v>99</v>
      </c>
      <c r="H1939" s="2" t="s">
        <v>62</v>
      </c>
      <c r="I1939" s="2" t="s">
        <v>4648</v>
      </c>
      <c r="J1939" s="3" t="str">
        <f>HYPERLINK("https://www.boe.es/gazeta/dias/1814/06/07/pdfs/GMD-1814-82.pdf#page=5","Abrir facsímil")</f>
        <v>Abrir facsímil</v>
      </c>
      <c r="K1939" s="3" t="s">
        <v>64</v>
      </c>
    </row>
    <row r="1940" spans="1:11" ht="42" customHeight="1">
      <c r="A1940" s="2" t="s">
        <v>4586</v>
      </c>
      <c r="B1940" s="2" t="s">
        <v>4586</v>
      </c>
      <c r="C1940" s="2" t="s">
        <v>309</v>
      </c>
      <c r="D1940" s="2" t="s">
        <v>18</v>
      </c>
      <c r="E1940" s="5">
        <v>-31250</v>
      </c>
      <c r="F1940" s="3" t="s">
        <v>177</v>
      </c>
      <c r="G1940" s="3" t="s">
        <v>41</v>
      </c>
      <c r="H1940" s="2" t="s">
        <v>62</v>
      </c>
      <c r="I1940" s="2" t="s">
        <v>4649</v>
      </c>
      <c r="J1940" s="3" t="str">
        <f>HYPERLINK("https://www.boe.es/gazeta/dias/1814/06/09/pdfs/GMD-1814-83.pdf#page=4","Abrir facsímil")</f>
        <v>Abrir facsímil</v>
      </c>
      <c r="K1940" s="3" t="s">
        <v>64</v>
      </c>
    </row>
    <row r="1941" spans="1:11" ht="42" customHeight="1">
      <c r="A1941" s="2" t="s">
        <v>4586</v>
      </c>
      <c r="B1941" s="2" t="s">
        <v>4586</v>
      </c>
      <c r="C1941" s="2" t="s">
        <v>26</v>
      </c>
      <c r="D1941" s="2" t="s">
        <v>27</v>
      </c>
      <c r="E1941" s="5">
        <v>-31250</v>
      </c>
      <c r="F1941" s="3" t="s">
        <v>177</v>
      </c>
      <c r="G1941" s="3" t="s">
        <v>52</v>
      </c>
      <c r="H1941" s="2" t="s">
        <v>62</v>
      </c>
      <c r="I1941" s="2" t="s">
        <v>4650</v>
      </c>
      <c r="J1941" s="3" t="str">
        <f>HYPERLINK("https://www.boe.es/gazeta/dias/1814/06/09/pdfs/GMD-1814-83.pdf#page=8","Abrir facsímil")</f>
        <v>Abrir facsímil</v>
      </c>
      <c r="K1941" s="3" t="s">
        <v>64</v>
      </c>
    </row>
    <row r="1942" spans="1:11" ht="42" customHeight="1">
      <c r="A1942" s="2" t="s">
        <v>4586</v>
      </c>
      <c r="B1942" s="2" t="s">
        <v>4586</v>
      </c>
      <c r="C1942" s="2" t="s">
        <v>17</v>
      </c>
      <c r="D1942" s="2" t="s">
        <v>18</v>
      </c>
      <c r="E1942" s="5">
        <v>-31248</v>
      </c>
      <c r="F1942" s="3" t="s">
        <v>1123</v>
      </c>
      <c r="G1942" s="3" t="s">
        <v>20</v>
      </c>
      <c r="H1942" s="2" t="s">
        <v>62</v>
      </c>
      <c r="I1942" s="2" t="s">
        <v>4651</v>
      </c>
      <c r="J1942" s="3" t="str">
        <f>HYPERLINK("https://www.boe.es/gazeta/dias/1814/06/11/pdfs/GMD-1814-84.pdf#page=7","Abrir facsímil")</f>
        <v>Abrir facsímil</v>
      </c>
      <c r="K1942" s="3" t="s">
        <v>64</v>
      </c>
    </row>
    <row r="1943" spans="1:11" ht="42" customHeight="1">
      <c r="A1943" s="2" t="s">
        <v>4586</v>
      </c>
      <c r="B1943" s="2" t="s">
        <v>4586</v>
      </c>
      <c r="C1943" s="2" t="s">
        <v>144</v>
      </c>
      <c r="D1943" s="2" t="s">
        <v>18</v>
      </c>
      <c r="E1943" s="5">
        <v>-31245</v>
      </c>
      <c r="F1943" s="3" t="s">
        <v>908</v>
      </c>
      <c r="G1943" s="3" t="s">
        <v>4652</v>
      </c>
      <c r="H1943" s="2" t="s">
        <v>62</v>
      </c>
      <c r="I1943" s="2" t="s">
        <v>4653</v>
      </c>
      <c r="J1943" s="3" t="str">
        <f>HYPERLINK("https://www.boe.es/gazeta/dias/1814/06/14/pdfs/GMD-1814-85.pdf#page=4","Abrir facsímil")</f>
        <v>Abrir facsímil</v>
      </c>
      <c r="K1943" s="3" t="s">
        <v>64</v>
      </c>
    </row>
    <row r="1944" spans="1:11" ht="42" customHeight="1">
      <c r="A1944" s="2" t="s">
        <v>4586</v>
      </c>
      <c r="B1944" s="2" t="s">
        <v>4586</v>
      </c>
      <c r="C1944" s="2" t="s">
        <v>17</v>
      </c>
      <c r="D1944" s="2" t="s">
        <v>18</v>
      </c>
      <c r="E1944" s="5">
        <v>-31243</v>
      </c>
      <c r="F1944" s="3" t="s">
        <v>500</v>
      </c>
      <c r="G1944" s="3" t="s">
        <v>4654</v>
      </c>
      <c r="H1944" s="2" t="s">
        <v>62</v>
      </c>
      <c r="I1944" s="2" t="s">
        <v>4655</v>
      </c>
      <c r="J1944" s="3" t="str">
        <f>HYPERLINK("https://www.boe.es/gazeta/dias/1814/06/16/pdfs/GMD-1814-86.pdf#page=5","Abrir facsímil")</f>
        <v>Abrir facsímil</v>
      </c>
      <c r="K1944" s="3" t="s">
        <v>64</v>
      </c>
    </row>
    <row r="1945" spans="1:11" ht="42" customHeight="1">
      <c r="A1945" s="2" t="s">
        <v>4586</v>
      </c>
      <c r="B1945" s="2" t="s">
        <v>4586</v>
      </c>
      <c r="C1945" s="2" t="s">
        <v>32</v>
      </c>
      <c r="D1945" s="2" t="s">
        <v>18</v>
      </c>
      <c r="E1945" s="5">
        <v>-31243</v>
      </c>
      <c r="F1945" s="3" t="s">
        <v>500</v>
      </c>
      <c r="G1945" s="3" t="s">
        <v>4656</v>
      </c>
      <c r="H1945" s="2" t="s">
        <v>62</v>
      </c>
      <c r="I1945" s="2" t="s">
        <v>4657</v>
      </c>
      <c r="J1945" s="3" t="str">
        <f>HYPERLINK("https://www.boe.es/gazeta/dias/1814/06/16/pdfs/GMD-1814-86.pdf#page=12","Abrir facsímil")</f>
        <v>Abrir facsímil</v>
      </c>
      <c r="K1945" s="3" t="s">
        <v>64</v>
      </c>
    </row>
    <row r="1946" spans="1:11" ht="42" customHeight="1">
      <c r="A1946" s="2" t="s">
        <v>4586</v>
      </c>
      <c r="B1946" s="2" t="s">
        <v>4586</v>
      </c>
      <c r="C1946" s="2" t="s">
        <v>26</v>
      </c>
      <c r="D1946" s="2" t="s">
        <v>27</v>
      </c>
      <c r="E1946" s="5">
        <v>-31243</v>
      </c>
      <c r="F1946" s="3" t="s">
        <v>500</v>
      </c>
      <c r="G1946" s="3" t="s">
        <v>57</v>
      </c>
      <c r="H1946" s="2" t="s">
        <v>62</v>
      </c>
      <c r="I1946" s="2" t="s">
        <v>4658</v>
      </c>
      <c r="J1946" s="3" t="str">
        <f>HYPERLINK("https://www.boe.es/gazeta/dias/1814/06/16/pdfs/GMD-1814-86.pdf#page=6","Abrir facsímil")</f>
        <v>Abrir facsímil</v>
      </c>
      <c r="K1946" s="3" t="s">
        <v>64</v>
      </c>
    </row>
    <row r="1947" spans="1:11" ht="42" customHeight="1">
      <c r="A1947" s="2" t="s">
        <v>4586</v>
      </c>
      <c r="B1947" s="2" t="s">
        <v>4586</v>
      </c>
      <c r="C1947" s="2" t="s">
        <v>32</v>
      </c>
      <c r="D1947" s="2" t="s">
        <v>18</v>
      </c>
      <c r="E1947" s="5">
        <v>-31241</v>
      </c>
      <c r="F1947" s="3" t="s">
        <v>703</v>
      </c>
      <c r="G1947" s="3" t="s">
        <v>4659</v>
      </c>
      <c r="H1947" s="2" t="s">
        <v>62</v>
      </c>
      <c r="I1947" s="2" t="s">
        <v>4660</v>
      </c>
      <c r="J1947" s="3" t="str">
        <f>HYPERLINK("https://www.boe.es/gazeta/dias/1814/06/18/pdfs/GMD-1814-87.pdf#page=7","Abrir facsímil")</f>
        <v>Abrir facsímil</v>
      </c>
      <c r="K1947" s="3" t="s">
        <v>64</v>
      </c>
    </row>
    <row r="1948" spans="1:11" ht="42" customHeight="1">
      <c r="A1948" s="2" t="s">
        <v>4586</v>
      </c>
      <c r="B1948" s="2" t="s">
        <v>4586</v>
      </c>
      <c r="C1948" s="2" t="s">
        <v>38</v>
      </c>
      <c r="D1948" s="2" t="s">
        <v>39</v>
      </c>
      <c r="E1948" s="5">
        <v>-31241</v>
      </c>
      <c r="F1948" s="3" t="s">
        <v>703</v>
      </c>
      <c r="G1948" s="3" t="s">
        <v>52</v>
      </c>
      <c r="H1948" s="2" t="s">
        <v>62</v>
      </c>
      <c r="I1948" s="2" t="s">
        <v>4661</v>
      </c>
      <c r="J1948" s="3" t="str">
        <f>HYPERLINK("https://www.boe.es/gazeta/dias/1814/06/18/pdfs/GMD-1814-87.pdf#page=8","Abrir facsímil")</f>
        <v>Abrir facsímil</v>
      </c>
      <c r="K1948" s="3" t="s">
        <v>64</v>
      </c>
    </row>
    <row r="1949" spans="1:11" ht="42" customHeight="1">
      <c r="A1949" s="2" t="s">
        <v>4586</v>
      </c>
      <c r="B1949" s="2" t="s">
        <v>4586</v>
      </c>
      <c r="C1949" s="2" t="s">
        <v>38</v>
      </c>
      <c r="D1949" s="2" t="s">
        <v>39</v>
      </c>
      <c r="E1949" s="5">
        <v>-31238</v>
      </c>
      <c r="F1949" s="3" t="s">
        <v>127</v>
      </c>
      <c r="G1949" s="3" t="s">
        <v>4662</v>
      </c>
      <c r="H1949" s="2" t="s">
        <v>62</v>
      </c>
      <c r="I1949" s="2" t="s">
        <v>4663</v>
      </c>
      <c r="J1949" s="3" t="str">
        <f>HYPERLINK("https://www.boe.es/gazeta/dias/1814/06/21/pdfs/GMD-1814-88.pdf#page=6","Abrir facsímil")</f>
        <v>Abrir facsímil</v>
      </c>
      <c r="K1949" s="3" t="s">
        <v>64</v>
      </c>
    </row>
    <row r="1950" spans="1:11" ht="42" customHeight="1">
      <c r="A1950" s="2" t="s">
        <v>4586</v>
      </c>
      <c r="B1950" s="2" t="s">
        <v>4586</v>
      </c>
      <c r="C1950" s="2" t="s">
        <v>17</v>
      </c>
      <c r="D1950" s="2" t="s">
        <v>18</v>
      </c>
      <c r="E1950" s="5">
        <v>-31236</v>
      </c>
      <c r="F1950" s="3" t="s">
        <v>33</v>
      </c>
      <c r="G1950" s="3" t="s">
        <v>41</v>
      </c>
      <c r="H1950" s="2" t="s">
        <v>62</v>
      </c>
      <c r="I1950" s="2" t="s">
        <v>4664</v>
      </c>
      <c r="J1950" s="3" t="str">
        <f>HYPERLINK("https://www.boe.es/gazeta/dias/1814/06/23/pdfs/GMD-1814-89.pdf#page=4","Abrir facsímil")</f>
        <v>Abrir facsímil</v>
      </c>
      <c r="K1950" s="3" t="s">
        <v>64</v>
      </c>
    </row>
    <row r="1951" spans="1:11" ht="42" customHeight="1">
      <c r="A1951" s="2" t="s">
        <v>4586</v>
      </c>
      <c r="B1951" s="2" t="s">
        <v>4586</v>
      </c>
      <c r="C1951" s="2" t="s">
        <v>38</v>
      </c>
      <c r="D1951" s="2" t="s">
        <v>39</v>
      </c>
      <c r="E1951" s="5">
        <v>-31234</v>
      </c>
      <c r="F1951" s="3" t="s">
        <v>462</v>
      </c>
      <c r="G1951" s="3" t="s">
        <v>2864</v>
      </c>
      <c r="H1951" s="2" t="s">
        <v>62</v>
      </c>
      <c r="I1951" s="2" t="s">
        <v>4665</v>
      </c>
      <c r="J1951" s="3" t="str">
        <f>HYPERLINK("https://www.boe.es/gazeta/dias/1814/06/25/pdfs/GMD-1814-90.pdf#page=12","Abrir facsímil")</f>
        <v>Abrir facsímil</v>
      </c>
      <c r="K1951" s="3" t="s">
        <v>64</v>
      </c>
    </row>
    <row r="1952" spans="1:11" ht="42" customHeight="1">
      <c r="A1952" s="2" t="s">
        <v>4586</v>
      </c>
      <c r="B1952" s="2" t="s">
        <v>4586</v>
      </c>
      <c r="C1952" s="2" t="s">
        <v>17</v>
      </c>
      <c r="D1952" s="2" t="s">
        <v>18</v>
      </c>
      <c r="E1952" s="5">
        <v>-31231</v>
      </c>
      <c r="F1952" s="3" t="s">
        <v>861</v>
      </c>
      <c r="G1952" s="3" t="s">
        <v>322</v>
      </c>
      <c r="H1952" s="2" t="s">
        <v>62</v>
      </c>
      <c r="I1952" s="2" t="s">
        <v>4666</v>
      </c>
      <c r="J1952" s="3" t="str">
        <f>HYPERLINK("https://www.boe.es/gazeta/dias/1814/06/28/pdfs/GMD-1814-91.pdf#page=12","Abrir facsímil")</f>
        <v>Abrir facsímil</v>
      </c>
      <c r="K1952" s="3" t="s">
        <v>64</v>
      </c>
    </row>
    <row r="1953" spans="1:11" ht="42" customHeight="1">
      <c r="A1953" s="2" t="s">
        <v>4586</v>
      </c>
      <c r="B1953" s="2" t="s">
        <v>4586</v>
      </c>
      <c r="C1953" s="2" t="s">
        <v>26</v>
      </c>
      <c r="D1953" s="2" t="s">
        <v>27</v>
      </c>
      <c r="E1953" s="5">
        <v>-31229</v>
      </c>
      <c r="F1953" s="3" t="s">
        <v>502</v>
      </c>
      <c r="G1953" s="3" t="s">
        <v>41</v>
      </c>
      <c r="H1953" s="2" t="s">
        <v>62</v>
      </c>
      <c r="I1953" s="2" t="s">
        <v>4667</v>
      </c>
      <c r="J1953" s="3" t="str">
        <f>HYPERLINK("https://www.boe.es/gazeta/dias/1814/06/30/pdfs/GMD-1814-92.pdf#page=4","Abrir facsímil")</f>
        <v>Abrir facsímil</v>
      </c>
      <c r="K1953" s="3" t="s">
        <v>64</v>
      </c>
    </row>
    <row r="1954" spans="1:11" ht="42" customHeight="1">
      <c r="A1954" s="2" t="s">
        <v>4586</v>
      </c>
      <c r="B1954" s="2" t="s">
        <v>4586</v>
      </c>
      <c r="C1954" s="2" t="s">
        <v>32</v>
      </c>
      <c r="D1954" s="2" t="s">
        <v>18</v>
      </c>
      <c r="E1954" s="5">
        <v>-31229</v>
      </c>
      <c r="F1954" s="3" t="s">
        <v>502</v>
      </c>
      <c r="G1954" s="3" t="s">
        <v>99</v>
      </c>
      <c r="H1954" s="2" t="s">
        <v>62</v>
      </c>
      <c r="I1954" s="2" t="s">
        <v>4668</v>
      </c>
      <c r="J1954" s="3" t="str">
        <f>HYPERLINK("https://www.boe.es/gazeta/dias/1814/06/30/pdfs/GMD-1814-92.pdf#page=5","Abrir facsímil")</f>
        <v>Abrir facsímil</v>
      </c>
      <c r="K1954" s="3" t="s">
        <v>64</v>
      </c>
    </row>
    <row r="1955" spans="1:11" ht="42" customHeight="1">
      <c r="A1955" s="2" t="s">
        <v>4586</v>
      </c>
      <c r="B1955" s="2" t="s">
        <v>4586</v>
      </c>
      <c r="C1955" s="2" t="s">
        <v>17</v>
      </c>
      <c r="D1955" s="2" t="s">
        <v>18</v>
      </c>
      <c r="E1955" s="5">
        <v>-31227</v>
      </c>
      <c r="F1955" s="3" t="s">
        <v>102</v>
      </c>
      <c r="G1955" s="3" t="s">
        <v>103</v>
      </c>
      <c r="H1955" s="2" t="s">
        <v>62</v>
      </c>
      <c r="I1955" s="2" t="s">
        <v>4669</v>
      </c>
      <c r="J1955" s="3" t="str">
        <f>HYPERLINK("https://www.boe.es/gazeta/dias/1814/07/02/pdfs/GMD-1814-93.pdf#page=4","Abrir facsímil")</f>
        <v>Abrir facsímil</v>
      </c>
      <c r="K1955" s="3" t="s">
        <v>64</v>
      </c>
    </row>
    <row r="1956" spans="1:11" ht="42" customHeight="1">
      <c r="A1956" s="2" t="s">
        <v>4586</v>
      </c>
      <c r="B1956" s="2" t="s">
        <v>4586</v>
      </c>
      <c r="C1956" s="2" t="s">
        <v>26</v>
      </c>
      <c r="D1956" s="2" t="s">
        <v>27</v>
      </c>
      <c r="E1956" s="5">
        <v>-31224</v>
      </c>
      <c r="F1956" s="3" t="s">
        <v>609</v>
      </c>
      <c r="G1956" s="3" t="s">
        <v>52</v>
      </c>
      <c r="H1956" s="2" t="s">
        <v>62</v>
      </c>
      <c r="I1956" s="2" t="s">
        <v>4670</v>
      </c>
      <c r="J1956" s="3" t="str">
        <f>HYPERLINK("https://www.boe.es/gazeta/dias/1814/07/05/pdfs/GMD-1814-94.pdf#page=8","Abrir facsímil")</f>
        <v>Abrir facsímil</v>
      </c>
      <c r="K1956" s="3" t="s">
        <v>64</v>
      </c>
    </row>
    <row r="1957" spans="1:11" ht="42" customHeight="1">
      <c r="A1957" s="2" t="s">
        <v>4586</v>
      </c>
      <c r="B1957" s="2" t="s">
        <v>4586</v>
      </c>
      <c r="C1957" s="2" t="s">
        <v>38</v>
      </c>
      <c r="D1957" s="2" t="s">
        <v>39</v>
      </c>
      <c r="E1957" s="5">
        <v>-31222</v>
      </c>
      <c r="F1957" s="3" t="s">
        <v>153</v>
      </c>
      <c r="G1957" s="3" t="s">
        <v>322</v>
      </c>
      <c r="H1957" s="2" t="s">
        <v>62</v>
      </c>
      <c r="I1957" s="2" t="s">
        <v>4671</v>
      </c>
      <c r="J1957" s="3" t="str">
        <f>HYPERLINK("https://www.boe.es/gazeta/dias/1814/07/07/pdfs/GMD-1814-95.pdf#page=12","Abrir facsímil")</f>
        <v>Abrir facsímil</v>
      </c>
      <c r="K1957" s="3" t="s">
        <v>64</v>
      </c>
    </row>
    <row r="1958" spans="1:11" ht="42" customHeight="1">
      <c r="A1958" s="2" t="s">
        <v>4586</v>
      </c>
      <c r="B1958" s="2" t="s">
        <v>4586</v>
      </c>
      <c r="C1958" s="2" t="s">
        <v>38</v>
      </c>
      <c r="D1958" s="2" t="s">
        <v>39</v>
      </c>
      <c r="E1958" s="5">
        <v>-31222</v>
      </c>
      <c r="F1958" s="3" t="s">
        <v>153</v>
      </c>
      <c r="G1958" s="3" t="s">
        <v>99</v>
      </c>
      <c r="H1958" s="2" t="s">
        <v>62</v>
      </c>
      <c r="I1958" s="2" t="s">
        <v>4672</v>
      </c>
      <c r="J1958" s="3" t="str">
        <f>HYPERLINK("https://www.boe.es/gazeta/dias/1814/07/07/pdfs/GMD-1814-95.pdf#page=5","Abrir facsímil")</f>
        <v>Abrir facsímil</v>
      </c>
      <c r="K1958" s="3" t="s">
        <v>64</v>
      </c>
    </row>
    <row r="1959" spans="1:11" ht="42" customHeight="1">
      <c r="A1959" s="2" t="s">
        <v>4586</v>
      </c>
      <c r="B1959" s="2" t="s">
        <v>4586</v>
      </c>
      <c r="C1959" s="2" t="s">
        <v>32</v>
      </c>
      <c r="D1959" s="2" t="s">
        <v>18</v>
      </c>
      <c r="E1959" s="5">
        <v>-31217</v>
      </c>
      <c r="F1959" s="3" t="s">
        <v>506</v>
      </c>
      <c r="G1959" s="3" t="s">
        <v>322</v>
      </c>
      <c r="H1959" s="2" t="s">
        <v>62</v>
      </c>
      <c r="I1959" s="2" t="s">
        <v>4673</v>
      </c>
      <c r="J1959" s="3" t="str">
        <f>HYPERLINK("https://www.boe.es/gazeta/dias/1814/07/12/pdfs/GMD-1814-97.pdf#page=12","Abrir facsímil")</f>
        <v>Abrir facsímil</v>
      </c>
      <c r="K1959" s="3" t="s">
        <v>64</v>
      </c>
    </row>
    <row r="1960" spans="1:11" ht="42" customHeight="1">
      <c r="A1960" s="2" t="s">
        <v>4586</v>
      </c>
      <c r="B1960" s="2" t="s">
        <v>4586</v>
      </c>
      <c r="C1960" s="2" t="s">
        <v>38</v>
      </c>
      <c r="D1960" s="2" t="s">
        <v>39</v>
      </c>
      <c r="E1960" s="5">
        <v>-31217</v>
      </c>
      <c r="F1960" s="3" t="s">
        <v>506</v>
      </c>
      <c r="G1960" s="3" t="s">
        <v>137</v>
      </c>
      <c r="H1960" s="2" t="s">
        <v>62</v>
      </c>
      <c r="I1960" s="2" t="s">
        <v>4674</v>
      </c>
      <c r="J1960" s="3" t="str">
        <f>HYPERLINK("https://www.boe.es/gazeta/dias/1814/07/12/pdfs/GMD-1814-97.pdf#page=9","Abrir facsímil")</f>
        <v>Abrir facsímil</v>
      </c>
      <c r="K1960" s="3" t="s">
        <v>64</v>
      </c>
    </row>
    <row r="1961" spans="1:11" ht="42" customHeight="1">
      <c r="A1961" s="2" t="s">
        <v>4586</v>
      </c>
      <c r="B1961" s="2" t="s">
        <v>4586</v>
      </c>
      <c r="C1961" s="2" t="s">
        <v>26</v>
      </c>
      <c r="D1961" s="2" t="s">
        <v>27</v>
      </c>
      <c r="E1961" s="5">
        <v>-31215</v>
      </c>
      <c r="F1961" s="3" t="s">
        <v>372</v>
      </c>
      <c r="G1961" s="3" t="s">
        <v>322</v>
      </c>
      <c r="H1961" s="2" t="s">
        <v>62</v>
      </c>
      <c r="I1961" s="2" t="s">
        <v>4675</v>
      </c>
      <c r="J1961" s="3" t="str">
        <f>HYPERLINK("https://www.boe.es/gazeta/dias/1814/07/14/pdfs/GMD-1814-98.pdf#page=12","Abrir facsímil")</f>
        <v>Abrir facsímil</v>
      </c>
      <c r="K1961" s="3" t="s">
        <v>64</v>
      </c>
    </row>
    <row r="1962" spans="1:11" ht="42" customHeight="1">
      <c r="A1962" s="2" t="s">
        <v>4586</v>
      </c>
      <c r="B1962" s="2" t="s">
        <v>4586</v>
      </c>
      <c r="C1962" s="2" t="s">
        <v>38</v>
      </c>
      <c r="D1962" s="2" t="s">
        <v>39</v>
      </c>
      <c r="E1962" s="5">
        <v>-31208</v>
      </c>
      <c r="F1962" s="3" t="s">
        <v>509</v>
      </c>
      <c r="G1962" s="3" t="s">
        <v>3455</v>
      </c>
      <c r="H1962" s="2" t="s">
        <v>62</v>
      </c>
      <c r="I1962" s="2" t="s">
        <v>4676</v>
      </c>
      <c r="J1962" s="3" t="str">
        <f>HYPERLINK("https://www.boe.es/gazeta/dias/1814/07/21/pdfs/GMD-1814-101.pdf#page=8","Abrir facsímil")</f>
        <v>Abrir facsímil</v>
      </c>
      <c r="K1962" s="3" t="s">
        <v>64</v>
      </c>
    </row>
    <row r="1963" spans="1:11" ht="42" customHeight="1">
      <c r="A1963" s="2" t="s">
        <v>4586</v>
      </c>
      <c r="B1963" s="2" t="s">
        <v>4586</v>
      </c>
      <c r="C1963" s="2" t="s">
        <v>26</v>
      </c>
      <c r="D1963" s="2" t="s">
        <v>27</v>
      </c>
      <c r="E1963" s="5">
        <v>-31206</v>
      </c>
      <c r="F1963" s="3" t="s">
        <v>1196</v>
      </c>
      <c r="G1963" s="3" t="s">
        <v>41</v>
      </c>
      <c r="H1963" s="2" t="s">
        <v>62</v>
      </c>
      <c r="I1963" s="2" t="s">
        <v>4677</v>
      </c>
      <c r="J1963" s="3" t="str">
        <f>HYPERLINK("https://www.boe.es/gazeta/dias/1814/07/23/pdfs/GMD-1814-102.pdf#page=4","Abrir facsímil")</f>
        <v>Abrir facsímil</v>
      </c>
      <c r="K1963" s="3" t="s">
        <v>64</v>
      </c>
    </row>
    <row r="1964" spans="1:11" ht="42" customHeight="1">
      <c r="A1964" s="2" t="s">
        <v>4586</v>
      </c>
      <c r="B1964" s="2" t="s">
        <v>4586</v>
      </c>
      <c r="C1964" s="2" t="s">
        <v>26</v>
      </c>
      <c r="D1964" s="2" t="s">
        <v>27</v>
      </c>
      <c r="E1964" s="5">
        <v>-31199</v>
      </c>
      <c r="F1964" s="3" t="s">
        <v>453</v>
      </c>
      <c r="G1964" s="3" t="s">
        <v>4678</v>
      </c>
      <c r="H1964" s="2" t="s">
        <v>62</v>
      </c>
      <c r="I1964" s="2" t="s">
        <v>4679</v>
      </c>
      <c r="J1964" s="3" t="str">
        <f>HYPERLINK("https://www.boe.es/gazeta/dias/1814/07/30/pdfs/GMD-1814-105.pdf#page=6","Abrir facsímil")</f>
        <v>Abrir facsímil</v>
      </c>
      <c r="K1964" s="3" t="s">
        <v>64</v>
      </c>
    </row>
    <row r="1965" spans="1:11" ht="42" customHeight="1">
      <c r="A1965" s="2" t="s">
        <v>4586</v>
      </c>
      <c r="B1965" s="2" t="s">
        <v>4586</v>
      </c>
      <c r="C1965" s="2" t="s">
        <v>26</v>
      </c>
      <c r="D1965" s="2" t="s">
        <v>27</v>
      </c>
      <c r="E1965" s="5">
        <v>-31196</v>
      </c>
      <c r="F1965" s="3" t="s">
        <v>828</v>
      </c>
      <c r="G1965" s="3" t="s">
        <v>2207</v>
      </c>
      <c r="H1965" s="2" t="s">
        <v>62</v>
      </c>
      <c r="I1965" s="2" t="s">
        <v>4680</v>
      </c>
      <c r="J1965" s="3" t="str">
        <f>HYPERLINK("https://www.boe.es/gazeta/dias/1814/08/02/pdfs/GMD-1814-106.pdf#page=5","Abrir facsímil")</f>
        <v>Abrir facsímil</v>
      </c>
      <c r="K1965" s="3" t="s">
        <v>64</v>
      </c>
    </row>
    <row r="1966" spans="1:11" ht="42" customHeight="1">
      <c r="A1966" s="2" t="s">
        <v>4586</v>
      </c>
      <c r="B1966" s="2" t="s">
        <v>4586</v>
      </c>
      <c r="C1966" s="2" t="s">
        <v>26</v>
      </c>
      <c r="D1966" s="2" t="s">
        <v>27</v>
      </c>
      <c r="E1966" s="5">
        <v>-31196</v>
      </c>
      <c r="F1966" s="3" t="s">
        <v>828</v>
      </c>
      <c r="G1966" s="3" t="s">
        <v>52</v>
      </c>
      <c r="H1966" s="2" t="s">
        <v>62</v>
      </c>
      <c r="I1966" s="2" t="s">
        <v>4681</v>
      </c>
      <c r="J1966" s="3" t="str">
        <f>HYPERLINK("https://www.boe.es/gazeta/dias/1814/08/02/pdfs/GMD-1814-106.pdf#page=8","Abrir facsímil")</f>
        <v>Abrir facsímil</v>
      </c>
      <c r="K1966" s="3" t="s">
        <v>64</v>
      </c>
    </row>
    <row r="1967" spans="1:11" ht="42" customHeight="1">
      <c r="A1967" s="2" t="s">
        <v>4586</v>
      </c>
      <c r="B1967" s="2" t="s">
        <v>4586</v>
      </c>
      <c r="C1967" s="2" t="s">
        <v>309</v>
      </c>
      <c r="D1967" s="2" t="s">
        <v>18</v>
      </c>
      <c r="E1967" s="5">
        <v>-31194</v>
      </c>
      <c r="F1967" s="3" t="s">
        <v>333</v>
      </c>
      <c r="G1967" s="3" t="s">
        <v>20</v>
      </c>
      <c r="H1967" s="2" t="s">
        <v>62</v>
      </c>
      <c r="I1967" s="2" t="s">
        <v>4682</v>
      </c>
      <c r="J1967" s="3" t="str">
        <f>HYPERLINK("https://www.boe.es/gazeta/dias/1814/08/04/pdfs/GMD-1814-107.pdf#page=7","Abrir facsímil")</f>
        <v>Abrir facsímil</v>
      </c>
      <c r="K1967" s="3" t="s">
        <v>64</v>
      </c>
    </row>
    <row r="1968" spans="1:11" ht="42" customHeight="1">
      <c r="A1968" s="2" t="s">
        <v>4586</v>
      </c>
      <c r="B1968" s="2" t="s">
        <v>4586</v>
      </c>
      <c r="C1968" s="2" t="s">
        <v>38</v>
      </c>
      <c r="D1968" s="2" t="s">
        <v>39</v>
      </c>
      <c r="E1968" s="5">
        <v>-31192</v>
      </c>
      <c r="F1968" s="3" t="s">
        <v>388</v>
      </c>
      <c r="G1968" s="3" t="s">
        <v>865</v>
      </c>
      <c r="H1968" s="2" t="s">
        <v>62</v>
      </c>
      <c r="I1968" s="2" t="s">
        <v>4683</v>
      </c>
      <c r="J1968" s="3" t="str">
        <f>HYPERLINK("https://www.boe.es/gazeta/dias/1814/08/06/pdfs/GMD-1814-108.pdf#page=5","Abrir facsímil")</f>
        <v>Abrir facsímil</v>
      </c>
      <c r="K1968" s="3" t="s">
        <v>64</v>
      </c>
    </row>
    <row r="1969" spans="1:11" ht="42" customHeight="1">
      <c r="A1969" s="2" t="s">
        <v>4586</v>
      </c>
      <c r="B1969" s="2" t="s">
        <v>4586</v>
      </c>
      <c r="C1969" s="2" t="s">
        <v>687</v>
      </c>
      <c r="D1969" s="2" t="s">
        <v>27</v>
      </c>
      <c r="E1969" s="5">
        <v>-31187</v>
      </c>
      <c r="F1969" s="3" t="s">
        <v>518</v>
      </c>
      <c r="G1969" s="3" t="s">
        <v>52</v>
      </c>
      <c r="H1969" s="2" t="s">
        <v>62</v>
      </c>
      <c r="I1969" s="2" t="s">
        <v>4684</v>
      </c>
      <c r="J1969" s="3" t="str">
        <f>HYPERLINK("https://www.boe.es/gazeta/dias/1814/08/11/pdfs/GMD-1814-110.pdf#page=8","Abrir facsímil")</f>
        <v>Abrir facsímil</v>
      </c>
      <c r="K1969" s="3" t="s">
        <v>64</v>
      </c>
    </row>
    <row r="1970" spans="1:11" ht="42" customHeight="1">
      <c r="A1970" s="2" t="s">
        <v>4586</v>
      </c>
      <c r="B1970" s="2" t="s">
        <v>4586</v>
      </c>
      <c r="C1970" s="2" t="s">
        <v>26</v>
      </c>
      <c r="D1970" s="2" t="s">
        <v>27</v>
      </c>
      <c r="E1970" s="5">
        <v>-31185</v>
      </c>
      <c r="F1970" s="3" t="s">
        <v>1238</v>
      </c>
      <c r="G1970" s="3" t="s">
        <v>99</v>
      </c>
      <c r="H1970" s="2" t="s">
        <v>62</v>
      </c>
      <c r="I1970" s="2" t="s">
        <v>4685</v>
      </c>
      <c r="J1970" s="3" t="str">
        <f>HYPERLINK("https://www.boe.es/gazeta/dias/1814/08/13/pdfs/GMD-1814-111.pdf#page=5","Abrir facsímil")</f>
        <v>Abrir facsímil</v>
      </c>
      <c r="K1970" s="3" t="s">
        <v>64</v>
      </c>
    </row>
    <row r="1971" spans="1:11" ht="42" customHeight="1">
      <c r="A1971" s="2" t="s">
        <v>4586</v>
      </c>
      <c r="B1971" s="2" t="s">
        <v>4586</v>
      </c>
      <c r="C1971" s="2" t="s">
        <v>17</v>
      </c>
      <c r="D1971" s="2" t="s">
        <v>18</v>
      </c>
      <c r="E1971" s="5">
        <v>-31173</v>
      </c>
      <c r="F1971" s="3" t="s">
        <v>46</v>
      </c>
      <c r="G1971" s="3" t="s">
        <v>4686</v>
      </c>
      <c r="H1971" s="2" t="s">
        <v>62</v>
      </c>
      <c r="I1971" s="2" t="s">
        <v>4687</v>
      </c>
      <c r="J1971" s="3" t="str">
        <f>HYPERLINK("https://www.boe.es/gazeta/dias/1814/08/25/pdfs/GMD-1814-116.pdf#page=5","Abrir facsímil")</f>
        <v>Abrir facsímil</v>
      </c>
      <c r="K1971" s="3" t="s">
        <v>64</v>
      </c>
    </row>
    <row r="1972" spans="1:11" ht="42" customHeight="1">
      <c r="A1972" s="2" t="s">
        <v>4586</v>
      </c>
      <c r="B1972" s="2" t="s">
        <v>4586</v>
      </c>
      <c r="C1972" s="2" t="s">
        <v>105</v>
      </c>
      <c r="D1972" s="2" t="s">
        <v>18</v>
      </c>
      <c r="E1972" s="5">
        <v>-31173</v>
      </c>
      <c r="F1972" s="3" t="s">
        <v>46</v>
      </c>
      <c r="G1972" s="3" t="s">
        <v>52</v>
      </c>
      <c r="H1972" s="2" t="s">
        <v>62</v>
      </c>
      <c r="I1972" s="2" t="s">
        <v>4688</v>
      </c>
      <c r="J1972" s="3" t="str">
        <f>HYPERLINK("https://www.boe.es/gazeta/dias/1814/08/25/pdfs/GMD-1814-116.pdf#page=8","Abrir facsímil")</f>
        <v>Abrir facsímil</v>
      </c>
      <c r="K1972" s="3" t="s">
        <v>64</v>
      </c>
    </row>
    <row r="1973" spans="1:11" ht="42" customHeight="1">
      <c r="A1973" s="2" t="s">
        <v>4586</v>
      </c>
      <c r="B1973" s="2" t="s">
        <v>4586</v>
      </c>
      <c r="C1973" s="2" t="s">
        <v>105</v>
      </c>
      <c r="D1973" s="2" t="s">
        <v>18</v>
      </c>
      <c r="E1973" s="5">
        <v>-31166</v>
      </c>
      <c r="F1973" s="3" t="s">
        <v>2799</v>
      </c>
      <c r="G1973" s="3" t="s">
        <v>4689</v>
      </c>
      <c r="H1973" s="2" t="s">
        <v>62</v>
      </c>
      <c r="I1973" s="2" t="s">
        <v>4690</v>
      </c>
      <c r="J1973" s="3" t="str">
        <f>HYPERLINK("https://www.boe.es/gazeta/dias/1814/09/01/pdfs/GMD-1814-119.pdf#page=13","Abrir facsímil")</f>
        <v>Abrir facsímil</v>
      </c>
      <c r="K1973" s="3" t="s">
        <v>64</v>
      </c>
    </row>
    <row r="1974" spans="1:11" ht="42" customHeight="1">
      <c r="A1974" s="2" t="s">
        <v>4586</v>
      </c>
      <c r="B1974" s="2" t="s">
        <v>4586</v>
      </c>
      <c r="C1974" s="2" t="s">
        <v>38</v>
      </c>
      <c r="D1974" s="2" t="s">
        <v>314</v>
      </c>
      <c r="E1974" s="5">
        <v>-31165</v>
      </c>
      <c r="F1974" s="3" t="s">
        <v>2087</v>
      </c>
      <c r="G1974" s="3" t="s">
        <v>107</v>
      </c>
      <c r="H1974" s="2" t="s">
        <v>62</v>
      </c>
      <c r="I1974" s="2" t="s">
        <v>4691</v>
      </c>
      <c r="J1974" s="3" t="str">
        <f>HYPERLINK("https://www.boe.es/gazeta/dias/1814/09/02/pdfs/GMD-1814-120E.pdf#page=1","Abrir facsímil")</f>
        <v>Abrir facsímil</v>
      </c>
      <c r="K1974" s="3" t="s">
        <v>64</v>
      </c>
    </row>
    <row r="1975" spans="1:11" ht="42" customHeight="1">
      <c r="A1975" s="2" t="s">
        <v>4586</v>
      </c>
      <c r="B1975" s="2" t="s">
        <v>4586</v>
      </c>
      <c r="C1975" s="2" t="s">
        <v>17</v>
      </c>
      <c r="D1975" s="2" t="s">
        <v>314</v>
      </c>
      <c r="E1975" s="5">
        <v>-31165</v>
      </c>
      <c r="F1975" s="3" t="s">
        <v>2087</v>
      </c>
      <c r="G1975" s="3" t="s">
        <v>87</v>
      </c>
      <c r="H1975" s="2" t="s">
        <v>62</v>
      </c>
      <c r="I1975" s="2" t="s">
        <v>4692</v>
      </c>
      <c r="J1975" s="3" t="str">
        <f>HYPERLINK("https://www.boe.es/gazeta/dias/1814/09/02/pdfs/GMD-1814-120E.pdf#page=2","Abrir facsímil")</f>
        <v>Abrir facsímil</v>
      </c>
      <c r="K1975" s="3" t="s">
        <v>64</v>
      </c>
    </row>
    <row r="1976" spans="1:11" ht="42" customHeight="1">
      <c r="A1976" s="2" t="s">
        <v>4586</v>
      </c>
      <c r="B1976" s="2" t="s">
        <v>4586</v>
      </c>
      <c r="C1976" s="2" t="s">
        <v>26</v>
      </c>
      <c r="D1976" s="2" t="s">
        <v>27</v>
      </c>
      <c r="E1976" s="5">
        <v>-31161</v>
      </c>
      <c r="F1976" s="3" t="s">
        <v>407</v>
      </c>
      <c r="G1976" s="3" t="s">
        <v>2802</v>
      </c>
      <c r="H1976" s="2" t="s">
        <v>62</v>
      </c>
      <c r="I1976" s="2" t="s">
        <v>4693</v>
      </c>
      <c r="J1976" s="3" t="str">
        <f>HYPERLINK("https://www.boe.es/gazeta/dias/1814/09/06/pdfs/GMD-1814-122.pdf#page=5","Abrir facsímil")</f>
        <v>Abrir facsímil</v>
      </c>
      <c r="K1976" s="3" t="s">
        <v>64</v>
      </c>
    </row>
    <row r="1977" spans="1:11" ht="42" customHeight="1">
      <c r="A1977" s="2" t="s">
        <v>4586</v>
      </c>
      <c r="B1977" s="2" t="s">
        <v>4586</v>
      </c>
      <c r="C1977" s="2" t="s">
        <v>17</v>
      </c>
      <c r="D1977" s="2" t="s">
        <v>18</v>
      </c>
      <c r="E1977" s="5">
        <v>-31159</v>
      </c>
      <c r="F1977" s="3" t="s">
        <v>1175</v>
      </c>
      <c r="G1977" s="3" t="s">
        <v>82</v>
      </c>
      <c r="H1977" s="2" t="s">
        <v>62</v>
      </c>
      <c r="I1977" s="2" t="s">
        <v>4694</v>
      </c>
      <c r="J1977" s="3" t="str">
        <f>HYPERLINK("https://www.boe.es/gazeta/dias/1814/09/08/pdfs/GMD-1814-123.pdf#page=3","Abrir facsímil")</f>
        <v>Abrir facsímil</v>
      </c>
      <c r="K1977" s="3" t="s">
        <v>64</v>
      </c>
    </row>
    <row r="1978" spans="1:11" ht="42" customHeight="1">
      <c r="A1978" s="2" t="s">
        <v>4586</v>
      </c>
      <c r="B1978" s="2" t="s">
        <v>4586</v>
      </c>
      <c r="C1978" s="2" t="s">
        <v>26</v>
      </c>
      <c r="D1978" s="2" t="s">
        <v>27</v>
      </c>
      <c r="E1978" s="5">
        <v>-31159</v>
      </c>
      <c r="F1978" s="3" t="s">
        <v>1175</v>
      </c>
      <c r="G1978" s="3" t="s">
        <v>52</v>
      </c>
      <c r="H1978" s="2" t="s">
        <v>62</v>
      </c>
      <c r="I1978" s="2" t="s">
        <v>4695</v>
      </c>
      <c r="J1978" s="3" t="str">
        <f>HYPERLINK("https://www.boe.es/gazeta/dias/1814/09/08/pdfs/GMD-1814-123.pdf#page=8","Abrir facsímil")</f>
        <v>Abrir facsímil</v>
      </c>
      <c r="K1978" s="3" t="s">
        <v>64</v>
      </c>
    </row>
    <row r="1979" spans="1:11" ht="42" customHeight="1">
      <c r="A1979" s="2" t="s">
        <v>4586</v>
      </c>
      <c r="B1979" s="2" t="s">
        <v>4586</v>
      </c>
      <c r="C1979" s="2" t="s">
        <v>32</v>
      </c>
      <c r="D1979" s="2" t="s">
        <v>18</v>
      </c>
      <c r="E1979" s="5">
        <v>-31157</v>
      </c>
      <c r="F1979" s="3" t="s">
        <v>206</v>
      </c>
      <c r="G1979" s="3" t="s">
        <v>52</v>
      </c>
      <c r="H1979" s="2" t="s">
        <v>62</v>
      </c>
      <c r="I1979" s="2" t="s">
        <v>4696</v>
      </c>
      <c r="J1979" s="3" t="str">
        <f>HYPERLINK("https://www.boe.es/gazeta/dias/1814/09/10/pdfs/GMD-1814-124.pdf#page=8","Abrir facsímil")</f>
        <v>Abrir facsímil</v>
      </c>
      <c r="K1979" s="3" t="s">
        <v>64</v>
      </c>
    </row>
    <row r="1980" spans="1:11" ht="42" customHeight="1">
      <c r="A1980" s="2" t="s">
        <v>4586</v>
      </c>
      <c r="B1980" s="2" t="s">
        <v>4586</v>
      </c>
      <c r="C1980" s="2" t="s">
        <v>32</v>
      </c>
      <c r="D1980" s="2" t="s">
        <v>18</v>
      </c>
      <c r="E1980" s="5">
        <v>-31152</v>
      </c>
      <c r="F1980" s="3" t="s">
        <v>199</v>
      </c>
      <c r="G1980" s="3" t="s">
        <v>87</v>
      </c>
      <c r="H1980" s="2" t="s">
        <v>62</v>
      </c>
      <c r="I1980" s="2" t="s">
        <v>4697</v>
      </c>
      <c r="J1980" s="3" t="str">
        <f>HYPERLINK("https://www.boe.es/gazeta/dias/1814/09/15/pdfs/GMD-1814-126.pdf#page=2","Abrir facsímil")</f>
        <v>Abrir facsímil</v>
      </c>
      <c r="K1980" s="3" t="s">
        <v>64</v>
      </c>
    </row>
    <row r="1981" spans="1:11" ht="42" customHeight="1">
      <c r="A1981" s="2" t="s">
        <v>4586</v>
      </c>
      <c r="B1981" s="2" t="s">
        <v>4586</v>
      </c>
      <c r="C1981" s="2" t="s">
        <v>26</v>
      </c>
      <c r="D1981" s="2" t="s">
        <v>27</v>
      </c>
      <c r="E1981" s="5">
        <v>-31150</v>
      </c>
      <c r="F1981" s="3" t="s">
        <v>106</v>
      </c>
      <c r="G1981" s="3" t="s">
        <v>4698</v>
      </c>
      <c r="H1981" s="2" t="s">
        <v>62</v>
      </c>
      <c r="I1981" s="2" t="s">
        <v>4699</v>
      </c>
      <c r="J1981" s="3" t="str">
        <f>HYPERLINK("https://www.boe.es/gazeta/dias/1814/09/17/pdfs/GMD-1814-127.pdf#page=4","Abrir facsímil")</f>
        <v>Abrir facsímil</v>
      </c>
      <c r="K1981" s="3" t="s">
        <v>64</v>
      </c>
    </row>
    <row r="1982" spans="1:11" ht="42" customHeight="1">
      <c r="A1982" s="2" t="s">
        <v>4586</v>
      </c>
      <c r="B1982" s="2" t="s">
        <v>4586</v>
      </c>
      <c r="C1982" s="2" t="s">
        <v>26</v>
      </c>
      <c r="D1982" s="2" t="s">
        <v>27</v>
      </c>
      <c r="E1982" s="5">
        <v>-31145</v>
      </c>
      <c r="F1982" s="3" t="s">
        <v>523</v>
      </c>
      <c r="G1982" s="3" t="s">
        <v>52</v>
      </c>
      <c r="H1982" s="2" t="s">
        <v>62</v>
      </c>
      <c r="I1982" s="2" t="s">
        <v>4700</v>
      </c>
      <c r="J1982" s="3" t="str">
        <f>HYPERLINK("https://www.boe.es/gazeta/dias/1814/09/22/pdfs/GMD-1814-129.pdf#page=8","Abrir facsímil")</f>
        <v>Abrir facsímil</v>
      </c>
      <c r="K1982" s="3" t="s">
        <v>64</v>
      </c>
    </row>
    <row r="1983" spans="1:11" ht="42" customHeight="1">
      <c r="A1983" s="2" t="s">
        <v>4586</v>
      </c>
      <c r="B1983" s="2" t="s">
        <v>4586</v>
      </c>
      <c r="C1983" s="2" t="s">
        <v>26</v>
      </c>
      <c r="D1983" s="2" t="s">
        <v>27</v>
      </c>
      <c r="E1983" s="5">
        <v>-31140</v>
      </c>
      <c r="F1983" s="3" t="s">
        <v>525</v>
      </c>
      <c r="G1983" s="3" t="s">
        <v>82</v>
      </c>
      <c r="H1983" s="2" t="s">
        <v>62</v>
      </c>
      <c r="I1983" s="2" t="s">
        <v>4701</v>
      </c>
      <c r="J1983" s="3" t="str">
        <f>HYPERLINK("https://www.boe.es/gazeta/dias/1814/09/27/pdfs/GMD-1814-131.pdf#page=3","Abrir facsímil")</f>
        <v>Abrir facsímil</v>
      </c>
      <c r="K1983" s="3" t="s">
        <v>64</v>
      </c>
    </row>
    <row r="1984" spans="1:11" ht="42" customHeight="1">
      <c r="A1984" s="2" t="s">
        <v>4586</v>
      </c>
      <c r="B1984" s="2" t="s">
        <v>4586</v>
      </c>
      <c r="C1984" s="2" t="s">
        <v>309</v>
      </c>
      <c r="D1984" s="2" t="s">
        <v>18</v>
      </c>
      <c r="E1984" s="5">
        <v>-31129</v>
      </c>
      <c r="F1984" s="3" t="s">
        <v>418</v>
      </c>
      <c r="G1984" s="3" t="s">
        <v>41</v>
      </c>
      <c r="H1984" s="2" t="s">
        <v>62</v>
      </c>
      <c r="I1984" s="2" t="s">
        <v>4702</v>
      </c>
      <c r="J1984" s="3" t="str">
        <f>HYPERLINK("https://www.boe.es/gazeta/dias/1814/10/08/pdfs/GMD-1814-136.pdf#page=4","Abrir facsímil")</f>
        <v>Abrir facsímil</v>
      </c>
      <c r="K1984" s="3" t="s">
        <v>64</v>
      </c>
    </row>
    <row r="1985" spans="1:11" ht="42" customHeight="1">
      <c r="A1985" s="2" t="s">
        <v>4586</v>
      </c>
      <c r="B1985" s="2" t="s">
        <v>4586</v>
      </c>
      <c r="C1985" s="2" t="s">
        <v>26</v>
      </c>
      <c r="D1985" s="2" t="s">
        <v>27</v>
      </c>
      <c r="E1985" s="5">
        <v>-31129</v>
      </c>
      <c r="F1985" s="3" t="s">
        <v>418</v>
      </c>
      <c r="G1985" s="3" t="s">
        <v>99</v>
      </c>
      <c r="H1985" s="2" t="s">
        <v>62</v>
      </c>
      <c r="I1985" s="2" t="s">
        <v>4703</v>
      </c>
      <c r="J1985" s="3" t="str">
        <f>HYPERLINK("https://www.boe.es/gazeta/dias/1814/10/08/pdfs/GMD-1814-136.pdf#page=5","Abrir facsímil")</f>
        <v>Abrir facsímil</v>
      </c>
      <c r="K1985" s="3" t="s">
        <v>64</v>
      </c>
    </row>
    <row r="1986" spans="1:11" ht="42" customHeight="1">
      <c r="A1986" s="2" t="s">
        <v>4586</v>
      </c>
      <c r="B1986" s="2" t="s">
        <v>4586</v>
      </c>
      <c r="C1986" s="2" t="s">
        <v>26</v>
      </c>
      <c r="D1986" s="2" t="s">
        <v>27</v>
      </c>
      <c r="E1986" s="5">
        <v>-31126</v>
      </c>
      <c r="F1986" s="3" t="s">
        <v>56</v>
      </c>
      <c r="G1986" s="3" t="s">
        <v>41</v>
      </c>
      <c r="H1986" s="2" t="s">
        <v>62</v>
      </c>
      <c r="I1986" s="2" t="s">
        <v>4704</v>
      </c>
      <c r="J1986" s="3" t="str">
        <f>HYPERLINK("https://www.boe.es/gazeta/dias/1814/10/11/pdfs/GMD-1814-137.pdf#page=4","Abrir facsímil")</f>
        <v>Abrir facsímil</v>
      </c>
      <c r="K1986" s="3" t="s">
        <v>64</v>
      </c>
    </row>
    <row r="1987" spans="1:11" ht="42" customHeight="1">
      <c r="A1987" s="2" t="s">
        <v>4586</v>
      </c>
      <c r="B1987" s="2" t="s">
        <v>4586</v>
      </c>
      <c r="C1987" s="2" t="s">
        <v>26</v>
      </c>
      <c r="D1987" s="2" t="s">
        <v>27</v>
      </c>
      <c r="E1987" s="5">
        <v>-31124</v>
      </c>
      <c r="F1987" s="3" t="s">
        <v>383</v>
      </c>
      <c r="G1987" s="3" t="s">
        <v>4705</v>
      </c>
      <c r="H1987" s="2" t="s">
        <v>62</v>
      </c>
      <c r="I1987" s="2" t="s">
        <v>4706</v>
      </c>
      <c r="J1987" s="3" t="str">
        <f>HYPERLINK("https://www.boe.es/gazeta/dias/1814/10/13/pdfs/GMD-1814-138.pdf#page=4","Abrir facsímil")</f>
        <v>Abrir facsímil</v>
      </c>
      <c r="K1987" s="3" t="s">
        <v>64</v>
      </c>
    </row>
    <row r="1988" spans="1:11" ht="42" customHeight="1">
      <c r="A1988" s="2" t="s">
        <v>4586</v>
      </c>
      <c r="B1988" s="2" t="s">
        <v>4586</v>
      </c>
      <c r="C1988" s="2" t="s">
        <v>26</v>
      </c>
      <c r="D1988" s="2" t="s">
        <v>27</v>
      </c>
      <c r="E1988" s="5">
        <v>-31122</v>
      </c>
      <c r="F1988" s="3" t="s">
        <v>28</v>
      </c>
      <c r="G1988" s="3" t="s">
        <v>2811</v>
      </c>
      <c r="H1988" s="2" t="s">
        <v>62</v>
      </c>
      <c r="I1988" s="2" t="s">
        <v>4707</v>
      </c>
      <c r="J1988" s="3" t="str">
        <f>HYPERLINK("https://www.boe.es/gazeta/dias/1814/10/15/pdfs/GMD-1814-139.pdf#page=5","Abrir facsímil")</f>
        <v>Abrir facsímil</v>
      </c>
      <c r="K1988" s="3" t="s">
        <v>64</v>
      </c>
    </row>
    <row r="1989" spans="1:11" ht="42" customHeight="1">
      <c r="A1989" s="2" t="s">
        <v>4586</v>
      </c>
      <c r="B1989" s="2" t="s">
        <v>4586</v>
      </c>
      <c r="C1989" s="2" t="s">
        <v>26</v>
      </c>
      <c r="D1989" s="2" t="s">
        <v>27</v>
      </c>
      <c r="E1989" s="5">
        <v>-31119</v>
      </c>
      <c r="F1989" s="3" t="s">
        <v>136</v>
      </c>
      <c r="G1989" s="3" t="s">
        <v>41</v>
      </c>
      <c r="H1989" s="2" t="s">
        <v>62</v>
      </c>
      <c r="I1989" s="2" t="s">
        <v>4708</v>
      </c>
      <c r="J1989" s="3" t="str">
        <f>HYPERLINK("https://www.boe.es/gazeta/dias/1814/10/18/pdfs/GMD-1814-140.pdf#page=4","Abrir facsímil")</f>
        <v>Abrir facsímil</v>
      </c>
      <c r="K1989" s="3" t="s">
        <v>64</v>
      </c>
    </row>
    <row r="1990" spans="1:11" ht="42" customHeight="1">
      <c r="A1990" s="2" t="s">
        <v>4586</v>
      </c>
      <c r="B1990" s="2" t="s">
        <v>4586</v>
      </c>
      <c r="C1990" s="2" t="s">
        <v>38</v>
      </c>
      <c r="D1990" s="2" t="s">
        <v>39</v>
      </c>
      <c r="E1990" s="5">
        <v>-31117</v>
      </c>
      <c r="F1990" s="3" t="s">
        <v>172</v>
      </c>
      <c r="G1990" s="3" t="s">
        <v>87</v>
      </c>
      <c r="H1990" s="2" t="s">
        <v>62</v>
      </c>
      <c r="I1990" s="2" t="s">
        <v>4709</v>
      </c>
      <c r="J1990" s="3" t="str">
        <f>HYPERLINK("https://www.boe.es/gazeta/dias/1814/10/20/pdfs/GMD-1814-141.pdf#page=2","Abrir facsímil")</f>
        <v>Abrir facsímil</v>
      </c>
      <c r="K1990" s="3" t="s">
        <v>64</v>
      </c>
    </row>
    <row r="1991" spans="1:11" ht="42" customHeight="1">
      <c r="A1991" s="2" t="s">
        <v>4586</v>
      </c>
      <c r="B1991" s="2" t="s">
        <v>4586</v>
      </c>
      <c r="C1991" s="2" t="s">
        <v>38</v>
      </c>
      <c r="D1991" s="2" t="s">
        <v>39</v>
      </c>
      <c r="E1991" s="5">
        <v>-31112</v>
      </c>
      <c r="F1991" s="3" t="s">
        <v>707</v>
      </c>
      <c r="G1991" s="3" t="s">
        <v>41</v>
      </c>
      <c r="H1991" s="2" t="s">
        <v>62</v>
      </c>
      <c r="I1991" s="2" t="s">
        <v>4710</v>
      </c>
      <c r="J1991" s="3" t="str">
        <f>HYPERLINK("https://www.boe.es/gazeta/dias/1814/10/25/pdfs/GMD-1814-143.pdf#page=4","Abrir facsímil")</f>
        <v>Abrir facsímil</v>
      </c>
      <c r="K1991" s="3" t="s">
        <v>64</v>
      </c>
    </row>
    <row r="1992" spans="1:11" ht="42" customHeight="1">
      <c r="A1992" s="2" t="s">
        <v>4586</v>
      </c>
      <c r="B1992" s="2" t="s">
        <v>4586</v>
      </c>
      <c r="C1992" s="2" t="s">
        <v>26</v>
      </c>
      <c r="D1992" s="2" t="s">
        <v>27</v>
      </c>
      <c r="E1992" s="5">
        <v>-31108</v>
      </c>
      <c r="F1992" s="3" t="s">
        <v>528</v>
      </c>
      <c r="G1992" s="3" t="s">
        <v>52</v>
      </c>
      <c r="H1992" s="2" t="s">
        <v>62</v>
      </c>
      <c r="I1992" s="2" t="s">
        <v>4711</v>
      </c>
      <c r="J1992" s="3" t="str">
        <f>HYPERLINK("https://www.boe.es/gazeta/dias/1814/10/29/pdfs/GMD-1814-145.pdf#page=8","Abrir facsímil")</f>
        <v>Abrir facsímil</v>
      </c>
      <c r="K1992" s="3" t="s">
        <v>64</v>
      </c>
    </row>
    <row r="1993" spans="1:11" ht="42" customHeight="1">
      <c r="A1993" s="2" t="s">
        <v>4586</v>
      </c>
      <c r="B1993" s="2" t="s">
        <v>4586</v>
      </c>
      <c r="C1993" s="2" t="s">
        <v>17</v>
      </c>
      <c r="D1993" s="2" t="s">
        <v>18</v>
      </c>
      <c r="E1993" s="5">
        <v>-31103</v>
      </c>
      <c r="F1993" s="3" t="s">
        <v>1260</v>
      </c>
      <c r="G1993" s="3" t="s">
        <v>99</v>
      </c>
      <c r="H1993" s="2" t="s">
        <v>62</v>
      </c>
      <c r="I1993" s="2" t="s">
        <v>4712</v>
      </c>
      <c r="J1993" s="3" t="str">
        <f>HYPERLINK("https://www.boe.es/gazeta/dias/1814/11/03/pdfs/GMD-1814-147.pdf#page=5","Abrir facsímil")</f>
        <v>Abrir facsímil</v>
      </c>
      <c r="K1993" s="3" t="s">
        <v>64</v>
      </c>
    </row>
    <row r="1994" spans="1:11" ht="42" customHeight="1">
      <c r="A1994" s="2" t="s">
        <v>4586</v>
      </c>
      <c r="B1994" s="2" t="s">
        <v>4586</v>
      </c>
      <c r="C1994" s="2" t="s">
        <v>17</v>
      </c>
      <c r="D1994" s="2" t="s">
        <v>18</v>
      </c>
      <c r="E1994" s="5">
        <v>-31098</v>
      </c>
      <c r="F1994" s="3" t="s">
        <v>290</v>
      </c>
      <c r="G1994" s="3" t="s">
        <v>310</v>
      </c>
      <c r="H1994" s="2" t="s">
        <v>62</v>
      </c>
      <c r="I1994" s="2" t="s">
        <v>4713</v>
      </c>
      <c r="J1994" s="3" t="str">
        <f>HYPERLINK("https://www.boe.es/gazeta/dias/1814/11/08/pdfs/GMD-1814-149.pdf#page=8","Abrir facsímil")</f>
        <v>Abrir facsímil</v>
      </c>
      <c r="K1994" s="3" t="s">
        <v>64</v>
      </c>
    </row>
    <row r="1995" spans="1:11" ht="42" customHeight="1">
      <c r="A1995" s="2" t="s">
        <v>4586</v>
      </c>
      <c r="B1995" s="2" t="s">
        <v>4586</v>
      </c>
      <c r="C1995" s="2" t="s">
        <v>38</v>
      </c>
      <c r="D1995" s="2" t="s">
        <v>39</v>
      </c>
      <c r="E1995" s="5">
        <v>-31089</v>
      </c>
      <c r="F1995" s="3" t="s">
        <v>531</v>
      </c>
      <c r="G1995" s="3" t="s">
        <v>794</v>
      </c>
      <c r="H1995" s="2" t="s">
        <v>62</v>
      </c>
      <c r="I1995" s="2" t="s">
        <v>4714</v>
      </c>
      <c r="J1995" s="3" t="str">
        <f>HYPERLINK("https://www.boe.es/gazeta/dias/1814/11/17/pdfs/GMD-1814-153.pdf#page=8","Abrir facsímil")</f>
        <v>Abrir facsímil</v>
      </c>
      <c r="K1995" s="3" t="s">
        <v>64</v>
      </c>
    </row>
    <row r="1996" spans="1:11" ht="42" customHeight="1">
      <c r="A1996" s="2" t="s">
        <v>4586</v>
      </c>
      <c r="B1996" s="2" t="s">
        <v>4586</v>
      </c>
      <c r="C1996" s="2" t="s">
        <v>32</v>
      </c>
      <c r="D1996" s="2" t="s">
        <v>18</v>
      </c>
      <c r="E1996" s="5">
        <v>-31087</v>
      </c>
      <c r="F1996" s="3" t="s">
        <v>118</v>
      </c>
      <c r="G1996" s="3" t="s">
        <v>99</v>
      </c>
      <c r="H1996" s="2" t="s">
        <v>62</v>
      </c>
      <c r="I1996" s="2" t="s">
        <v>4715</v>
      </c>
      <c r="J1996" s="3" t="str">
        <f>HYPERLINK("https://www.boe.es/gazeta/dias/1814/11/19/pdfs/GMD-1814-154.pdf#page=5","Abrir facsímil")</f>
        <v>Abrir facsímil</v>
      </c>
      <c r="K1996" s="3" t="s">
        <v>64</v>
      </c>
    </row>
    <row r="1997" spans="1:11" ht="42" customHeight="1">
      <c r="A1997" s="2" t="s">
        <v>4586</v>
      </c>
      <c r="B1997" s="2" t="s">
        <v>4586</v>
      </c>
      <c r="C1997" s="2" t="s">
        <v>26</v>
      </c>
      <c r="D1997" s="2" t="s">
        <v>27</v>
      </c>
      <c r="E1997" s="5">
        <v>-31084</v>
      </c>
      <c r="F1997" s="3" t="s">
        <v>282</v>
      </c>
      <c r="G1997" s="3" t="s">
        <v>20</v>
      </c>
      <c r="H1997" s="2" t="s">
        <v>62</v>
      </c>
      <c r="I1997" s="2" t="s">
        <v>4716</v>
      </c>
      <c r="J1997" s="3" t="str">
        <f>HYPERLINK("https://www.boe.es/gazeta/dias/1814/11/22/pdfs/GMD-1814-155.pdf#page=7","Abrir facsímil")</f>
        <v>Abrir facsímil</v>
      </c>
      <c r="K1997" s="3" t="s">
        <v>64</v>
      </c>
    </row>
    <row r="1998" spans="1:11" ht="42" customHeight="1">
      <c r="A1998" s="2" t="s">
        <v>4586</v>
      </c>
      <c r="B1998" s="2" t="s">
        <v>4586</v>
      </c>
      <c r="C1998" s="2" t="s">
        <v>32</v>
      </c>
      <c r="D1998" s="2" t="s">
        <v>18</v>
      </c>
      <c r="E1998" s="5">
        <v>-31073</v>
      </c>
      <c r="F1998" s="3" t="s">
        <v>3052</v>
      </c>
      <c r="G1998" s="3" t="s">
        <v>52</v>
      </c>
      <c r="H1998" s="2" t="s">
        <v>62</v>
      </c>
      <c r="I1998" s="2" t="s">
        <v>4717</v>
      </c>
      <c r="J1998" s="3" t="str">
        <f>HYPERLINK("https://www.boe.es/gazeta/dias/1814/12/03/pdfs/GMD-1814-160.pdf#page=8","Abrir facsímil")</f>
        <v>Abrir facsímil</v>
      </c>
      <c r="K1998" s="3" t="s">
        <v>64</v>
      </c>
    </row>
    <row r="1999" spans="1:11" ht="42" customHeight="1">
      <c r="A1999" s="2" t="s">
        <v>4586</v>
      </c>
      <c r="B1999" s="2" t="s">
        <v>4586</v>
      </c>
      <c r="C1999" s="2" t="s">
        <v>17</v>
      </c>
      <c r="D1999" s="2" t="s">
        <v>18</v>
      </c>
      <c r="E1999" s="5">
        <v>-31070</v>
      </c>
      <c r="F1999" s="3" t="s">
        <v>92</v>
      </c>
      <c r="G1999" s="3" t="s">
        <v>41</v>
      </c>
      <c r="H1999" s="2" t="s">
        <v>62</v>
      </c>
      <c r="I1999" s="2" t="s">
        <v>4718</v>
      </c>
      <c r="J1999" s="3" t="str">
        <f>HYPERLINK("https://www.boe.es/gazeta/dias/1814/12/06/pdfs/GMD-1814-161.pdf#page=4","Abrir facsímil")</f>
        <v>Abrir facsímil</v>
      </c>
      <c r="K1999" s="3" t="s">
        <v>64</v>
      </c>
    </row>
    <row r="2000" spans="1:11" ht="42" customHeight="1">
      <c r="A2000" s="2" t="s">
        <v>4586</v>
      </c>
      <c r="B2000" s="2" t="s">
        <v>4586</v>
      </c>
      <c r="C2000" s="2" t="s">
        <v>26</v>
      </c>
      <c r="D2000" s="2" t="s">
        <v>27</v>
      </c>
      <c r="E2000" s="5">
        <v>-31063</v>
      </c>
      <c r="F2000" s="3" t="s">
        <v>649</v>
      </c>
      <c r="G2000" s="3" t="s">
        <v>57</v>
      </c>
      <c r="H2000" s="2" t="s">
        <v>62</v>
      </c>
      <c r="I2000" s="2" t="s">
        <v>4719</v>
      </c>
      <c r="J2000" s="3" t="str">
        <f>HYPERLINK("https://www.boe.es/gazeta/dias/1814/12/13/pdfs/GMD-1814-164.pdf#page=6","Abrir facsímil")</f>
        <v>Abrir facsímil</v>
      </c>
      <c r="K2000" s="3" t="s">
        <v>64</v>
      </c>
    </row>
    <row r="2001" spans="1:11" ht="42" customHeight="1">
      <c r="A2001" s="2" t="s">
        <v>4586</v>
      </c>
      <c r="B2001" s="2" t="s">
        <v>4586</v>
      </c>
      <c r="C2001" s="2" t="s">
        <v>17</v>
      </c>
      <c r="D2001" s="2" t="s">
        <v>18</v>
      </c>
      <c r="E2001" s="5">
        <v>-31061</v>
      </c>
      <c r="F2001" s="3" t="s">
        <v>329</v>
      </c>
      <c r="G2001" s="3" t="s">
        <v>4720</v>
      </c>
      <c r="H2001" s="2" t="s">
        <v>62</v>
      </c>
      <c r="I2001" s="2" t="s">
        <v>4721</v>
      </c>
      <c r="J2001" s="3" t="str">
        <f>HYPERLINK("https://www.boe.es/gazeta/dias/1814/12/15/pdfs/GMD-1814-165.pdf#page=3","Abrir facsímil")</f>
        <v>Abrir facsímil</v>
      </c>
      <c r="K2001" s="3" t="s">
        <v>64</v>
      </c>
    </row>
    <row r="2002" spans="1:11" ht="42" customHeight="1">
      <c r="A2002" s="2" t="s">
        <v>4586</v>
      </c>
      <c r="B2002" s="2" t="s">
        <v>4586</v>
      </c>
      <c r="C2002" s="2" t="s">
        <v>309</v>
      </c>
      <c r="D2002" s="2" t="s">
        <v>314</v>
      </c>
      <c r="E2002" s="5">
        <v>-31060</v>
      </c>
      <c r="F2002" s="3" t="s">
        <v>4339</v>
      </c>
      <c r="G2002" s="3" t="s">
        <v>87</v>
      </c>
      <c r="H2002" s="2" t="s">
        <v>62</v>
      </c>
      <c r="I2002" s="2" t="s">
        <v>4722</v>
      </c>
      <c r="J2002" s="3" t="str">
        <f>HYPERLINK("https://www.boe.es/gazeta/dias/1814/12/16/pdfs/GMD-1814-166E.pdf#page=2","Abrir facsímil")</f>
        <v>Abrir facsímil</v>
      </c>
      <c r="K2002" s="3" t="s">
        <v>64</v>
      </c>
    </row>
    <row r="2003" spans="1:11" ht="42" customHeight="1">
      <c r="A2003" s="2" t="s">
        <v>4586</v>
      </c>
      <c r="B2003" s="2" t="s">
        <v>4586</v>
      </c>
      <c r="C2003" s="2" t="s">
        <v>144</v>
      </c>
      <c r="D2003" s="2" t="s">
        <v>18</v>
      </c>
      <c r="E2003" s="5">
        <v>-31056</v>
      </c>
      <c r="F2003" s="3" t="s">
        <v>540</v>
      </c>
      <c r="G2003" s="3" t="s">
        <v>41</v>
      </c>
      <c r="H2003" s="2" t="s">
        <v>62</v>
      </c>
      <c r="I2003" s="2" t="s">
        <v>4723</v>
      </c>
      <c r="J2003" s="3" t="str">
        <f>HYPERLINK("https://www.boe.es/gazeta/dias/1814/12/20/pdfs/GMD-1814-168.pdf#page=4","Abrir facsímil")</f>
        <v>Abrir facsímil</v>
      </c>
      <c r="K2003" s="3" t="s">
        <v>64</v>
      </c>
    </row>
    <row r="2004" spans="1:11" ht="42" customHeight="1">
      <c r="A2004" s="2" t="s">
        <v>4586</v>
      </c>
      <c r="B2004" s="2" t="s">
        <v>4586</v>
      </c>
      <c r="C2004" s="2" t="s">
        <v>17</v>
      </c>
      <c r="D2004" s="2" t="s">
        <v>18</v>
      </c>
      <c r="E2004" s="5">
        <v>-31054</v>
      </c>
      <c r="F2004" s="3" t="s">
        <v>952</v>
      </c>
      <c r="G2004" s="3" t="s">
        <v>41</v>
      </c>
      <c r="H2004" s="2" t="s">
        <v>62</v>
      </c>
      <c r="I2004" s="2" t="s">
        <v>4724</v>
      </c>
      <c r="J2004" s="3" t="str">
        <f>HYPERLINK("https://www.boe.es/gazeta/dias/1814/12/22/pdfs/GMD-1814-169.pdf#page=4","Abrir facsímil")</f>
        <v>Abrir facsímil</v>
      </c>
      <c r="K2004" s="3" t="s">
        <v>64</v>
      </c>
    </row>
    <row r="2005" spans="1:11" ht="42" customHeight="1">
      <c r="A2005" s="2" t="s">
        <v>4586</v>
      </c>
      <c r="B2005" s="2" t="s">
        <v>4586</v>
      </c>
      <c r="C2005" s="2" t="s">
        <v>38</v>
      </c>
      <c r="D2005" s="2" t="s">
        <v>39</v>
      </c>
      <c r="E2005" s="5">
        <v>-31052</v>
      </c>
      <c r="F2005" s="3" t="s">
        <v>1407</v>
      </c>
      <c r="G2005" s="3" t="s">
        <v>57</v>
      </c>
      <c r="H2005" s="2" t="s">
        <v>62</v>
      </c>
      <c r="I2005" s="2" t="s">
        <v>4725</v>
      </c>
      <c r="J2005" s="3" t="str">
        <f>HYPERLINK("https://www.boe.es/gazeta/dias/1814/12/24/pdfs/GMD-1814-170.pdf#page=6","Abrir facsímil")</f>
        <v>Abrir facsímil</v>
      </c>
      <c r="K2005" s="3" t="s">
        <v>64</v>
      </c>
    </row>
    <row r="2006" spans="1:11" ht="42" customHeight="1">
      <c r="A2006" s="2" t="s">
        <v>4586</v>
      </c>
      <c r="B2006" s="2" t="s">
        <v>4586</v>
      </c>
      <c r="C2006" s="2" t="s">
        <v>38</v>
      </c>
      <c r="D2006" s="2" t="s">
        <v>39</v>
      </c>
      <c r="E2006" s="5">
        <v>-31045</v>
      </c>
      <c r="F2006" s="3" t="s">
        <v>165</v>
      </c>
      <c r="G2006" s="3" t="s">
        <v>82</v>
      </c>
      <c r="H2006" s="2" t="s">
        <v>62</v>
      </c>
      <c r="I2006" s="2" t="s">
        <v>4726</v>
      </c>
      <c r="J2006" s="3" t="str">
        <f>HYPERLINK("https://www.boe.es/gazeta/dias/1814/12/31/pdfs/GMD-1814-173.pdf#page=3","Abrir facsímil")</f>
        <v>Abrir facsímil</v>
      </c>
      <c r="K2006" s="3" t="s">
        <v>64</v>
      </c>
    </row>
    <row r="2007" spans="1:11" ht="42" customHeight="1">
      <c r="A2007" s="2" t="s">
        <v>4586</v>
      </c>
      <c r="B2007" s="2" t="s">
        <v>4586</v>
      </c>
      <c r="C2007" s="2" t="s">
        <v>38</v>
      </c>
      <c r="D2007" s="2" t="s">
        <v>39</v>
      </c>
      <c r="E2007" s="5">
        <v>-31045</v>
      </c>
      <c r="F2007" s="3" t="s">
        <v>165</v>
      </c>
      <c r="G2007" s="3" t="s">
        <v>41</v>
      </c>
      <c r="H2007" s="2" t="s">
        <v>62</v>
      </c>
      <c r="I2007" s="2" t="s">
        <v>4727</v>
      </c>
      <c r="J2007" s="3" t="str">
        <f>HYPERLINK("https://www.boe.es/gazeta/dias/1814/12/31/pdfs/GMD-1814-173.pdf#page=4","Abrir facsímil")</f>
        <v>Abrir facsímil</v>
      </c>
      <c r="K2007" s="3" t="s">
        <v>64</v>
      </c>
    </row>
    <row r="2008" spans="1:11" ht="42" customHeight="1">
      <c r="A2008" s="2" t="s">
        <v>4728</v>
      </c>
      <c r="B2008" s="2" t="s">
        <v>4728</v>
      </c>
      <c r="C2008" s="2" t="s">
        <v>17</v>
      </c>
      <c r="D2008" s="2" t="s">
        <v>18</v>
      </c>
      <c r="E2008" s="5">
        <v>-31150</v>
      </c>
      <c r="F2008" s="3" t="s">
        <v>106</v>
      </c>
      <c r="G2008" s="3" t="s">
        <v>4729</v>
      </c>
      <c r="H2008" s="2" t="s">
        <v>62</v>
      </c>
      <c r="I2008" s="2" t="s">
        <v>4730</v>
      </c>
      <c r="J2008" s="3" t="str">
        <f>HYPERLINK("https://www.boe.es/gazeta/dias/1814/09/17/pdfs/GMD-1814-127.pdf#page=7","Abrir facsímil")</f>
        <v>Abrir facsímil</v>
      </c>
      <c r="K2008" s="3" t="s">
        <v>64</v>
      </c>
    </row>
    <row r="2009" spans="1:11" ht="42" customHeight="1">
      <c r="A2009" s="2" t="s">
        <v>4731</v>
      </c>
      <c r="B2009" s="2" t="s">
        <v>4732</v>
      </c>
      <c r="C2009" s="2" t="s">
        <v>17</v>
      </c>
      <c r="D2009" s="2" t="s">
        <v>18</v>
      </c>
      <c r="E2009" s="5">
        <v>-31236</v>
      </c>
      <c r="F2009" s="3" t="s">
        <v>33</v>
      </c>
      <c r="G2009" s="3" t="s">
        <v>41</v>
      </c>
      <c r="H2009" s="2" t="s">
        <v>21</v>
      </c>
      <c r="I2009" s="2" t="s">
        <v>4733</v>
      </c>
      <c r="J2009" s="3" t="str">
        <f>HYPERLINK("https://www.boe.es/gazeta/dias/1814/06/23/pdfs/GMD-1814-89.pdf#page=4","Abrir facsímil")</f>
        <v>Abrir facsímil</v>
      </c>
      <c r="K2009" s="3" t="s">
        <v>23</v>
      </c>
    </row>
    <row r="2010" spans="1:11" ht="42" customHeight="1">
      <c r="A2010" s="2" t="s">
        <v>4734</v>
      </c>
      <c r="B2010" s="2" t="s">
        <v>4735</v>
      </c>
      <c r="C2010" s="2" t="s">
        <v>144</v>
      </c>
      <c r="D2010" s="2" t="s">
        <v>18</v>
      </c>
      <c r="E2010" s="5">
        <v>-31231</v>
      </c>
      <c r="F2010" s="3" t="s">
        <v>861</v>
      </c>
      <c r="G2010" s="3" t="s">
        <v>322</v>
      </c>
      <c r="H2010" s="2" t="s">
        <v>62</v>
      </c>
      <c r="I2010" s="2" t="s">
        <v>4736</v>
      </c>
      <c r="J2010" s="3" t="str">
        <f>HYPERLINK("https://www.boe.es/gazeta/dias/1814/06/28/pdfs/GMD-1814-91.pdf#page=12","Abrir facsímil")</f>
        <v>Abrir facsímil</v>
      </c>
      <c r="K2010" s="3" t="s">
        <v>64</v>
      </c>
    </row>
    <row r="2011" spans="1:11" ht="42" customHeight="1">
      <c r="A2011" s="2" t="s">
        <v>4737</v>
      </c>
      <c r="B2011" s="2" t="s">
        <v>4737</v>
      </c>
      <c r="C2011" s="2" t="s">
        <v>17</v>
      </c>
      <c r="D2011" s="2" t="s">
        <v>18</v>
      </c>
      <c r="E2011" s="5">
        <v>-31166</v>
      </c>
      <c r="F2011" s="3" t="s">
        <v>2799</v>
      </c>
      <c r="G2011" s="3" t="s">
        <v>4738</v>
      </c>
      <c r="H2011" s="2" t="s">
        <v>62</v>
      </c>
      <c r="I2011" s="2" t="s">
        <v>4739</v>
      </c>
      <c r="J2011" s="3" t="str">
        <f>HYPERLINK("https://www.boe.es/gazeta/dias/1814/09/01/pdfs/GMD-1814-119.pdf#page=15","Abrir facsímil")</f>
        <v>Abrir facsímil</v>
      </c>
      <c r="K2011" s="3" t="s">
        <v>64</v>
      </c>
    </row>
    <row r="2012" spans="1:11" ht="42" customHeight="1">
      <c r="A2012" s="2" t="s">
        <v>4740</v>
      </c>
      <c r="B2012" s="2" t="s">
        <v>4741</v>
      </c>
      <c r="C2012" s="2" t="s">
        <v>26</v>
      </c>
      <c r="D2012" s="2" t="s">
        <v>27</v>
      </c>
      <c r="E2012" s="5">
        <v>-31399</v>
      </c>
      <c r="F2012" s="3" t="s">
        <v>218</v>
      </c>
      <c r="G2012" s="3" t="s">
        <v>107</v>
      </c>
      <c r="H2012" s="2" t="s">
        <v>62</v>
      </c>
      <c r="I2012" s="2" t="s">
        <v>4742</v>
      </c>
      <c r="J2012" s="3" t="str">
        <f>HYPERLINK("https://www.boe.es/gazeta/dias/1814/01/11/pdfs/GRE-1814-6.pdf#page=1","Abrir facsímil")</f>
        <v>Abrir facsímil</v>
      </c>
      <c r="K2012" s="3" t="s">
        <v>64</v>
      </c>
    </row>
    <row r="2013" spans="1:11" ht="42" customHeight="1">
      <c r="A2013" s="2" t="s">
        <v>4743</v>
      </c>
      <c r="B2013" s="2" t="s">
        <v>4744</v>
      </c>
      <c r="C2013" s="2" t="s">
        <v>45</v>
      </c>
      <c r="D2013" s="2" t="s">
        <v>18</v>
      </c>
      <c r="E2013" s="5">
        <v>-31059</v>
      </c>
      <c r="F2013" s="3" t="s">
        <v>263</v>
      </c>
      <c r="G2013" s="3" t="s">
        <v>264</v>
      </c>
      <c r="H2013" s="2" t="s">
        <v>62</v>
      </c>
      <c r="I2013" s="2" t="s">
        <v>4745</v>
      </c>
      <c r="J2013" s="3" t="str">
        <f>HYPERLINK("https://www.boe.es/gazeta/dias/1814/12/17/pdfs/GMD-1814-167.pdf#page=7","Abrir facsímil")</f>
        <v>Abrir facsímil</v>
      </c>
      <c r="K2013" s="3" t="s">
        <v>64</v>
      </c>
    </row>
    <row r="2014" spans="1:11" ht="42" customHeight="1">
      <c r="A2014" s="2" t="s">
        <v>4746</v>
      </c>
      <c r="B2014" s="2" t="s">
        <v>4747</v>
      </c>
      <c r="C2014" s="2" t="s">
        <v>38</v>
      </c>
      <c r="D2014" s="2" t="s">
        <v>39</v>
      </c>
      <c r="E2014" s="5">
        <v>-31082</v>
      </c>
      <c r="F2014" s="3" t="s">
        <v>535</v>
      </c>
      <c r="G2014" s="3" t="s">
        <v>52</v>
      </c>
      <c r="H2014" s="2" t="s">
        <v>62</v>
      </c>
      <c r="I2014" s="2" t="s">
        <v>4748</v>
      </c>
      <c r="J2014" s="3" t="str">
        <f>HYPERLINK("https://www.boe.es/gazeta/dias/1814/11/24/pdfs/GMD-1814-156.pdf#page=8","Abrir facsímil")</f>
        <v>Abrir facsímil</v>
      </c>
      <c r="K2014" s="3" t="s">
        <v>64</v>
      </c>
    </row>
    <row r="2015" spans="1:11" ht="42" customHeight="1">
      <c r="A2015" s="2" t="s">
        <v>4746</v>
      </c>
      <c r="B2015" s="2" t="s">
        <v>4747</v>
      </c>
      <c r="C2015" s="2" t="s">
        <v>45</v>
      </c>
      <c r="D2015" s="2" t="s">
        <v>18</v>
      </c>
      <c r="E2015" s="5">
        <v>-31059</v>
      </c>
      <c r="F2015" s="3" t="s">
        <v>263</v>
      </c>
      <c r="G2015" s="3" t="s">
        <v>264</v>
      </c>
      <c r="H2015" s="2" t="s">
        <v>62</v>
      </c>
      <c r="I2015" s="2" t="s">
        <v>4749</v>
      </c>
      <c r="J2015" s="3" t="str">
        <f>HYPERLINK("https://www.boe.es/gazeta/dias/1814/12/17/pdfs/GMD-1814-167.pdf#page=7","Abrir facsímil")</f>
        <v>Abrir facsímil</v>
      </c>
      <c r="K2015" s="3" t="s">
        <v>64</v>
      </c>
    </row>
    <row r="2016" spans="1:11" ht="42" customHeight="1">
      <c r="A2016" s="2" t="s">
        <v>4750</v>
      </c>
      <c r="B2016" s="2" t="s">
        <v>4751</v>
      </c>
      <c r="C2016" s="2" t="s">
        <v>38</v>
      </c>
      <c r="D2016" s="2" t="s">
        <v>39</v>
      </c>
      <c r="E2016" s="5">
        <v>-31196</v>
      </c>
      <c r="F2016" s="3" t="s">
        <v>828</v>
      </c>
      <c r="G2016" s="3" t="s">
        <v>52</v>
      </c>
      <c r="H2016" s="2" t="s">
        <v>62</v>
      </c>
      <c r="I2016" s="2" t="s">
        <v>4752</v>
      </c>
      <c r="J2016" s="3" t="str">
        <f>HYPERLINK("https://www.boe.es/gazeta/dias/1814/08/02/pdfs/GMD-1814-106.pdf#page=8","Abrir facsímil")</f>
        <v>Abrir facsímil</v>
      </c>
      <c r="K2016" s="3" t="s">
        <v>64</v>
      </c>
    </row>
    <row r="2017" spans="1:11" ht="42" customHeight="1">
      <c r="A2017" s="2" t="s">
        <v>4753</v>
      </c>
      <c r="B2017" s="2" t="s">
        <v>4754</v>
      </c>
      <c r="C2017" s="2" t="s">
        <v>17</v>
      </c>
      <c r="D2017" s="2" t="s">
        <v>18</v>
      </c>
      <c r="E2017" s="5">
        <v>-31129</v>
      </c>
      <c r="F2017" s="3" t="s">
        <v>418</v>
      </c>
      <c r="G2017" s="3" t="s">
        <v>82</v>
      </c>
      <c r="H2017" s="2" t="s">
        <v>62</v>
      </c>
      <c r="I2017" s="2" t="s">
        <v>4755</v>
      </c>
      <c r="J2017" s="3" t="str">
        <f>HYPERLINK("https://www.boe.es/gazeta/dias/1814/10/08/pdfs/GMD-1814-136.pdf#page=3","Abrir facsímil")</f>
        <v>Abrir facsímil</v>
      </c>
      <c r="K2017" s="3" t="s">
        <v>64</v>
      </c>
    </row>
    <row r="2018" spans="1:11" ht="42" customHeight="1">
      <c r="A2018" s="2" t="s">
        <v>4756</v>
      </c>
      <c r="B2018" s="2" t="s">
        <v>4757</v>
      </c>
      <c r="C2018" s="2" t="s">
        <v>17</v>
      </c>
      <c r="D2018" s="2" t="s">
        <v>18</v>
      </c>
      <c r="E2018" s="5">
        <v>-31322</v>
      </c>
      <c r="F2018" s="3" t="s">
        <v>114</v>
      </c>
      <c r="G2018" s="3" t="s">
        <v>52</v>
      </c>
      <c r="H2018" s="2" t="s">
        <v>62</v>
      </c>
      <c r="I2018" s="2" t="s">
        <v>4758</v>
      </c>
      <c r="J2018" s="3" t="str">
        <f>HYPERLINK("https://www.boe.es/gazeta/dias/1814/03/29/pdfs/GRE-1814-44.pdf#page=8","Abrir facsímil")</f>
        <v>Abrir facsímil</v>
      </c>
      <c r="K2018" s="3" t="s">
        <v>64</v>
      </c>
    </row>
    <row r="2019" spans="1:11" ht="42" customHeight="1">
      <c r="A2019" s="2" t="s">
        <v>4759</v>
      </c>
      <c r="B2019" s="2" t="s">
        <v>4760</v>
      </c>
      <c r="C2019" s="2" t="s">
        <v>38</v>
      </c>
      <c r="D2019" s="2" t="s">
        <v>39</v>
      </c>
      <c r="E2019" s="5">
        <v>-31348</v>
      </c>
      <c r="F2019" s="3" t="s">
        <v>898</v>
      </c>
      <c r="G2019" s="3" t="s">
        <v>4761</v>
      </c>
      <c r="H2019" s="2" t="s">
        <v>62</v>
      </c>
      <c r="I2019" s="2" t="s">
        <v>4762</v>
      </c>
      <c r="J2019" s="3" t="str">
        <f>HYPERLINK("https://www.boe.es/gazeta/dias/1814/03/03/pdfs/GRE-1814-29.pdf#page=8","Abrir facsímil")</f>
        <v>Abrir facsímil</v>
      </c>
      <c r="K2019" s="3" t="s">
        <v>64</v>
      </c>
    </row>
    <row r="2020" spans="1:11" ht="42" customHeight="1">
      <c r="A2020" s="2" t="s">
        <v>4763</v>
      </c>
      <c r="B2020" s="2" t="s">
        <v>4763</v>
      </c>
      <c r="C2020" s="2" t="s">
        <v>38</v>
      </c>
      <c r="D2020" s="2" t="s">
        <v>39</v>
      </c>
      <c r="E2020" s="5">
        <v>-31257</v>
      </c>
      <c r="F2020" s="3" t="s">
        <v>437</v>
      </c>
      <c r="G2020" s="3" t="s">
        <v>107</v>
      </c>
      <c r="H2020" s="2" t="s">
        <v>62</v>
      </c>
      <c r="I2020" s="2" t="s">
        <v>4764</v>
      </c>
      <c r="J2020" s="3" t="str">
        <f>HYPERLINK("https://www.boe.es/gazeta/dias/1814/06/02/pdfs/GMD-1814-80.pdf#page=1","Abrir facsímil")</f>
        <v>Abrir facsímil</v>
      </c>
      <c r="K2020" s="3" t="s">
        <v>64</v>
      </c>
    </row>
    <row r="2021" spans="1:11" ht="42" customHeight="1">
      <c r="A2021" s="2" t="s">
        <v>4765</v>
      </c>
      <c r="B2021" s="2" t="s">
        <v>4766</v>
      </c>
      <c r="C2021" s="2" t="s">
        <v>17</v>
      </c>
      <c r="D2021" s="2" t="s">
        <v>18</v>
      </c>
      <c r="E2021" s="5">
        <v>-31119</v>
      </c>
      <c r="F2021" s="3" t="s">
        <v>136</v>
      </c>
      <c r="G2021" s="3" t="s">
        <v>137</v>
      </c>
      <c r="H2021" s="2" t="s">
        <v>62</v>
      </c>
      <c r="I2021" s="2" t="s">
        <v>4767</v>
      </c>
      <c r="J2021" s="3" t="str">
        <f>HYPERLINK("https://www.boe.es/gazeta/dias/1814/10/18/pdfs/GMD-1814-140.pdf#page=9","Abrir facsímil")</f>
        <v>Abrir facsímil</v>
      </c>
      <c r="K2021" s="3" t="s">
        <v>64</v>
      </c>
    </row>
    <row r="2022" spans="1:11" ht="42" customHeight="1">
      <c r="A2022" s="2" t="s">
        <v>4768</v>
      </c>
      <c r="B2022" s="2" t="s">
        <v>4768</v>
      </c>
      <c r="C2022" s="2" t="s">
        <v>105</v>
      </c>
      <c r="D2022" s="2" t="s">
        <v>18</v>
      </c>
      <c r="E2022" s="5">
        <v>-31241</v>
      </c>
      <c r="F2022" s="3" t="s">
        <v>703</v>
      </c>
      <c r="G2022" s="3" t="s">
        <v>384</v>
      </c>
      <c r="H2022" s="2" t="s">
        <v>62</v>
      </c>
      <c r="I2022" s="2" t="s">
        <v>4769</v>
      </c>
      <c r="J2022" s="3" t="str">
        <f>HYPERLINK("https://www.boe.es/gazeta/dias/1814/06/18/pdfs/GMD-1814-87.pdf#page=11","Abrir facsímil")</f>
        <v>Abrir facsímil</v>
      </c>
      <c r="K2022" s="3" t="s">
        <v>64</v>
      </c>
    </row>
    <row r="2023" spans="1:11" ht="42" customHeight="1">
      <c r="A2023" s="2" t="s">
        <v>4770</v>
      </c>
      <c r="B2023" s="2" t="s">
        <v>4770</v>
      </c>
      <c r="C2023" s="2" t="s">
        <v>26</v>
      </c>
      <c r="D2023" s="2" t="s">
        <v>27</v>
      </c>
      <c r="E2023" s="5">
        <v>-31238</v>
      </c>
      <c r="F2023" s="3" t="s">
        <v>127</v>
      </c>
      <c r="G2023" s="3" t="s">
        <v>41</v>
      </c>
      <c r="H2023" s="2" t="s">
        <v>62</v>
      </c>
      <c r="I2023" s="2" t="s">
        <v>4771</v>
      </c>
      <c r="J2023" s="3" t="str">
        <f>HYPERLINK("https://www.boe.es/gazeta/dias/1814/06/21/pdfs/GMD-1814-88.pdf#page=4","Abrir facsímil")</f>
        <v>Abrir facsímil</v>
      </c>
      <c r="K2023" s="3" t="s">
        <v>64</v>
      </c>
    </row>
    <row r="2024" spans="1:11" ht="42" customHeight="1">
      <c r="A2024" s="2" t="s">
        <v>4772</v>
      </c>
      <c r="B2024" s="2" t="s">
        <v>4772</v>
      </c>
      <c r="C2024" s="2" t="s">
        <v>38</v>
      </c>
      <c r="D2024" s="2" t="s">
        <v>39</v>
      </c>
      <c r="E2024" s="5">
        <v>-31390</v>
      </c>
      <c r="F2024" s="3" t="s">
        <v>349</v>
      </c>
      <c r="G2024" s="3" t="s">
        <v>20</v>
      </c>
      <c r="H2024" s="2" t="s">
        <v>62</v>
      </c>
      <c r="I2024" s="2" t="s">
        <v>4773</v>
      </c>
      <c r="J2024" s="3" t="str">
        <f>HYPERLINK("https://www.boe.es/gazeta/dias/1814/01/20/pdfs/GRE-1814-10.pdf#page=7","Abrir facsímil")</f>
        <v>Abrir facsímil</v>
      </c>
      <c r="K2024" s="3" t="s">
        <v>64</v>
      </c>
    </row>
    <row r="2025" spans="1:11" ht="42" customHeight="1">
      <c r="A2025" s="2" t="s">
        <v>4774</v>
      </c>
      <c r="B2025" s="2" t="s">
        <v>4775</v>
      </c>
      <c r="C2025" s="2" t="s">
        <v>17</v>
      </c>
      <c r="D2025" s="2" t="s">
        <v>18</v>
      </c>
      <c r="E2025" s="5">
        <v>-31117</v>
      </c>
      <c r="F2025" s="3" t="s">
        <v>172</v>
      </c>
      <c r="G2025" s="3" t="s">
        <v>173</v>
      </c>
      <c r="H2025" s="2" t="s">
        <v>62</v>
      </c>
      <c r="I2025" s="2" t="s">
        <v>4776</v>
      </c>
      <c r="J2025" s="3" t="str">
        <f>HYPERLINK("https://www.boe.es/gazeta/dias/1814/10/20/pdfs/GMD-1814-141.pdf#page=7","Abrir facsímil")</f>
        <v>Abrir facsímil</v>
      </c>
      <c r="K2025" s="3" t="s">
        <v>64</v>
      </c>
    </row>
    <row r="2026" spans="1:11" ht="42" customHeight="1">
      <c r="A2026" s="2" t="s">
        <v>4777</v>
      </c>
      <c r="B2026" s="2" t="s">
        <v>4778</v>
      </c>
      <c r="C2026" s="2" t="s">
        <v>38</v>
      </c>
      <c r="D2026" s="2" t="s">
        <v>39</v>
      </c>
      <c r="E2026" s="5">
        <v>-31119</v>
      </c>
      <c r="F2026" s="3" t="s">
        <v>136</v>
      </c>
      <c r="G2026" s="3" t="s">
        <v>704</v>
      </c>
      <c r="H2026" s="2" t="s">
        <v>62</v>
      </c>
      <c r="I2026" s="2" t="s">
        <v>4779</v>
      </c>
      <c r="J2026" s="3" t="str">
        <f>HYPERLINK("https://www.boe.es/gazeta/dias/1814/10/18/pdfs/GMD-1814-140.pdf#page=10","Abrir facsímil")</f>
        <v>Abrir facsímil</v>
      </c>
      <c r="K2026" s="3" t="s">
        <v>64</v>
      </c>
    </row>
    <row r="2027" spans="1:11" ht="42" customHeight="1">
      <c r="A2027" s="2" t="s">
        <v>4777</v>
      </c>
      <c r="B2027" s="2" t="s">
        <v>4778</v>
      </c>
      <c r="C2027" s="2" t="s">
        <v>26</v>
      </c>
      <c r="D2027" s="2" t="s">
        <v>27</v>
      </c>
      <c r="E2027" s="5">
        <v>-31066</v>
      </c>
      <c r="F2027" s="3" t="s">
        <v>1323</v>
      </c>
      <c r="G2027" s="3" t="s">
        <v>99</v>
      </c>
      <c r="H2027" s="2" t="s">
        <v>62</v>
      </c>
      <c r="I2027" s="2" t="s">
        <v>4780</v>
      </c>
      <c r="J2027" s="3" t="str">
        <f>HYPERLINK("https://www.boe.es/gazeta/dias/1814/12/10/pdfs/GMD-1814-163.pdf#page=5","Abrir facsímil")</f>
        <v>Abrir facsímil</v>
      </c>
      <c r="K2027" s="3" t="s">
        <v>64</v>
      </c>
    </row>
    <row r="2028" spans="1:11" ht="42" customHeight="1">
      <c r="A2028" s="2" t="s">
        <v>4781</v>
      </c>
      <c r="B2028" s="2" t="s">
        <v>4781</v>
      </c>
      <c r="C2028" s="2" t="s">
        <v>38</v>
      </c>
      <c r="D2028" s="2" t="s">
        <v>39</v>
      </c>
      <c r="E2028" s="5">
        <v>-31371</v>
      </c>
      <c r="F2028" s="3" t="s">
        <v>476</v>
      </c>
      <c r="G2028" s="3" t="s">
        <v>87</v>
      </c>
      <c r="H2028" s="2" t="s">
        <v>62</v>
      </c>
      <c r="I2028" s="2" t="s">
        <v>4782</v>
      </c>
      <c r="J2028" s="3" t="str">
        <f>HYPERLINK("https://www.boe.es/gazeta/dias/1814/02/08/pdfs/GRE-1814-31.pdf#page=2","Abrir facsímil")</f>
        <v>Abrir facsímil</v>
      </c>
      <c r="K2028" s="3" t="s">
        <v>64</v>
      </c>
    </row>
    <row r="2029" spans="1:11" ht="42" customHeight="1">
      <c r="A2029" s="2" t="s">
        <v>4781</v>
      </c>
      <c r="B2029" s="2" t="s">
        <v>4781</v>
      </c>
      <c r="C2029" s="2" t="s">
        <v>38</v>
      </c>
      <c r="D2029" s="2" t="s">
        <v>39</v>
      </c>
      <c r="E2029" s="5">
        <v>-31343</v>
      </c>
      <c r="F2029" s="3" t="s">
        <v>476</v>
      </c>
      <c r="G2029" s="3" t="s">
        <v>87</v>
      </c>
      <c r="H2029" s="2" t="s">
        <v>62</v>
      </c>
      <c r="I2029" s="2" t="s">
        <v>4782</v>
      </c>
      <c r="J2029" s="3" t="str">
        <f>HYPERLINK("https://www.boe.es/gazeta/dias/1814/03/08/pdfs/GRE-1814-31.pdf#page=2","Abrir facsímil")</f>
        <v>Abrir facsímil</v>
      </c>
      <c r="K2029" s="3" t="s">
        <v>64</v>
      </c>
    </row>
    <row r="2030" spans="1:11" ht="42" customHeight="1">
      <c r="A2030" s="2" t="s">
        <v>4783</v>
      </c>
      <c r="B2030" s="2" t="s">
        <v>4784</v>
      </c>
      <c r="C2030" s="2" t="s">
        <v>38</v>
      </c>
      <c r="D2030" s="2" t="s">
        <v>39</v>
      </c>
      <c r="E2030" s="5">
        <v>-31332</v>
      </c>
      <c r="F2030" s="3" t="s">
        <v>343</v>
      </c>
      <c r="G2030" s="3" t="s">
        <v>449</v>
      </c>
      <c r="H2030" s="2" t="s">
        <v>62</v>
      </c>
      <c r="I2030" s="2" t="s">
        <v>4785</v>
      </c>
      <c r="J2030" s="3" t="str">
        <f>HYPERLINK("https://www.boe.es/gazeta/dias/1814/03/19/pdfs/GRE-1814-38.pdf#page=8","Abrir facsímil")</f>
        <v>Abrir facsímil</v>
      </c>
      <c r="K2030" s="3" t="s">
        <v>64</v>
      </c>
    </row>
    <row r="2031" spans="1:11" ht="42" customHeight="1">
      <c r="A2031" s="2" t="s">
        <v>4786</v>
      </c>
      <c r="B2031" s="2" t="s">
        <v>4786</v>
      </c>
      <c r="C2031" s="2" t="s">
        <v>38</v>
      </c>
      <c r="D2031" s="2" t="s">
        <v>39</v>
      </c>
      <c r="E2031" s="5">
        <v>-31262</v>
      </c>
      <c r="F2031" s="3" t="s">
        <v>254</v>
      </c>
      <c r="G2031" s="3" t="s">
        <v>87</v>
      </c>
      <c r="H2031" s="2" t="s">
        <v>62</v>
      </c>
      <c r="I2031" s="2" t="s">
        <v>4787</v>
      </c>
      <c r="J2031" s="3" t="str">
        <f>HYPERLINK("https://www.boe.es/gazeta/dias/1814/05/28/pdfs/GMD-1814-78.pdf#page=2","Abrir facsímil")</f>
        <v>Abrir facsímil</v>
      </c>
      <c r="K2031" s="3" t="s">
        <v>64</v>
      </c>
    </row>
    <row r="2032" spans="1:11" ht="42" customHeight="1">
      <c r="A2032" s="2" t="s">
        <v>4788</v>
      </c>
      <c r="B2032" s="2" t="s">
        <v>4788</v>
      </c>
      <c r="C2032" s="2" t="s">
        <v>38</v>
      </c>
      <c r="D2032" s="2" t="s">
        <v>39</v>
      </c>
      <c r="E2032" s="5">
        <v>-31315</v>
      </c>
      <c r="F2032" s="3" t="s">
        <v>645</v>
      </c>
      <c r="G2032" s="3" t="s">
        <v>107</v>
      </c>
      <c r="H2032" s="2" t="s">
        <v>62</v>
      </c>
      <c r="I2032" s="2" t="s">
        <v>4789</v>
      </c>
      <c r="J2032" s="3" t="str">
        <f>HYPERLINK("https://www.boe.es/gazeta/dias/1814/04/05/pdfs/GRE-1814-49.pdf#page=1","Abrir facsímil")</f>
        <v>Abrir facsímil</v>
      </c>
      <c r="K2032" s="3" t="s">
        <v>64</v>
      </c>
    </row>
    <row r="2033" spans="1:11" ht="42" customHeight="1">
      <c r="A2033" s="2" t="s">
        <v>4790</v>
      </c>
      <c r="B2033" s="2" t="s">
        <v>4791</v>
      </c>
      <c r="C2033" s="2" t="s">
        <v>45</v>
      </c>
      <c r="D2033" s="2" t="s">
        <v>18</v>
      </c>
      <c r="E2033" s="5">
        <v>-31140</v>
      </c>
      <c r="F2033" s="3" t="s">
        <v>525</v>
      </c>
      <c r="G2033" s="3" t="s">
        <v>57</v>
      </c>
      <c r="H2033" s="2" t="s">
        <v>62</v>
      </c>
      <c r="I2033" s="2" t="s">
        <v>4792</v>
      </c>
      <c r="J2033" s="3" t="str">
        <f>HYPERLINK("https://www.boe.es/gazeta/dias/1814/09/27/pdfs/GMD-1814-131.pdf#page=6","Abrir facsímil")</f>
        <v>Abrir facsímil</v>
      </c>
      <c r="K2033" s="3" t="s">
        <v>64</v>
      </c>
    </row>
    <row r="2034" spans="1:11" ht="42" customHeight="1">
      <c r="A2034" s="2" t="s">
        <v>4793</v>
      </c>
      <c r="B2034" s="2" t="s">
        <v>4794</v>
      </c>
      <c r="C2034" s="2" t="s">
        <v>38</v>
      </c>
      <c r="D2034" s="2" t="s">
        <v>39</v>
      </c>
      <c r="E2034" s="5">
        <v>-31252</v>
      </c>
      <c r="F2034" s="3" t="s">
        <v>364</v>
      </c>
      <c r="G2034" s="3" t="s">
        <v>1437</v>
      </c>
      <c r="H2034" s="2" t="s">
        <v>62</v>
      </c>
      <c r="I2034" s="2" t="s">
        <v>4795</v>
      </c>
      <c r="J2034" s="3" t="str">
        <f>HYPERLINK("https://www.boe.es/gazeta/dias/1814/06/07/pdfs/GMD-1814-82.pdf#page=11","Abrir facsímil")</f>
        <v>Abrir facsímil</v>
      </c>
      <c r="K2034" s="3" t="s">
        <v>64</v>
      </c>
    </row>
    <row r="2035" spans="1:11" ht="42" customHeight="1">
      <c r="A2035" s="2" t="s">
        <v>4793</v>
      </c>
      <c r="B2035" s="2" t="s">
        <v>4794</v>
      </c>
      <c r="C2035" s="2" t="s">
        <v>38</v>
      </c>
      <c r="D2035" s="2" t="s">
        <v>39</v>
      </c>
      <c r="E2035" s="5">
        <v>-31250</v>
      </c>
      <c r="F2035" s="3" t="s">
        <v>177</v>
      </c>
      <c r="G2035" s="3" t="s">
        <v>52</v>
      </c>
      <c r="H2035" s="2" t="s">
        <v>62</v>
      </c>
      <c r="I2035" s="2" t="s">
        <v>4796</v>
      </c>
      <c r="J2035" s="3" t="str">
        <f>HYPERLINK("https://www.boe.es/gazeta/dias/1814/06/09/pdfs/GMD-1814-83.pdf#page=8","Abrir facsímil")</f>
        <v>Abrir facsímil</v>
      </c>
      <c r="K2035" s="3" t="s">
        <v>64</v>
      </c>
    </row>
    <row r="2036" spans="1:11" ht="42" customHeight="1">
      <c r="A2036" s="2" t="s">
        <v>4797</v>
      </c>
      <c r="B2036" s="2" t="s">
        <v>4798</v>
      </c>
      <c r="C2036" s="2" t="s">
        <v>38</v>
      </c>
      <c r="D2036" s="2" t="s">
        <v>39</v>
      </c>
      <c r="E2036" s="5">
        <v>-31381</v>
      </c>
      <c r="F2036" s="3" t="s">
        <v>989</v>
      </c>
      <c r="G2036" s="3" t="s">
        <v>20</v>
      </c>
      <c r="H2036" s="2" t="s">
        <v>62</v>
      </c>
      <c r="I2036" s="2" t="s">
        <v>4799</v>
      </c>
      <c r="J2036" s="3" t="str">
        <f>HYPERLINK("https://www.boe.es/gazeta/dias/1814/01/29/pdfs/GRE-1814-14.pdf#page=7","Abrir facsímil")</f>
        <v>Abrir facsímil</v>
      </c>
      <c r="K2036" s="3" t="s">
        <v>64</v>
      </c>
    </row>
    <row r="2037" spans="1:11" ht="42" customHeight="1">
      <c r="A2037" s="2" t="s">
        <v>4800</v>
      </c>
      <c r="B2037" s="2" t="s">
        <v>4801</v>
      </c>
      <c r="C2037" s="2" t="s">
        <v>38</v>
      </c>
      <c r="D2037" s="2" t="s">
        <v>39</v>
      </c>
      <c r="E2037" s="5">
        <v>-31178</v>
      </c>
      <c r="F2037" s="3" t="s">
        <v>1390</v>
      </c>
      <c r="G2037" s="3" t="s">
        <v>20</v>
      </c>
      <c r="H2037" s="2" t="s">
        <v>62</v>
      </c>
      <c r="I2037" s="2" t="s">
        <v>4802</v>
      </c>
      <c r="J2037" s="3" t="str">
        <f>HYPERLINK("https://www.boe.es/gazeta/dias/1814/08/20/pdfs/GMD-1814-114.pdf#page=7","Abrir facsímil")</f>
        <v>Abrir facsímil</v>
      </c>
      <c r="K2037" s="3" t="s">
        <v>64</v>
      </c>
    </row>
    <row r="2038" spans="1:11" ht="42" customHeight="1">
      <c r="A2038" s="2" t="s">
        <v>4803</v>
      </c>
      <c r="B2038" s="2" t="s">
        <v>4803</v>
      </c>
      <c r="C2038" s="2" t="s">
        <v>38</v>
      </c>
      <c r="D2038" s="2" t="s">
        <v>39</v>
      </c>
      <c r="E2038" s="5">
        <v>-31329</v>
      </c>
      <c r="F2038" s="3" t="s">
        <v>621</v>
      </c>
      <c r="G2038" s="3" t="s">
        <v>99</v>
      </c>
      <c r="H2038" s="2" t="s">
        <v>62</v>
      </c>
      <c r="I2038" s="2" t="s">
        <v>4804</v>
      </c>
      <c r="J2038" s="3" t="str">
        <f>HYPERLINK("https://www.boe.es/gazeta/dias/1814/03/22/pdfs/GRE-1814-39.pdf#page=5","Abrir facsímil")</f>
        <v>Abrir facsímil</v>
      </c>
      <c r="K2038" s="3" t="s">
        <v>64</v>
      </c>
    </row>
    <row r="2039" spans="1:11" ht="42" customHeight="1">
      <c r="A2039" s="2" t="s">
        <v>4805</v>
      </c>
      <c r="B2039" s="2" t="s">
        <v>4805</v>
      </c>
      <c r="C2039" s="2" t="s">
        <v>38</v>
      </c>
      <c r="D2039" s="2" t="s">
        <v>39</v>
      </c>
      <c r="E2039" s="5">
        <v>-31257</v>
      </c>
      <c r="F2039" s="3" t="s">
        <v>437</v>
      </c>
      <c r="G2039" s="3" t="s">
        <v>82</v>
      </c>
      <c r="H2039" s="2" t="s">
        <v>62</v>
      </c>
      <c r="I2039" s="2" t="s">
        <v>4806</v>
      </c>
      <c r="J2039" s="3" t="str">
        <f>HYPERLINK("https://www.boe.es/gazeta/dias/1814/06/02/pdfs/GMD-1814-80.pdf#page=3","Abrir facsímil")</f>
        <v>Abrir facsímil</v>
      </c>
      <c r="K2039" s="3" t="s">
        <v>64</v>
      </c>
    </row>
    <row r="2040" spans="1:11" ht="42" customHeight="1">
      <c r="A2040" s="2" t="s">
        <v>4807</v>
      </c>
      <c r="B2040" s="2" t="s">
        <v>4807</v>
      </c>
      <c r="C2040" s="2" t="s">
        <v>105</v>
      </c>
      <c r="D2040" s="2" t="s">
        <v>18</v>
      </c>
      <c r="E2040" s="5">
        <v>-31383</v>
      </c>
      <c r="F2040" s="3" t="s">
        <v>715</v>
      </c>
      <c r="G2040" s="3" t="s">
        <v>57</v>
      </c>
      <c r="H2040" s="2" t="s">
        <v>62</v>
      </c>
      <c r="I2040" s="2" t="s">
        <v>4808</v>
      </c>
      <c r="J2040" s="3" t="str">
        <f>HYPERLINK("https://www.boe.es/gazeta/dias/1814/01/27/pdfs/GRE-1814-13.pdf#page=6","Abrir facsímil")</f>
        <v>Abrir facsímil</v>
      </c>
      <c r="K2040" s="3" t="s">
        <v>64</v>
      </c>
    </row>
    <row r="2041" spans="1:11" ht="42" customHeight="1">
      <c r="A2041" s="2" t="s">
        <v>4809</v>
      </c>
      <c r="B2041" s="2" t="s">
        <v>4810</v>
      </c>
      <c r="C2041" s="2" t="s">
        <v>38</v>
      </c>
      <c r="D2041" s="2" t="s">
        <v>39</v>
      </c>
      <c r="E2041" s="5">
        <v>-31378</v>
      </c>
      <c r="F2041" s="3" t="s">
        <v>98</v>
      </c>
      <c r="G2041" s="3" t="s">
        <v>52</v>
      </c>
      <c r="H2041" s="2" t="s">
        <v>62</v>
      </c>
      <c r="I2041" s="2" t="s">
        <v>4811</v>
      </c>
      <c r="J2041" s="3" t="str">
        <f>HYPERLINK("https://www.boe.es/gazeta/dias/1814/02/01/pdfs/GRE-1814-15.pdf#page=8","Abrir facsímil")</f>
        <v>Abrir facsímil</v>
      </c>
      <c r="K2041" s="3" t="s">
        <v>64</v>
      </c>
    </row>
    <row r="2042" spans="1:11" ht="42" customHeight="1">
      <c r="A2042" s="2" t="s">
        <v>4812</v>
      </c>
      <c r="B2042" s="2" t="s">
        <v>4813</v>
      </c>
      <c r="C2042" s="2" t="s">
        <v>38</v>
      </c>
      <c r="D2042" s="2" t="s">
        <v>39</v>
      </c>
      <c r="E2042" s="5">
        <v>-31133</v>
      </c>
      <c r="F2042" s="3" t="s">
        <v>184</v>
      </c>
      <c r="G2042" s="3" t="s">
        <v>20</v>
      </c>
      <c r="H2042" s="2" t="s">
        <v>62</v>
      </c>
      <c r="I2042" s="2" t="s">
        <v>4814</v>
      </c>
      <c r="J2042" s="3" t="str">
        <f>HYPERLINK("https://www.boe.es/gazeta/dias/1814/10/04/pdfs/GMD-1814-134.pdf#page=7","Abrir facsímil")</f>
        <v>Abrir facsímil</v>
      </c>
      <c r="K2042" s="3" t="s">
        <v>64</v>
      </c>
    </row>
    <row r="2043" spans="1:11" ht="42" customHeight="1">
      <c r="A2043" s="2" t="s">
        <v>4815</v>
      </c>
      <c r="B2043" s="2" t="s">
        <v>4816</v>
      </c>
      <c r="C2043" s="2" t="s">
        <v>32</v>
      </c>
      <c r="D2043" s="2" t="s">
        <v>18</v>
      </c>
      <c r="E2043" s="5">
        <v>-31070</v>
      </c>
      <c r="F2043" s="3" t="s">
        <v>92</v>
      </c>
      <c r="G2043" s="3" t="s">
        <v>52</v>
      </c>
      <c r="H2043" s="2" t="s">
        <v>62</v>
      </c>
      <c r="I2043" s="2" t="s">
        <v>4817</v>
      </c>
      <c r="J2043" s="3" t="str">
        <f>HYPERLINK("https://www.boe.es/gazeta/dias/1814/12/06/pdfs/GMD-1814-161.pdf#page=8","Abrir facsímil")</f>
        <v>Abrir facsímil</v>
      </c>
      <c r="K2043" s="3" t="s">
        <v>64</v>
      </c>
    </row>
    <row r="2044" spans="1:11" ht="42" customHeight="1">
      <c r="A2044" s="2" t="s">
        <v>4818</v>
      </c>
      <c r="B2044" s="2" t="s">
        <v>4819</v>
      </c>
      <c r="C2044" s="2" t="s">
        <v>26</v>
      </c>
      <c r="D2044" s="2" t="s">
        <v>27</v>
      </c>
      <c r="E2044" s="5">
        <v>-31301</v>
      </c>
      <c r="F2044" s="3" t="s">
        <v>81</v>
      </c>
      <c r="G2044" s="3" t="s">
        <v>52</v>
      </c>
      <c r="H2044" s="2" t="s">
        <v>62</v>
      </c>
      <c r="I2044" s="2" t="s">
        <v>4820</v>
      </c>
      <c r="J2044" s="3" t="str">
        <f>HYPERLINK("https://www.boe.es/gazeta/dias/1814/04/19/pdfs/GRE-1814-56.pdf#page=8","Abrir facsímil")</f>
        <v>Abrir facsímil</v>
      </c>
      <c r="K2044" s="3" t="s">
        <v>64</v>
      </c>
    </row>
    <row r="2045" spans="1:11" ht="42" customHeight="1">
      <c r="A2045" s="2" t="s">
        <v>4821</v>
      </c>
      <c r="B2045" s="2" t="s">
        <v>4821</v>
      </c>
      <c r="C2045" s="2" t="s">
        <v>38</v>
      </c>
      <c r="D2045" s="2" t="s">
        <v>39</v>
      </c>
      <c r="E2045" s="5">
        <v>-31215</v>
      </c>
      <c r="F2045" s="3" t="s">
        <v>372</v>
      </c>
      <c r="G2045" s="3" t="s">
        <v>82</v>
      </c>
      <c r="H2045" s="2" t="s">
        <v>62</v>
      </c>
      <c r="I2045" s="2" t="s">
        <v>4822</v>
      </c>
      <c r="J2045" s="3" t="str">
        <f>HYPERLINK("https://www.boe.es/gazeta/dias/1814/07/14/pdfs/GMD-1814-98.pdf#page=3","Abrir facsímil")</f>
        <v>Abrir facsímil</v>
      </c>
      <c r="K2045" s="3" t="s">
        <v>64</v>
      </c>
    </row>
    <row r="2046" spans="1:11" ht="42" customHeight="1">
      <c r="A2046" s="2" t="s">
        <v>4821</v>
      </c>
      <c r="B2046" s="2" t="s">
        <v>4821</v>
      </c>
      <c r="C2046" s="2" t="s">
        <v>38</v>
      </c>
      <c r="D2046" s="2" t="s">
        <v>39</v>
      </c>
      <c r="E2046" s="5">
        <v>-31210</v>
      </c>
      <c r="F2046" s="3" t="s">
        <v>141</v>
      </c>
      <c r="G2046" s="3" t="s">
        <v>107</v>
      </c>
      <c r="H2046" s="2" t="s">
        <v>62</v>
      </c>
      <c r="I2046" s="2" t="s">
        <v>4823</v>
      </c>
      <c r="J2046" s="3" t="str">
        <f>HYPERLINK("https://www.boe.es/gazeta/dias/1814/07/19/pdfs/GMD-1814-100.pdf#page=1","Abrir facsímil")</f>
        <v>Abrir facsímil</v>
      </c>
      <c r="K2046" s="3" t="s">
        <v>64</v>
      </c>
    </row>
    <row r="2047" spans="1:11" ht="42" customHeight="1">
      <c r="A2047" s="2" t="s">
        <v>4824</v>
      </c>
      <c r="B2047" s="2" t="s">
        <v>4824</v>
      </c>
      <c r="C2047" s="2" t="s">
        <v>38</v>
      </c>
      <c r="D2047" s="2" t="s">
        <v>39</v>
      </c>
      <c r="E2047" s="5">
        <v>-31353</v>
      </c>
      <c r="F2047" s="3" t="s">
        <v>247</v>
      </c>
      <c r="G2047" s="3" t="s">
        <v>1617</v>
      </c>
      <c r="H2047" s="2" t="s">
        <v>62</v>
      </c>
      <c r="I2047" s="2" t="s">
        <v>4825</v>
      </c>
      <c r="J2047" s="3" t="str">
        <f>HYPERLINK("https://www.boe.es/gazeta/dias/1814/02/26/pdfs/GRE-1814-27.pdf#page=3","Abrir facsímil")</f>
        <v>Abrir facsímil</v>
      </c>
      <c r="K2047" s="3" t="s">
        <v>64</v>
      </c>
    </row>
    <row r="2048" spans="1:11" ht="42" customHeight="1">
      <c r="A2048" s="2" t="s">
        <v>4826</v>
      </c>
      <c r="B2048" s="2" t="s">
        <v>4827</v>
      </c>
      <c r="C2048" s="2" t="s">
        <v>38</v>
      </c>
      <c r="D2048" s="2" t="s">
        <v>39</v>
      </c>
      <c r="E2048" s="5">
        <v>-31173</v>
      </c>
      <c r="F2048" s="3" t="s">
        <v>46</v>
      </c>
      <c r="G2048" s="3" t="s">
        <v>52</v>
      </c>
      <c r="H2048" s="2" t="s">
        <v>62</v>
      </c>
      <c r="I2048" s="2" t="s">
        <v>4828</v>
      </c>
      <c r="J2048" s="3" t="str">
        <f>HYPERLINK("https://www.boe.es/gazeta/dias/1814/08/25/pdfs/GMD-1814-116.pdf#page=8","Abrir facsímil")</f>
        <v>Abrir facsímil</v>
      </c>
      <c r="K2048" s="3" t="s">
        <v>64</v>
      </c>
    </row>
    <row r="2049" spans="1:11" ht="42" customHeight="1">
      <c r="A2049" s="2" t="s">
        <v>4829</v>
      </c>
      <c r="B2049" s="2" t="s">
        <v>4830</v>
      </c>
      <c r="C2049" s="2" t="s">
        <v>26</v>
      </c>
      <c r="D2049" s="2" t="s">
        <v>27</v>
      </c>
      <c r="E2049" s="5">
        <v>-31136</v>
      </c>
      <c r="F2049" s="3" t="s">
        <v>956</v>
      </c>
      <c r="G2049" s="3" t="s">
        <v>3656</v>
      </c>
      <c r="H2049" s="2" t="s">
        <v>21</v>
      </c>
      <c r="I2049" s="2" t="s">
        <v>4831</v>
      </c>
      <c r="J2049" s="3" t="str">
        <f>HYPERLINK("https://www.boe.es/gazeta/dias/1814/10/01/pdfs/GMD-1814-133.pdf#page=3","Abrir facsímil")</f>
        <v>Abrir facsímil</v>
      </c>
      <c r="K2049" s="3" t="s">
        <v>23</v>
      </c>
    </row>
    <row r="2050" spans="1:11" ht="42" customHeight="1">
      <c r="A2050" s="2" t="s">
        <v>4832</v>
      </c>
      <c r="B2050" s="2" t="s">
        <v>4833</v>
      </c>
      <c r="C2050" s="2" t="s">
        <v>26</v>
      </c>
      <c r="D2050" s="2" t="s">
        <v>27</v>
      </c>
      <c r="E2050" s="5">
        <v>-31243</v>
      </c>
      <c r="F2050" s="3" t="s">
        <v>500</v>
      </c>
      <c r="G2050" s="3" t="s">
        <v>4834</v>
      </c>
      <c r="H2050" s="2" t="s">
        <v>62</v>
      </c>
      <c r="I2050" s="2" t="s">
        <v>4835</v>
      </c>
      <c r="J2050" s="3" t="str">
        <f>HYPERLINK("https://www.boe.es/gazeta/dias/1814/06/16/pdfs/GMD-1814-86.pdf#page=10","Abrir facsímil")</f>
        <v>Abrir facsímil</v>
      </c>
      <c r="K2050" s="3" t="s">
        <v>64</v>
      </c>
    </row>
    <row r="2051" spans="1:11" ht="42" customHeight="1">
      <c r="A2051" s="2" t="s">
        <v>4832</v>
      </c>
      <c r="B2051" s="2" t="s">
        <v>4833</v>
      </c>
      <c r="C2051" s="2" t="s">
        <v>26</v>
      </c>
      <c r="D2051" s="2" t="s">
        <v>27</v>
      </c>
      <c r="E2051" s="5">
        <v>-31112</v>
      </c>
      <c r="F2051" s="3" t="s">
        <v>707</v>
      </c>
      <c r="G2051" s="3" t="s">
        <v>99</v>
      </c>
      <c r="H2051" s="2" t="s">
        <v>62</v>
      </c>
      <c r="I2051" s="2" t="s">
        <v>4836</v>
      </c>
      <c r="J2051" s="3" t="str">
        <f>HYPERLINK("https://www.boe.es/gazeta/dias/1814/10/25/pdfs/GMD-1814-143.pdf#page=5","Abrir facsímil")</f>
        <v>Abrir facsímil</v>
      </c>
      <c r="K2051" s="3" t="s">
        <v>64</v>
      </c>
    </row>
    <row r="2052" spans="1:11" ht="42" customHeight="1">
      <c r="A2052" s="2" t="s">
        <v>4837</v>
      </c>
      <c r="B2052" s="2" t="s">
        <v>4837</v>
      </c>
      <c r="C2052" s="2" t="s">
        <v>38</v>
      </c>
      <c r="D2052" s="2" t="s">
        <v>314</v>
      </c>
      <c r="E2052" s="5">
        <v>-31296</v>
      </c>
      <c r="F2052" s="3" t="s">
        <v>315</v>
      </c>
      <c r="G2052" s="3" t="s">
        <v>41</v>
      </c>
      <c r="H2052" s="2" t="s">
        <v>62</v>
      </c>
      <c r="I2052" s="2" t="s">
        <v>4838</v>
      </c>
      <c r="J2052" s="3" t="str">
        <f>HYPERLINK("https://www.boe.es/gazeta/dias/1814/04/24/pdfs/GRE-1814-60E.pdf#page=4","Abrir facsímil")</f>
        <v>Abrir facsímil</v>
      </c>
      <c r="K2052" s="3" t="s">
        <v>64</v>
      </c>
    </row>
    <row r="2053" spans="1:11" ht="42" customHeight="1">
      <c r="A2053" s="2" t="s">
        <v>4839</v>
      </c>
      <c r="B2053" s="2" t="s">
        <v>4840</v>
      </c>
      <c r="C2053" s="2" t="s">
        <v>38</v>
      </c>
      <c r="D2053" s="2" t="s">
        <v>39</v>
      </c>
      <c r="E2053" s="5">
        <v>-31229</v>
      </c>
      <c r="F2053" s="3" t="s">
        <v>502</v>
      </c>
      <c r="G2053" s="3" t="s">
        <v>52</v>
      </c>
      <c r="H2053" s="2" t="s">
        <v>62</v>
      </c>
      <c r="I2053" s="2" t="s">
        <v>4841</v>
      </c>
      <c r="J2053" s="3" t="str">
        <f>HYPERLINK("https://www.boe.es/gazeta/dias/1814/06/30/pdfs/GMD-1814-92.pdf#page=8","Abrir facsímil")</f>
        <v>Abrir facsímil</v>
      </c>
      <c r="K2053" s="3" t="s">
        <v>64</v>
      </c>
    </row>
    <row r="2054" spans="1:11" ht="42" customHeight="1">
      <c r="A2054" s="2" t="s">
        <v>4842</v>
      </c>
      <c r="B2054" s="2" t="s">
        <v>4842</v>
      </c>
      <c r="C2054" s="2" t="s">
        <v>38</v>
      </c>
      <c r="D2054" s="2" t="s">
        <v>39</v>
      </c>
      <c r="E2054" s="5">
        <v>-31360</v>
      </c>
      <c r="F2054" s="3" t="s">
        <v>480</v>
      </c>
      <c r="G2054" s="3" t="s">
        <v>99</v>
      </c>
      <c r="H2054" s="2" t="s">
        <v>62</v>
      </c>
      <c r="I2054" s="2" t="s">
        <v>4843</v>
      </c>
      <c r="J2054" s="3" t="str">
        <f>HYPERLINK("https://www.boe.es/gazeta/dias/1814/02/19/pdfs/GRE-1814-23.pdf#page=5","Abrir facsímil")</f>
        <v>Abrir facsímil</v>
      </c>
      <c r="K2054" s="3" t="s">
        <v>64</v>
      </c>
    </row>
    <row r="2055" spans="1:11" ht="42" customHeight="1">
      <c r="A2055" s="2" t="s">
        <v>4844</v>
      </c>
      <c r="B2055" s="2" t="s">
        <v>4844</v>
      </c>
      <c r="C2055" s="2" t="s">
        <v>38</v>
      </c>
      <c r="D2055" s="2" t="s">
        <v>39</v>
      </c>
      <c r="E2055" s="5">
        <v>-31318</v>
      </c>
      <c r="F2055" s="3" t="s">
        <v>400</v>
      </c>
      <c r="G2055" s="3" t="s">
        <v>99</v>
      </c>
      <c r="H2055" s="2" t="s">
        <v>62</v>
      </c>
      <c r="I2055" s="2" t="s">
        <v>4845</v>
      </c>
      <c r="J2055" s="3" t="str">
        <f>HYPERLINK("https://www.boe.es/gazeta/dias/1814/04/02/pdfs/GRE-1814-47.pdf#page=5","Abrir facsímil")</f>
        <v>Abrir facsímil</v>
      </c>
      <c r="K2055" s="3" t="s">
        <v>64</v>
      </c>
    </row>
    <row r="2056" spans="1:11" ht="42" customHeight="1">
      <c r="A2056" s="2" t="s">
        <v>4844</v>
      </c>
      <c r="B2056" s="2" t="s">
        <v>4844</v>
      </c>
      <c r="C2056" s="2" t="s">
        <v>32</v>
      </c>
      <c r="D2056" s="2" t="s">
        <v>18</v>
      </c>
      <c r="E2056" s="5">
        <v>-31245</v>
      </c>
      <c r="F2056" s="3" t="s">
        <v>908</v>
      </c>
      <c r="G2056" s="3" t="s">
        <v>99</v>
      </c>
      <c r="H2056" s="2" t="s">
        <v>62</v>
      </c>
      <c r="I2056" s="2" t="s">
        <v>4846</v>
      </c>
      <c r="J2056" s="3" t="str">
        <f>HYPERLINK("https://www.boe.es/gazeta/dias/1814/06/14/pdfs/GMD-1814-85.pdf#page=5","Abrir facsímil")</f>
        <v>Abrir facsímil</v>
      </c>
      <c r="K2056" s="3" t="s">
        <v>64</v>
      </c>
    </row>
    <row r="2057" spans="1:11" ht="42" customHeight="1">
      <c r="A2057" s="2" t="s">
        <v>4844</v>
      </c>
      <c r="B2057" s="2" t="s">
        <v>4844</v>
      </c>
      <c r="C2057" s="2" t="s">
        <v>38</v>
      </c>
      <c r="D2057" s="2" t="s">
        <v>39</v>
      </c>
      <c r="E2057" s="5">
        <v>-31224</v>
      </c>
      <c r="F2057" s="3" t="s">
        <v>609</v>
      </c>
      <c r="G2057" s="3" t="s">
        <v>20</v>
      </c>
      <c r="H2057" s="2" t="s">
        <v>62</v>
      </c>
      <c r="I2057" s="2" t="s">
        <v>4847</v>
      </c>
      <c r="J2057" s="3" t="str">
        <f>HYPERLINK("https://www.boe.es/gazeta/dias/1814/07/05/pdfs/GMD-1814-94.pdf#page=7","Abrir facsímil")</f>
        <v>Abrir facsímil</v>
      </c>
      <c r="K2057" s="3" t="s">
        <v>64</v>
      </c>
    </row>
    <row r="2058" spans="1:11" ht="42" customHeight="1">
      <c r="A2058" s="2" t="s">
        <v>4844</v>
      </c>
      <c r="B2058" s="2" t="s">
        <v>4844</v>
      </c>
      <c r="C2058" s="2" t="s">
        <v>38</v>
      </c>
      <c r="D2058" s="2" t="s">
        <v>39</v>
      </c>
      <c r="E2058" s="5">
        <v>-31220</v>
      </c>
      <c r="F2058" s="3" t="s">
        <v>122</v>
      </c>
      <c r="G2058" s="3" t="s">
        <v>82</v>
      </c>
      <c r="H2058" s="2" t="s">
        <v>62</v>
      </c>
      <c r="I2058" s="2" t="s">
        <v>4848</v>
      </c>
      <c r="J2058" s="3" t="str">
        <f>HYPERLINK("https://www.boe.es/gazeta/dias/1814/07/09/pdfs/GMD-1814-96.pdf#page=3","Abrir facsímil")</f>
        <v>Abrir facsímil</v>
      </c>
      <c r="K2058" s="3" t="s">
        <v>64</v>
      </c>
    </row>
    <row r="2059" spans="1:11" ht="42" customHeight="1">
      <c r="A2059" s="2" t="s">
        <v>4844</v>
      </c>
      <c r="B2059" s="2" t="s">
        <v>4844</v>
      </c>
      <c r="C2059" s="2" t="s">
        <v>26</v>
      </c>
      <c r="D2059" s="2" t="s">
        <v>27</v>
      </c>
      <c r="E2059" s="5">
        <v>-31185</v>
      </c>
      <c r="F2059" s="3" t="s">
        <v>1238</v>
      </c>
      <c r="G2059" s="3" t="s">
        <v>3166</v>
      </c>
      <c r="H2059" s="2" t="s">
        <v>62</v>
      </c>
      <c r="I2059" s="2" t="s">
        <v>4849</v>
      </c>
      <c r="J2059" s="3" t="str">
        <f>HYPERLINK("https://www.boe.es/gazeta/dias/1814/08/13/pdfs/GMD-1814-111.pdf#page=7","Abrir facsímil")</f>
        <v>Abrir facsímil</v>
      </c>
      <c r="K2059" s="3" t="s">
        <v>64</v>
      </c>
    </row>
    <row r="2060" spans="1:11" ht="42" customHeight="1">
      <c r="A2060" s="2" t="s">
        <v>4844</v>
      </c>
      <c r="B2060" s="2" t="s">
        <v>4844</v>
      </c>
      <c r="C2060" s="2" t="s">
        <v>38</v>
      </c>
      <c r="D2060" s="2" t="s">
        <v>39</v>
      </c>
      <c r="E2060" s="5">
        <v>-31178</v>
      </c>
      <c r="F2060" s="3" t="s">
        <v>1390</v>
      </c>
      <c r="G2060" s="3" t="s">
        <v>99</v>
      </c>
      <c r="H2060" s="2" t="s">
        <v>62</v>
      </c>
      <c r="I2060" s="2" t="s">
        <v>4850</v>
      </c>
      <c r="J2060" s="3" t="str">
        <f>HYPERLINK("https://www.boe.es/gazeta/dias/1814/08/20/pdfs/GMD-1814-114.pdf#page=5","Abrir facsímil")</f>
        <v>Abrir facsímil</v>
      </c>
      <c r="K2060" s="3" t="s">
        <v>64</v>
      </c>
    </row>
    <row r="2061" spans="1:11" ht="42" customHeight="1">
      <c r="A2061" s="2" t="s">
        <v>4844</v>
      </c>
      <c r="B2061" s="2" t="s">
        <v>4844</v>
      </c>
      <c r="C2061" s="2" t="s">
        <v>26</v>
      </c>
      <c r="D2061" s="2" t="s">
        <v>27</v>
      </c>
      <c r="E2061" s="5">
        <v>-31145</v>
      </c>
      <c r="F2061" s="3" t="s">
        <v>523</v>
      </c>
      <c r="G2061" s="3" t="s">
        <v>20</v>
      </c>
      <c r="H2061" s="2" t="s">
        <v>62</v>
      </c>
      <c r="I2061" s="2" t="s">
        <v>4851</v>
      </c>
      <c r="J2061" s="3" t="str">
        <f>HYPERLINK("https://www.boe.es/gazeta/dias/1814/09/22/pdfs/GMD-1814-129.pdf#page=7","Abrir facsímil")</f>
        <v>Abrir facsímil</v>
      </c>
      <c r="K2061" s="3" t="s">
        <v>64</v>
      </c>
    </row>
    <row r="2062" spans="1:11" ht="42" customHeight="1">
      <c r="A2062" s="2" t="s">
        <v>4844</v>
      </c>
      <c r="B2062" s="2" t="s">
        <v>4844</v>
      </c>
      <c r="C2062" s="2" t="s">
        <v>26</v>
      </c>
      <c r="D2062" s="2" t="s">
        <v>27</v>
      </c>
      <c r="E2062" s="5">
        <v>-31138</v>
      </c>
      <c r="F2062" s="3" t="s">
        <v>1363</v>
      </c>
      <c r="G2062" s="3" t="s">
        <v>1364</v>
      </c>
      <c r="H2062" s="2" t="s">
        <v>62</v>
      </c>
      <c r="I2062" s="2" t="s">
        <v>4852</v>
      </c>
      <c r="J2062" s="3" t="str">
        <f>HYPERLINK("https://www.boe.es/gazeta/dias/1814/09/29/pdfs/GMD-1814-132.pdf#page=7","Abrir facsímil")</f>
        <v>Abrir facsímil</v>
      </c>
      <c r="K2062" s="3" t="s">
        <v>64</v>
      </c>
    </row>
    <row r="2063" spans="1:11" ht="42" customHeight="1">
      <c r="A2063" s="2" t="s">
        <v>4844</v>
      </c>
      <c r="B2063" s="2" t="s">
        <v>4844</v>
      </c>
      <c r="C2063" s="2" t="s">
        <v>26</v>
      </c>
      <c r="D2063" s="2" t="s">
        <v>27</v>
      </c>
      <c r="E2063" s="5">
        <v>-31133</v>
      </c>
      <c r="F2063" s="3" t="s">
        <v>184</v>
      </c>
      <c r="G2063" s="3" t="s">
        <v>57</v>
      </c>
      <c r="H2063" s="2" t="s">
        <v>62</v>
      </c>
      <c r="I2063" s="2" t="s">
        <v>4853</v>
      </c>
      <c r="J2063" s="3" t="str">
        <f>HYPERLINK("https://www.boe.es/gazeta/dias/1814/10/04/pdfs/GMD-1814-134.pdf#page=6","Abrir facsímil")</f>
        <v>Abrir facsímil</v>
      </c>
      <c r="K2063" s="3" t="s">
        <v>64</v>
      </c>
    </row>
    <row r="2064" spans="1:11" ht="42" customHeight="1">
      <c r="A2064" s="2" t="s">
        <v>4844</v>
      </c>
      <c r="B2064" s="2" t="s">
        <v>4844</v>
      </c>
      <c r="C2064" s="2" t="s">
        <v>38</v>
      </c>
      <c r="D2064" s="2" t="s">
        <v>39</v>
      </c>
      <c r="E2064" s="5">
        <v>-31089</v>
      </c>
      <c r="F2064" s="3" t="s">
        <v>531</v>
      </c>
      <c r="G2064" s="3" t="s">
        <v>20</v>
      </c>
      <c r="H2064" s="2" t="s">
        <v>62</v>
      </c>
      <c r="I2064" s="2" t="s">
        <v>4854</v>
      </c>
      <c r="J2064" s="3" t="str">
        <f>HYPERLINK("https://www.boe.es/gazeta/dias/1814/11/17/pdfs/GMD-1814-153.pdf#page=7","Abrir facsímil")</f>
        <v>Abrir facsímil</v>
      </c>
      <c r="K2064" s="3" t="s">
        <v>64</v>
      </c>
    </row>
    <row r="2065" spans="1:11" ht="42" customHeight="1">
      <c r="A2065" s="2" t="s">
        <v>4855</v>
      </c>
      <c r="B2065" s="2" t="s">
        <v>4856</v>
      </c>
      <c r="C2065" s="2" t="s">
        <v>38</v>
      </c>
      <c r="D2065" s="2" t="s">
        <v>39</v>
      </c>
      <c r="E2065" s="5">
        <v>-31213</v>
      </c>
      <c r="F2065" s="3" t="s">
        <v>276</v>
      </c>
      <c r="G2065" s="3" t="s">
        <v>20</v>
      </c>
      <c r="H2065" s="2" t="s">
        <v>62</v>
      </c>
      <c r="I2065" s="2" t="s">
        <v>4857</v>
      </c>
      <c r="J2065" s="3" t="str">
        <f>HYPERLINK("https://www.boe.es/gazeta/dias/1814/07/16/pdfs/GMD-1814-99.pdf#page=7","Abrir facsímil")</f>
        <v>Abrir facsímil</v>
      </c>
      <c r="K2065" s="3" t="s">
        <v>64</v>
      </c>
    </row>
    <row r="2066" spans="1:11" ht="42" customHeight="1">
      <c r="A2066" s="2" t="s">
        <v>4858</v>
      </c>
      <c r="B2066" s="2" t="s">
        <v>4859</v>
      </c>
      <c r="C2066" s="2" t="s">
        <v>38</v>
      </c>
      <c r="D2066" s="2" t="s">
        <v>39</v>
      </c>
      <c r="E2066" s="5">
        <v>-31245</v>
      </c>
      <c r="F2066" s="3" t="s">
        <v>908</v>
      </c>
      <c r="G2066" s="3" t="s">
        <v>322</v>
      </c>
      <c r="H2066" s="2" t="s">
        <v>21</v>
      </c>
      <c r="I2066" s="2" t="s">
        <v>4860</v>
      </c>
      <c r="J2066" s="3" t="str">
        <f>HYPERLINK("https://www.boe.es/gazeta/dias/1814/06/14/pdfs/GMD-1814-85.pdf#page=12","Abrir facsímil")</f>
        <v>Abrir facsímil</v>
      </c>
      <c r="K2066" s="3" t="s">
        <v>23</v>
      </c>
    </row>
    <row r="2067" spans="1:11" ht="42" customHeight="1">
      <c r="A2067" s="2" t="s">
        <v>4861</v>
      </c>
      <c r="B2067" s="2" t="s">
        <v>4861</v>
      </c>
      <c r="C2067" s="2" t="s">
        <v>38</v>
      </c>
      <c r="D2067" s="2" t="s">
        <v>39</v>
      </c>
      <c r="E2067" s="5">
        <v>-31304</v>
      </c>
      <c r="F2067" s="3" t="s">
        <v>1964</v>
      </c>
      <c r="G2067" s="3" t="s">
        <v>20</v>
      </c>
      <c r="H2067" s="2" t="s">
        <v>62</v>
      </c>
      <c r="I2067" s="2" t="s">
        <v>4862</v>
      </c>
      <c r="J2067" s="3" t="str">
        <f>HYPERLINK("https://www.boe.es/gazeta/dias/1814/04/16/pdfs/GRE-1814-55.pdf#page=7","Abrir facsímil")</f>
        <v>Abrir facsímil</v>
      </c>
      <c r="K2067" s="3" t="s">
        <v>64</v>
      </c>
    </row>
    <row r="2068" spans="1:11" ht="42" customHeight="1">
      <c r="A2068" s="2" t="s">
        <v>4861</v>
      </c>
      <c r="B2068" s="2" t="s">
        <v>4861</v>
      </c>
      <c r="C2068" s="2" t="s">
        <v>38</v>
      </c>
      <c r="D2068" s="2" t="s">
        <v>39</v>
      </c>
      <c r="E2068" s="5">
        <v>-31299</v>
      </c>
      <c r="F2068" s="3" t="s">
        <v>71</v>
      </c>
      <c r="G2068" s="3" t="s">
        <v>52</v>
      </c>
      <c r="H2068" s="2" t="s">
        <v>62</v>
      </c>
      <c r="I2068" s="2" t="s">
        <v>4863</v>
      </c>
      <c r="J2068" s="3" t="str">
        <f>HYPERLINK("https://www.boe.es/gazeta/dias/1814/04/21/pdfs/GRE-1814-57.pdf#page=8","Abrir facsímil")</f>
        <v>Abrir facsímil</v>
      </c>
      <c r="K2068" s="3" t="s">
        <v>64</v>
      </c>
    </row>
    <row r="2069" spans="1:11" ht="42" customHeight="1">
      <c r="A2069" s="2" t="s">
        <v>4861</v>
      </c>
      <c r="B2069" s="2" t="s">
        <v>4861</v>
      </c>
      <c r="C2069" s="2" t="s">
        <v>38</v>
      </c>
      <c r="D2069" s="2" t="s">
        <v>39</v>
      </c>
      <c r="E2069" s="5">
        <v>-31250</v>
      </c>
      <c r="F2069" s="3" t="s">
        <v>177</v>
      </c>
      <c r="G2069" s="3" t="s">
        <v>41</v>
      </c>
      <c r="H2069" s="2" t="s">
        <v>62</v>
      </c>
      <c r="I2069" s="2" t="s">
        <v>4864</v>
      </c>
      <c r="J2069" s="3" t="str">
        <f>HYPERLINK("https://www.boe.es/gazeta/dias/1814/06/09/pdfs/GMD-1814-83.pdf#page=4","Abrir facsímil")</f>
        <v>Abrir facsímil</v>
      </c>
      <c r="K2069" s="3" t="s">
        <v>64</v>
      </c>
    </row>
    <row r="2070" spans="1:11" ht="42" customHeight="1">
      <c r="A2070" s="2" t="s">
        <v>4861</v>
      </c>
      <c r="B2070" s="2" t="s">
        <v>4861</v>
      </c>
      <c r="C2070" s="2" t="s">
        <v>309</v>
      </c>
      <c r="D2070" s="2" t="s">
        <v>18</v>
      </c>
      <c r="E2070" s="5">
        <v>-31171</v>
      </c>
      <c r="F2070" s="3" t="s">
        <v>157</v>
      </c>
      <c r="G2070" s="3" t="s">
        <v>57</v>
      </c>
      <c r="H2070" s="2" t="s">
        <v>62</v>
      </c>
      <c r="I2070" s="2" t="s">
        <v>4865</v>
      </c>
      <c r="J2070" s="3" t="str">
        <f>HYPERLINK("https://www.boe.es/gazeta/dias/1814/08/27/pdfs/GMD-1814-117.pdf#page=6","Abrir facsímil")</f>
        <v>Abrir facsímil</v>
      </c>
      <c r="K2070" s="3" t="s">
        <v>64</v>
      </c>
    </row>
    <row r="2071" spans="1:11" ht="42" customHeight="1">
      <c r="A2071" s="2" t="s">
        <v>4861</v>
      </c>
      <c r="B2071" s="2" t="s">
        <v>4861</v>
      </c>
      <c r="C2071" s="2" t="s">
        <v>17</v>
      </c>
      <c r="D2071" s="2" t="s">
        <v>18</v>
      </c>
      <c r="E2071" s="5">
        <v>-31154</v>
      </c>
      <c r="F2071" s="3" t="s">
        <v>688</v>
      </c>
      <c r="G2071" s="3" t="s">
        <v>52</v>
      </c>
      <c r="H2071" s="2" t="s">
        <v>62</v>
      </c>
      <c r="I2071" s="2" t="s">
        <v>4866</v>
      </c>
      <c r="J2071" s="3" t="str">
        <f>HYPERLINK("https://www.boe.es/gazeta/dias/1814/09/13/pdfs/GMD-1814-125.pdf#page=8","Abrir facsímil")</f>
        <v>Abrir facsímil</v>
      </c>
      <c r="K2071" s="3" t="s">
        <v>64</v>
      </c>
    </row>
    <row r="2072" spans="1:11" ht="42" customHeight="1">
      <c r="A2072" s="2" t="s">
        <v>4861</v>
      </c>
      <c r="B2072" s="2" t="s">
        <v>4861</v>
      </c>
      <c r="C2072" s="2" t="s">
        <v>17</v>
      </c>
      <c r="D2072" s="2" t="s">
        <v>18</v>
      </c>
      <c r="E2072" s="5">
        <v>-31152</v>
      </c>
      <c r="F2072" s="3" t="s">
        <v>199</v>
      </c>
      <c r="G2072" s="3" t="s">
        <v>82</v>
      </c>
      <c r="H2072" s="2" t="s">
        <v>62</v>
      </c>
      <c r="I2072" s="2" t="s">
        <v>4867</v>
      </c>
      <c r="J2072" s="3" t="str">
        <f>HYPERLINK("https://www.boe.es/gazeta/dias/1814/09/15/pdfs/GMD-1814-126.pdf#page=3","Abrir facsímil")</f>
        <v>Abrir facsímil</v>
      </c>
      <c r="K2072" s="3" t="s">
        <v>64</v>
      </c>
    </row>
    <row r="2073" spans="1:11" ht="42" customHeight="1">
      <c r="A2073" s="2" t="s">
        <v>4861</v>
      </c>
      <c r="B2073" s="2" t="s">
        <v>4861</v>
      </c>
      <c r="C2073" s="2" t="s">
        <v>26</v>
      </c>
      <c r="D2073" s="2" t="s">
        <v>27</v>
      </c>
      <c r="E2073" s="5">
        <v>-31129</v>
      </c>
      <c r="F2073" s="3" t="s">
        <v>418</v>
      </c>
      <c r="G2073" s="3" t="s">
        <v>20</v>
      </c>
      <c r="H2073" s="2" t="s">
        <v>62</v>
      </c>
      <c r="I2073" s="2" t="s">
        <v>4868</v>
      </c>
      <c r="J2073" s="3" t="str">
        <f>HYPERLINK("https://www.boe.es/gazeta/dias/1814/10/08/pdfs/GMD-1814-136.pdf#page=7","Abrir facsímil")</f>
        <v>Abrir facsímil</v>
      </c>
      <c r="K2073" s="3" t="s">
        <v>64</v>
      </c>
    </row>
    <row r="2074" spans="1:11" ht="42" customHeight="1">
      <c r="A2074" s="2" t="s">
        <v>4861</v>
      </c>
      <c r="B2074" s="2" t="s">
        <v>4861</v>
      </c>
      <c r="C2074" s="2" t="s">
        <v>17</v>
      </c>
      <c r="D2074" s="2" t="s">
        <v>18</v>
      </c>
      <c r="E2074" s="5">
        <v>-31115</v>
      </c>
      <c r="F2074" s="3" t="s">
        <v>805</v>
      </c>
      <c r="G2074" s="3" t="s">
        <v>52</v>
      </c>
      <c r="H2074" s="2" t="s">
        <v>62</v>
      </c>
      <c r="I2074" s="2" t="s">
        <v>4869</v>
      </c>
      <c r="J2074" s="3" t="str">
        <f>HYPERLINK("https://www.boe.es/gazeta/dias/1814/10/22/pdfs/GMD-1814-142.pdf#page=8","Abrir facsímil")</f>
        <v>Abrir facsímil</v>
      </c>
      <c r="K2074" s="3" t="s">
        <v>64</v>
      </c>
    </row>
    <row r="2075" spans="1:11" ht="42" customHeight="1">
      <c r="A2075" s="2" t="s">
        <v>4861</v>
      </c>
      <c r="B2075" s="2" t="s">
        <v>4861</v>
      </c>
      <c r="C2075" s="2" t="s">
        <v>144</v>
      </c>
      <c r="D2075" s="2" t="s">
        <v>18</v>
      </c>
      <c r="E2075" s="5">
        <v>-31103</v>
      </c>
      <c r="F2075" s="3" t="s">
        <v>1260</v>
      </c>
      <c r="G2075" s="3" t="s">
        <v>1261</v>
      </c>
      <c r="H2075" s="2" t="s">
        <v>62</v>
      </c>
      <c r="I2075" s="2" t="s">
        <v>4870</v>
      </c>
      <c r="J2075" s="3" t="str">
        <f>HYPERLINK("https://www.boe.es/gazeta/dias/1814/11/03/pdfs/GMD-1814-147.pdf#page=8","Abrir facsímil")</f>
        <v>Abrir facsímil</v>
      </c>
      <c r="K2075" s="3" t="s">
        <v>64</v>
      </c>
    </row>
    <row r="2076" spans="1:11" ht="42" customHeight="1">
      <c r="A2076" s="2" t="s">
        <v>4861</v>
      </c>
      <c r="B2076" s="2" t="s">
        <v>4861</v>
      </c>
      <c r="C2076" s="2" t="s">
        <v>26</v>
      </c>
      <c r="D2076" s="2" t="s">
        <v>27</v>
      </c>
      <c r="E2076" s="5">
        <v>-31089</v>
      </c>
      <c r="F2076" s="3" t="s">
        <v>531</v>
      </c>
      <c r="G2076" s="3" t="s">
        <v>3263</v>
      </c>
      <c r="H2076" s="2" t="s">
        <v>62</v>
      </c>
      <c r="I2076" s="2" t="s">
        <v>4871</v>
      </c>
      <c r="J2076" s="3" t="str">
        <f>HYPERLINK("https://www.boe.es/gazeta/dias/1814/11/17/pdfs/GMD-1814-153.pdf#page=4","Abrir facsímil")</f>
        <v>Abrir facsímil</v>
      </c>
      <c r="K2076" s="3" t="s">
        <v>64</v>
      </c>
    </row>
    <row r="2077" spans="1:11" ht="42" customHeight="1">
      <c r="A2077" s="2" t="s">
        <v>4861</v>
      </c>
      <c r="B2077" s="2" t="s">
        <v>4861</v>
      </c>
      <c r="C2077" s="2" t="s">
        <v>38</v>
      </c>
      <c r="D2077" s="2" t="s">
        <v>39</v>
      </c>
      <c r="E2077" s="5">
        <v>-31077</v>
      </c>
      <c r="F2077" s="3" t="s">
        <v>414</v>
      </c>
      <c r="G2077" s="3" t="s">
        <v>52</v>
      </c>
      <c r="H2077" s="2" t="s">
        <v>62</v>
      </c>
      <c r="I2077" s="2" t="s">
        <v>4872</v>
      </c>
      <c r="J2077" s="3" t="str">
        <f>HYPERLINK("https://www.boe.es/gazeta/dias/1814/11/29/pdfs/GMD-1814-158.pdf#page=8","Abrir facsímil")</f>
        <v>Abrir facsímil</v>
      </c>
      <c r="K2077" s="3" t="s">
        <v>64</v>
      </c>
    </row>
    <row r="2078" spans="1:11" ht="42" customHeight="1">
      <c r="A2078" s="2" t="s">
        <v>4873</v>
      </c>
      <c r="B2078" s="2" t="s">
        <v>4874</v>
      </c>
      <c r="C2078" s="2" t="s">
        <v>38</v>
      </c>
      <c r="D2078" s="2" t="s">
        <v>39</v>
      </c>
      <c r="E2078" s="5">
        <v>-31105</v>
      </c>
      <c r="F2078" s="3" t="s">
        <v>61</v>
      </c>
      <c r="G2078" s="3" t="s">
        <v>52</v>
      </c>
      <c r="H2078" s="2" t="s">
        <v>62</v>
      </c>
      <c r="I2078" s="2" t="s">
        <v>4875</v>
      </c>
      <c r="J2078" s="3" t="str">
        <f>HYPERLINK("https://www.boe.es/gazeta/dias/1814/11/01/pdfs/GMD-1814-146.pdf#page=8","Abrir facsímil")</f>
        <v>Abrir facsímil</v>
      </c>
      <c r="K2078" s="3" t="s">
        <v>64</v>
      </c>
    </row>
    <row r="2079" spans="1:11" ht="42" customHeight="1">
      <c r="A2079" s="2" t="s">
        <v>4876</v>
      </c>
      <c r="B2079" s="2" t="s">
        <v>4876</v>
      </c>
      <c r="C2079" s="2" t="s">
        <v>38</v>
      </c>
      <c r="D2079" s="2" t="s">
        <v>39</v>
      </c>
      <c r="E2079" s="5">
        <v>-31383</v>
      </c>
      <c r="F2079" s="3" t="s">
        <v>715</v>
      </c>
      <c r="G2079" s="3" t="s">
        <v>52</v>
      </c>
      <c r="H2079" s="2" t="s">
        <v>62</v>
      </c>
      <c r="I2079" s="2" t="s">
        <v>4877</v>
      </c>
      <c r="J2079" s="3" t="str">
        <f>HYPERLINK("https://www.boe.es/gazeta/dias/1814/01/27/pdfs/GRE-1814-13.pdf#page=8","Abrir facsímil")</f>
        <v>Abrir facsímil</v>
      </c>
      <c r="K2079" s="3" t="s">
        <v>64</v>
      </c>
    </row>
    <row r="2080" spans="1:11" ht="42" customHeight="1">
      <c r="A2080" s="2" t="s">
        <v>4876</v>
      </c>
      <c r="B2080" s="2" t="s">
        <v>4876</v>
      </c>
      <c r="C2080" s="2" t="s">
        <v>38</v>
      </c>
      <c r="D2080" s="2" t="s">
        <v>39</v>
      </c>
      <c r="E2080" s="5">
        <v>-31371</v>
      </c>
      <c r="F2080" s="3" t="s">
        <v>1017</v>
      </c>
      <c r="G2080" s="3" t="s">
        <v>99</v>
      </c>
      <c r="H2080" s="2" t="s">
        <v>62</v>
      </c>
      <c r="I2080" s="2" t="s">
        <v>4878</v>
      </c>
      <c r="J2080" s="3" t="str">
        <f>HYPERLINK("https://www.boe.es/gazeta/dias/1814/02/08/pdfs/GRE-1814-18.pdf#page=5","Abrir facsímil")</f>
        <v>Abrir facsímil</v>
      </c>
      <c r="K2080" s="3" t="s">
        <v>64</v>
      </c>
    </row>
    <row r="2081" spans="1:11" ht="42" customHeight="1">
      <c r="A2081" s="2" t="s">
        <v>4876</v>
      </c>
      <c r="B2081" s="2" t="s">
        <v>4876</v>
      </c>
      <c r="C2081" s="2" t="s">
        <v>38</v>
      </c>
      <c r="D2081" s="2" t="s">
        <v>39</v>
      </c>
      <c r="E2081" s="5">
        <v>-31348</v>
      </c>
      <c r="F2081" s="3" t="s">
        <v>898</v>
      </c>
      <c r="G2081" s="3" t="s">
        <v>41</v>
      </c>
      <c r="H2081" s="2" t="s">
        <v>62</v>
      </c>
      <c r="I2081" s="2" t="s">
        <v>4879</v>
      </c>
      <c r="J2081" s="3" t="str">
        <f>HYPERLINK("https://www.boe.es/gazeta/dias/1814/03/03/pdfs/GRE-1814-29.pdf#page=4","Abrir facsímil")</f>
        <v>Abrir facsímil</v>
      </c>
      <c r="K2081" s="3" t="s">
        <v>64</v>
      </c>
    </row>
    <row r="2082" spans="1:11" ht="42" customHeight="1">
      <c r="A2082" s="2" t="s">
        <v>4876</v>
      </c>
      <c r="B2082" s="2" t="s">
        <v>4876</v>
      </c>
      <c r="C2082" s="2" t="s">
        <v>38</v>
      </c>
      <c r="D2082" s="2" t="s">
        <v>39</v>
      </c>
      <c r="E2082" s="5">
        <v>-31217</v>
      </c>
      <c r="F2082" s="3" t="s">
        <v>506</v>
      </c>
      <c r="G2082" s="3" t="s">
        <v>384</v>
      </c>
      <c r="H2082" s="2" t="s">
        <v>62</v>
      </c>
      <c r="I2082" s="2" t="s">
        <v>4880</v>
      </c>
      <c r="J2082" s="3" t="str">
        <f>HYPERLINK("https://www.boe.es/gazeta/dias/1814/07/12/pdfs/GMD-1814-97.pdf#page=11","Abrir facsímil")</f>
        <v>Abrir facsímil</v>
      </c>
      <c r="K2082" s="3" t="s">
        <v>64</v>
      </c>
    </row>
    <row r="2083" spans="1:11" ht="42" customHeight="1">
      <c r="A2083" s="2" t="s">
        <v>4876</v>
      </c>
      <c r="B2083" s="2" t="s">
        <v>4876</v>
      </c>
      <c r="C2083" s="2" t="s">
        <v>26</v>
      </c>
      <c r="D2083" s="2" t="s">
        <v>27</v>
      </c>
      <c r="E2083" s="5">
        <v>-31201</v>
      </c>
      <c r="F2083" s="3" t="s">
        <v>863</v>
      </c>
      <c r="G2083" s="3" t="s">
        <v>52</v>
      </c>
      <c r="H2083" s="2" t="s">
        <v>62</v>
      </c>
      <c r="I2083" s="2" t="s">
        <v>4881</v>
      </c>
      <c r="J2083" s="3" t="str">
        <f>HYPERLINK("https://www.boe.es/gazeta/dias/1814/07/28/pdfs/GMD-1814-104.pdf#page=8","Abrir facsímil")</f>
        <v>Abrir facsímil</v>
      </c>
      <c r="K2083" s="3" t="s">
        <v>64</v>
      </c>
    </row>
    <row r="2084" spans="1:11" ht="42" customHeight="1">
      <c r="A2084" s="2" t="s">
        <v>4882</v>
      </c>
      <c r="B2084" s="2" t="s">
        <v>4882</v>
      </c>
      <c r="C2084" s="2" t="s">
        <v>26</v>
      </c>
      <c r="D2084" s="2" t="s">
        <v>27</v>
      </c>
      <c r="E2084" s="5">
        <v>-31315</v>
      </c>
      <c r="F2084" s="3" t="s">
        <v>645</v>
      </c>
      <c r="G2084" s="3" t="s">
        <v>82</v>
      </c>
      <c r="H2084" s="2" t="s">
        <v>62</v>
      </c>
      <c r="I2084" s="2" t="s">
        <v>4883</v>
      </c>
      <c r="J2084" s="3" t="str">
        <f>HYPERLINK("https://www.boe.es/gazeta/dias/1814/04/05/pdfs/GRE-1814-49.pdf#page=3","Abrir facsímil")</f>
        <v>Abrir facsímil</v>
      </c>
      <c r="K2084" s="3" t="s">
        <v>64</v>
      </c>
    </row>
    <row r="2085" spans="1:11" ht="42" customHeight="1">
      <c r="A2085" s="2" t="s">
        <v>4884</v>
      </c>
      <c r="B2085" s="2" t="s">
        <v>4884</v>
      </c>
      <c r="C2085" s="2" t="s">
        <v>38</v>
      </c>
      <c r="D2085" s="2" t="s">
        <v>39</v>
      </c>
      <c r="E2085" s="5">
        <v>-31378</v>
      </c>
      <c r="F2085" s="3" t="s">
        <v>98</v>
      </c>
      <c r="G2085" s="3" t="s">
        <v>107</v>
      </c>
      <c r="H2085" s="2" t="s">
        <v>62</v>
      </c>
      <c r="I2085" s="2" t="s">
        <v>4885</v>
      </c>
      <c r="J2085" s="3" t="str">
        <f>HYPERLINK("https://www.boe.es/gazeta/dias/1814/02/01/pdfs/GRE-1814-15.pdf#page=1","Abrir facsímil")</f>
        <v>Abrir facsímil</v>
      </c>
      <c r="K2085" s="3" t="s">
        <v>64</v>
      </c>
    </row>
    <row r="2086" spans="1:11" ht="42" customHeight="1">
      <c r="A2086" s="2" t="s">
        <v>4884</v>
      </c>
      <c r="B2086" s="2" t="s">
        <v>4884</v>
      </c>
      <c r="C2086" s="2" t="s">
        <v>38</v>
      </c>
      <c r="D2086" s="2" t="s">
        <v>39</v>
      </c>
      <c r="E2086" s="5">
        <v>-31376</v>
      </c>
      <c r="F2086" s="3" t="s">
        <v>1954</v>
      </c>
      <c r="G2086" s="3" t="s">
        <v>2565</v>
      </c>
      <c r="H2086" s="2" t="s">
        <v>62</v>
      </c>
      <c r="I2086" s="2" t="s">
        <v>4886</v>
      </c>
      <c r="J2086" s="3" t="str">
        <f>HYPERLINK("https://www.boe.es/gazeta/dias/1814/02/03/pdfs/GRE-1814-16.pdf#page=6","Abrir facsímil")</f>
        <v>Abrir facsímil</v>
      </c>
      <c r="K2086" s="3" t="s">
        <v>64</v>
      </c>
    </row>
    <row r="2087" spans="1:11" ht="42" customHeight="1">
      <c r="A2087" s="2" t="s">
        <v>4884</v>
      </c>
      <c r="B2087" s="2" t="s">
        <v>4884</v>
      </c>
      <c r="C2087" s="2" t="s">
        <v>17</v>
      </c>
      <c r="D2087" s="2" t="s">
        <v>18</v>
      </c>
      <c r="E2087" s="5">
        <v>-31355</v>
      </c>
      <c r="F2087" s="3" t="s">
        <v>50</v>
      </c>
      <c r="G2087" s="3" t="s">
        <v>2740</v>
      </c>
      <c r="H2087" s="2" t="s">
        <v>62</v>
      </c>
      <c r="I2087" s="2" t="s">
        <v>4887</v>
      </c>
      <c r="J2087" s="3" t="str">
        <f>HYPERLINK("https://www.boe.es/gazeta/dias/1814/02/24/pdfs/GRE-1814-26.pdf#page=6","Abrir facsímil")</f>
        <v>Abrir facsímil</v>
      </c>
      <c r="K2087" s="3" t="s">
        <v>64</v>
      </c>
    </row>
    <row r="2088" spans="1:11" ht="42" customHeight="1">
      <c r="A2088" s="2" t="s">
        <v>4884</v>
      </c>
      <c r="B2088" s="2" t="s">
        <v>4884</v>
      </c>
      <c r="C2088" s="2" t="s">
        <v>26</v>
      </c>
      <c r="D2088" s="2" t="s">
        <v>27</v>
      </c>
      <c r="E2088" s="5">
        <v>-31353</v>
      </c>
      <c r="F2088" s="3" t="s">
        <v>247</v>
      </c>
      <c r="G2088" s="3" t="s">
        <v>52</v>
      </c>
      <c r="H2088" s="2" t="s">
        <v>62</v>
      </c>
      <c r="I2088" s="2" t="s">
        <v>4888</v>
      </c>
      <c r="J2088" s="3" t="str">
        <f>HYPERLINK("https://www.boe.es/gazeta/dias/1814/02/26/pdfs/GRE-1814-27.pdf#page=8","Abrir facsímil")</f>
        <v>Abrir facsímil</v>
      </c>
      <c r="K2088" s="3" t="s">
        <v>64</v>
      </c>
    </row>
    <row r="2089" spans="1:11" ht="42" customHeight="1">
      <c r="A2089" s="2" t="s">
        <v>4884</v>
      </c>
      <c r="B2089" s="2" t="s">
        <v>4884</v>
      </c>
      <c r="C2089" s="2" t="s">
        <v>38</v>
      </c>
      <c r="D2089" s="2" t="s">
        <v>39</v>
      </c>
      <c r="E2089" s="5">
        <v>-31311</v>
      </c>
      <c r="F2089" s="3" t="s">
        <v>3144</v>
      </c>
      <c r="G2089" s="3" t="s">
        <v>82</v>
      </c>
      <c r="H2089" s="2" t="s">
        <v>62</v>
      </c>
      <c r="I2089" s="2" t="s">
        <v>4889</v>
      </c>
      <c r="J2089" s="3" t="str">
        <f>HYPERLINK("https://www.boe.es/gazeta/dias/1814/04/09/pdfs/GRE-1814-51.pdf#page=3","Abrir facsímil")</f>
        <v>Abrir facsímil</v>
      </c>
      <c r="K2089" s="3" t="s">
        <v>64</v>
      </c>
    </row>
    <row r="2090" spans="1:11" ht="42" customHeight="1">
      <c r="A2090" s="2" t="s">
        <v>4884</v>
      </c>
      <c r="B2090" s="2" t="s">
        <v>4884</v>
      </c>
      <c r="C2090" s="2" t="s">
        <v>38</v>
      </c>
      <c r="D2090" s="2" t="s">
        <v>39</v>
      </c>
      <c r="E2090" s="5">
        <v>-31304</v>
      </c>
      <c r="F2090" s="3" t="s">
        <v>1964</v>
      </c>
      <c r="G2090" s="3" t="s">
        <v>20</v>
      </c>
      <c r="H2090" s="2" t="s">
        <v>62</v>
      </c>
      <c r="I2090" s="2" t="s">
        <v>4890</v>
      </c>
      <c r="J2090" s="3" t="str">
        <f>HYPERLINK("https://www.boe.es/gazeta/dias/1814/04/16/pdfs/GRE-1814-55.pdf#page=7","Abrir facsímil")</f>
        <v>Abrir facsímil</v>
      </c>
      <c r="K2090" s="3" t="s">
        <v>64</v>
      </c>
    </row>
    <row r="2091" spans="1:11" ht="42" customHeight="1">
      <c r="A2091" s="2" t="s">
        <v>4884</v>
      </c>
      <c r="B2091" s="2" t="s">
        <v>4884</v>
      </c>
      <c r="C2091" s="2" t="s">
        <v>26</v>
      </c>
      <c r="D2091" s="2" t="s">
        <v>27</v>
      </c>
      <c r="E2091" s="5">
        <v>-31287</v>
      </c>
      <c r="F2091" s="3" t="s">
        <v>491</v>
      </c>
      <c r="G2091" s="3" t="s">
        <v>52</v>
      </c>
      <c r="H2091" s="2" t="s">
        <v>62</v>
      </c>
      <c r="I2091" s="2" t="s">
        <v>4891</v>
      </c>
      <c r="J2091" s="3" t="str">
        <f>HYPERLINK("https://www.boe.es/gazeta/dias/1814/05/03/pdfs/GRE-1814-65.pdf#page=8","Abrir facsímil")</f>
        <v>Abrir facsímil</v>
      </c>
      <c r="K2091" s="3" t="s">
        <v>64</v>
      </c>
    </row>
    <row r="2092" spans="1:11" ht="42" customHeight="1">
      <c r="A2092" s="2" t="s">
        <v>4884</v>
      </c>
      <c r="B2092" s="2" t="s">
        <v>4884</v>
      </c>
      <c r="C2092" s="2" t="s">
        <v>38</v>
      </c>
      <c r="D2092" s="2" t="s">
        <v>39</v>
      </c>
      <c r="E2092" s="5">
        <v>-31252</v>
      </c>
      <c r="F2092" s="3" t="s">
        <v>364</v>
      </c>
      <c r="G2092" s="3" t="s">
        <v>1575</v>
      </c>
      <c r="H2092" s="2" t="s">
        <v>62</v>
      </c>
      <c r="I2092" s="2" t="s">
        <v>4892</v>
      </c>
      <c r="J2092" s="3" t="str">
        <f>HYPERLINK("https://www.boe.es/gazeta/dias/1814/06/07/pdfs/GMD-1814-82.pdf#page=2","Abrir facsímil")</f>
        <v>Abrir facsímil</v>
      </c>
      <c r="K2092" s="3" t="s">
        <v>64</v>
      </c>
    </row>
    <row r="2093" spans="1:11" ht="42" customHeight="1">
      <c r="A2093" s="2" t="s">
        <v>4884</v>
      </c>
      <c r="B2093" s="2" t="s">
        <v>4884</v>
      </c>
      <c r="C2093" s="2" t="s">
        <v>32</v>
      </c>
      <c r="D2093" s="2" t="s">
        <v>18</v>
      </c>
      <c r="E2093" s="5">
        <v>-31245</v>
      </c>
      <c r="F2093" s="3" t="s">
        <v>908</v>
      </c>
      <c r="G2093" s="3" t="s">
        <v>4652</v>
      </c>
      <c r="H2093" s="2" t="s">
        <v>62</v>
      </c>
      <c r="I2093" s="2" t="s">
        <v>4893</v>
      </c>
      <c r="J2093" s="3" t="str">
        <f>HYPERLINK("https://www.boe.es/gazeta/dias/1814/06/14/pdfs/GMD-1814-85.pdf#page=4","Abrir facsímil")</f>
        <v>Abrir facsímil</v>
      </c>
      <c r="K2093" s="3" t="s">
        <v>64</v>
      </c>
    </row>
    <row r="2094" spans="1:11" ht="42" customHeight="1">
      <c r="A2094" s="2" t="s">
        <v>4884</v>
      </c>
      <c r="B2094" s="2" t="s">
        <v>4884</v>
      </c>
      <c r="C2094" s="2" t="s">
        <v>26</v>
      </c>
      <c r="D2094" s="2" t="s">
        <v>27</v>
      </c>
      <c r="E2094" s="5">
        <v>-31234</v>
      </c>
      <c r="F2094" s="3" t="s">
        <v>462</v>
      </c>
      <c r="G2094" s="3" t="s">
        <v>82</v>
      </c>
      <c r="H2094" s="2" t="s">
        <v>62</v>
      </c>
      <c r="I2094" s="2" t="s">
        <v>4894</v>
      </c>
      <c r="J2094" s="3" t="str">
        <f>HYPERLINK("https://www.boe.es/gazeta/dias/1814/06/25/pdfs/GMD-1814-90.pdf#page=3","Abrir facsímil")</f>
        <v>Abrir facsímil</v>
      </c>
      <c r="K2094" s="3" t="s">
        <v>64</v>
      </c>
    </row>
    <row r="2095" spans="1:11" ht="42" customHeight="1">
      <c r="A2095" s="2" t="s">
        <v>4884</v>
      </c>
      <c r="B2095" s="2" t="s">
        <v>4884</v>
      </c>
      <c r="C2095" s="2" t="s">
        <v>17</v>
      </c>
      <c r="D2095" s="2" t="s">
        <v>18</v>
      </c>
      <c r="E2095" s="5">
        <v>-31231</v>
      </c>
      <c r="F2095" s="3" t="s">
        <v>861</v>
      </c>
      <c r="G2095" s="3" t="s">
        <v>87</v>
      </c>
      <c r="H2095" s="2" t="s">
        <v>62</v>
      </c>
      <c r="I2095" s="2" t="s">
        <v>4895</v>
      </c>
      <c r="J2095" s="3" t="str">
        <f>HYPERLINK("https://www.boe.es/gazeta/dias/1814/06/28/pdfs/GMD-1814-91.pdf#page=2","Abrir facsímil")</f>
        <v>Abrir facsímil</v>
      </c>
      <c r="K2095" s="3" t="s">
        <v>64</v>
      </c>
    </row>
    <row r="2096" spans="1:11" ht="42" customHeight="1">
      <c r="A2096" s="2" t="s">
        <v>4884</v>
      </c>
      <c r="B2096" s="2" t="s">
        <v>4884</v>
      </c>
      <c r="C2096" s="2" t="s">
        <v>105</v>
      </c>
      <c r="D2096" s="2" t="s">
        <v>18</v>
      </c>
      <c r="E2096" s="5">
        <v>-31220</v>
      </c>
      <c r="F2096" s="3" t="s">
        <v>122</v>
      </c>
      <c r="G2096" s="3" t="s">
        <v>57</v>
      </c>
      <c r="H2096" s="2" t="s">
        <v>62</v>
      </c>
      <c r="I2096" s="2" t="s">
        <v>4896</v>
      </c>
      <c r="J2096" s="3" t="str">
        <f>HYPERLINK("https://www.boe.es/gazeta/dias/1814/07/09/pdfs/GMD-1814-96.pdf#page=6","Abrir facsímil")</f>
        <v>Abrir facsímil</v>
      </c>
      <c r="K2096" s="3" t="s">
        <v>64</v>
      </c>
    </row>
    <row r="2097" spans="1:11" ht="42" customHeight="1">
      <c r="A2097" s="2" t="s">
        <v>4884</v>
      </c>
      <c r="B2097" s="2" t="s">
        <v>4884</v>
      </c>
      <c r="C2097" s="2" t="s">
        <v>45</v>
      </c>
      <c r="D2097" s="2" t="s">
        <v>18</v>
      </c>
      <c r="E2097" s="5">
        <v>-31217</v>
      </c>
      <c r="F2097" s="3" t="s">
        <v>506</v>
      </c>
      <c r="G2097" s="3" t="s">
        <v>322</v>
      </c>
      <c r="H2097" s="2" t="s">
        <v>62</v>
      </c>
      <c r="I2097" s="2" t="s">
        <v>4897</v>
      </c>
      <c r="J2097" s="3" t="str">
        <f>HYPERLINK("https://www.boe.es/gazeta/dias/1814/07/12/pdfs/GMD-1814-97.pdf#page=12","Abrir facsímil")</f>
        <v>Abrir facsímil</v>
      </c>
      <c r="K2097" s="3" t="s">
        <v>64</v>
      </c>
    </row>
    <row r="2098" spans="1:11" ht="42" customHeight="1">
      <c r="A2098" s="2" t="s">
        <v>4884</v>
      </c>
      <c r="B2098" s="2" t="s">
        <v>4884</v>
      </c>
      <c r="C2098" s="2" t="s">
        <v>38</v>
      </c>
      <c r="D2098" s="2" t="s">
        <v>39</v>
      </c>
      <c r="E2098" s="5">
        <v>-31180</v>
      </c>
      <c r="F2098" s="3" t="s">
        <v>520</v>
      </c>
      <c r="G2098" s="3" t="s">
        <v>57</v>
      </c>
      <c r="H2098" s="2" t="s">
        <v>62</v>
      </c>
      <c r="I2098" s="2" t="s">
        <v>4898</v>
      </c>
      <c r="J2098" s="3" t="str">
        <f>HYPERLINK("https://www.boe.es/gazeta/dias/1814/08/18/pdfs/GMD-1814-113.pdf#page=6","Abrir facsímil")</f>
        <v>Abrir facsímil</v>
      </c>
      <c r="K2098" s="3" t="s">
        <v>64</v>
      </c>
    </row>
    <row r="2099" spans="1:11" ht="42" customHeight="1">
      <c r="A2099" s="2" t="s">
        <v>4884</v>
      </c>
      <c r="B2099" s="2" t="s">
        <v>4884</v>
      </c>
      <c r="C2099" s="2" t="s">
        <v>17</v>
      </c>
      <c r="D2099" s="2" t="s">
        <v>18</v>
      </c>
      <c r="E2099" s="5">
        <v>-31119</v>
      </c>
      <c r="F2099" s="3" t="s">
        <v>136</v>
      </c>
      <c r="G2099" s="3" t="s">
        <v>384</v>
      </c>
      <c r="H2099" s="2" t="s">
        <v>62</v>
      </c>
      <c r="I2099" s="2" t="s">
        <v>4899</v>
      </c>
      <c r="J2099" s="3" t="str">
        <f>HYPERLINK("https://www.boe.es/gazeta/dias/1814/10/18/pdfs/GMD-1814-140.pdf#page=11","Abrir facsímil")</f>
        <v>Abrir facsímil</v>
      </c>
      <c r="K2099" s="3" t="s">
        <v>64</v>
      </c>
    </row>
    <row r="2100" spans="1:11" ht="42" customHeight="1">
      <c r="A2100" s="2" t="s">
        <v>4884</v>
      </c>
      <c r="B2100" s="2" t="s">
        <v>4884</v>
      </c>
      <c r="C2100" s="2" t="s">
        <v>17</v>
      </c>
      <c r="D2100" s="2" t="s">
        <v>18</v>
      </c>
      <c r="E2100" s="5">
        <v>-31115</v>
      </c>
      <c r="F2100" s="3" t="s">
        <v>805</v>
      </c>
      <c r="G2100" s="3" t="s">
        <v>20</v>
      </c>
      <c r="H2100" s="2" t="s">
        <v>62</v>
      </c>
      <c r="I2100" s="2" t="s">
        <v>4900</v>
      </c>
      <c r="J2100" s="3" t="str">
        <f>HYPERLINK("https://www.boe.es/gazeta/dias/1814/10/22/pdfs/GMD-1814-142.pdf#page=7","Abrir facsímil")</f>
        <v>Abrir facsímil</v>
      </c>
      <c r="K2100" s="3" t="s">
        <v>64</v>
      </c>
    </row>
    <row r="2101" spans="1:11" ht="42" customHeight="1">
      <c r="A2101" s="2" t="s">
        <v>4884</v>
      </c>
      <c r="B2101" s="2" t="s">
        <v>4884</v>
      </c>
      <c r="C2101" s="2" t="s">
        <v>17</v>
      </c>
      <c r="D2101" s="2" t="s">
        <v>18</v>
      </c>
      <c r="E2101" s="5">
        <v>-31110</v>
      </c>
      <c r="F2101" s="3" t="s">
        <v>149</v>
      </c>
      <c r="G2101" s="3" t="s">
        <v>20</v>
      </c>
      <c r="H2101" s="2" t="s">
        <v>62</v>
      </c>
      <c r="I2101" s="2" t="s">
        <v>4901</v>
      </c>
      <c r="J2101" s="3" t="str">
        <f>HYPERLINK("https://www.boe.es/gazeta/dias/1814/10/27/pdfs/GMD-1814-144.pdf#page=7","Abrir facsímil")</f>
        <v>Abrir facsímil</v>
      </c>
      <c r="K2101" s="3" t="s">
        <v>64</v>
      </c>
    </row>
    <row r="2102" spans="1:11" ht="42" customHeight="1">
      <c r="A2102" s="2" t="s">
        <v>4884</v>
      </c>
      <c r="B2102" s="2" t="s">
        <v>4884</v>
      </c>
      <c r="C2102" s="2" t="s">
        <v>309</v>
      </c>
      <c r="D2102" s="2" t="s">
        <v>18</v>
      </c>
      <c r="E2102" s="5">
        <v>-31089</v>
      </c>
      <c r="F2102" s="3" t="s">
        <v>531</v>
      </c>
      <c r="G2102" s="3" t="s">
        <v>3263</v>
      </c>
      <c r="H2102" s="2" t="s">
        <v>62</v>
      </c>
      <c r="I2102" s="2" t="s">
        <v>4902</v>
      </c>
      <c r="J2102" s="3" t="str">
        <f>HYPERLINK("https://www.boe.es/gazeta/dias/1814/11/17/pdfs/GMD-1814-153.pdf#page=4","Abrir facsímil")</f>
        <v>Abrir facsímil</v>
      </c>
      <c r="K2102" s="3" t="s">
        <v>64</v>
      </c>
    </row>
    <row r="2103" spans="1:11" ht="42" customHeight="1">
      <c r="A2103" s="2" t="s">
        <v>4884</v>
      </c>
      <c r="B2103" s="2" t="s">
        <v>4884</v>
      </c>
      <c r="C2103" s="2" t="s">
        <v>38</v>
      </c>
      <c r="D2103" s="2" t="s">
        <v>39</v>
      </c>
      <c r="E2103" s="5">
        <v>-31080</v>
      </c>
      <c r="F2103" s="3" t="s">
        <v>286</v>
      </c>
      <c r="G2103" s="3" t="s">
        <v>677</v>
      </c>
      <c r="H2103" s="2" t="s">
        <v>62</v>
      </c>
      <c r="I2103" s="2" t="s">
        <v>4903</v>
      </c>
      <c r="J2103" s="3" t="str">
        <f>HYPERLINK("https://www.boe.es/gazeta/dias/1814/11/26/pdfs/GMD-1814-157.pdf#page=7","Abrir facsímil")</f>
        <v>Abrir facsímil</v>
      </c>
      <c r="K2103" s="3" t="s">
        <v>64</v>
      </c>
    </row>
    <row r="2104" spans="1:11" ht="42" customHeight="1">
      <c r="A2104" s="2" t="s">
        <v>4884</v>
      </c>
      <c r="B2104" s="2" t="s">
        <v>4884</v>
      </c>
      <c r="C2104" s="2" t="s">
        <v>144</v>
      </c>
      <c r="D2104" s="2" t="s">
        <v>18</v>
      </c>
      <c r="E2104" s="5">
        <v>-31059</v>
      </c>
      <c r="F2104" s="3" t="s">
        <v>263</v>
      </c>
      <c r="G2104" s="3" t="s">
        <v>297</v>
      </c>
      <c r="H2104" s="2" t="s">
        <v>62</v>
      </c>
      <c r="I2104" s="2" t="s">
        <v>4904</v>
      </c>
      <c r="J2104" s="3" t="str">
        <f>HYPERLINK("https://www.boe.es/gazeta/dias/1814/12/17/pdfs/GMD-1814-167.pdf#page=8","Abrir facsímil")</f>
        <v>Abrir facsímil</v>
      </c>
      <c r="K2104" s="3" t="s">
        <v>64</v>
      </c>
    </row>
    <row r="2105" spans="1:11" ht="42" customHeight="1">
      <c r="A2105" s="2" t="s">
        <v>4884</v>
      </c>
      <c r="B2105" s="2" t="s">
        <v>4884</v>
      </c>
      <c r="C2105" s="2" t="s">
        <v>105</v>
      </c>
      <c r="D2105" s="2" t="s">
        <v>18</v>
      </c>
      <c r="E2105" s="5">
        <v>-31049</v>
      </c>
      <c r="F2105" s="3" t="s">
        <v>542</v>
      </c>
      <c r="G2105" s="3" t="s">
        <v>107</v>
      </c>
      <c r="H2105" s="2" t="s">
        <v>62</v>
      </c>
      <c r="I2105" s="2" t="s">
        <v>4905</v>
      </c>
      <c r="J2105" s="3" t="str">
        <f>HYPERLINK("https://www.boe.es/gazeta/dias/1814/12/27/pdfs/GMD-1814-171.pdf#page=1","Abrir facsímil")</f>
        <v>Abrir facsímil</v>
      </c>
      <c r="K2105" s="3" t="s">
        <v>64</v>
      </c>
    </row>
    <row r="2106" spans="1:11" ht="42" customHeight="1">
      <c r="A2106" s="2" t="s">
        <v>4906</v>
      </c>
      <c r="B2106" s="2" t="s">
        <v>4907</v>
      </c>
      <c r="C2106" s="2" t="s">
        <v>38</v>
      </c>
      <c r="D2106" s="2" t="s">
        <v>39</v>
      </c>
      <c r="E2106" s="5">
        <v>-31173</v>
      </c>
      <c r="F2106" s="3" t="s">
        <v>46</v>
      </c>
      <c r="G2106" s="3" t="s">
        <v>82</v>
      </c>
      <c r="H2106" s="2" t="s">
        <v>62</v>
      </c>
      <c r="I2106" s="2" t="s">
        <v>4908</v>
      </c>
      <c r="J2106" s="3" t="str">
        <f>HYPERLINK("https://www.boe.es/gazeta/dias/1814/08/25/pdfs/GMD-1814-116.pdf#page=3","Abrir facsímil")</f>
        <v>Abrir facsímil</v>
      </c>
      <c r="K2106" s="3" t="s">
        <v>64</v>
      </c>
    </row>
    <row r="2107" spans="1:11" ht="42" customHeight="1">
      <c r="A2107" s="2" t="s">
        <v>4909</v>
      </c>
      <c r="B2107" s="2" t="s">
        <v>4910</v>
      </c>
      <c r="C2107" s="2" t="s">
        <v>45</v>
      </c>
      <c r="D2107" s="2" t="s">
        <v>18</v>
      </c>
      <c r="E2107" s="5">
        <v>-31138</v>
      </c>
      <c r="F2107" s="3" t="s">
        <v>1363</v>
      </c>
      <c r="G2107" s="3" t="s">
        <v>1364</v>
      </c>
      <c r="H2107" s="2" t="s">
        <v>62</v>
      </c>
      <c r="I2107" s="2" t="s">
        <v>4911</v>
      </c>
      <c r="J2107" s="3" t="str">
        <f>HYPERLINK("https://www.boe.es/gazeta/dias/1814/09/29/pdfs/GMD-1814-132.pdf#page=7","Abrir facsímil")</f>
        <v>Abrir facsímil</v>
      </c>
      <c r="K2107" s="3" t="s">
        <v>64</v>
      </c>
    </row>
    <row r="2108" spans="1:11" ht="42" customHeight="1">
      <c r="A2108" s="2" t="s">
        <v>4912</v>
      </c>
      <c r="B2108" s="2" t="s">
        <v>4912</v>
      </c>
      <c r="C2108" s="2" t="s">
        <v>38</v>
      </c>
      <c r="D2108" s="2" t="s">
        <v>39</v>
      </c>
      <c r="E2108" s="5">
        <v>-31385</v>
      </c>
      <c r="F2108" s="3" t="s">
        <v>783</v>
      </c>
      <c r="G2108" s="3" t="s">
        <v>107</v>
      </c>
      <c r="H2108" s="2" t="s">
        <v>62</v>
      </c>
      <c r="I2108" s="2" t="s">
        <v>4913</v>
      </c>
      <c r="J2108" s="3" t="str">
        <f>HYPERLINK("https://www.boe.es/gazeta/dias/1814/01/25/pdfs/GRE-1814-12.pdf#page=1","Abrir facsímil")</f>
        <v>Abrir facsímil</v>
      </c>
      <c r="K2108" s="3" t="s">
        <v>64</v>
      </c>
    </row>
    <row r="2109" spans="1:11" ht="42" customHeight="1">
      <c r="A2109" s="2" t="s">
        <v>4914</v>
      </c>
      <c r="B2109" s="2" t="s">
        <v>4914</v>
      </c>
      <c r="C2109" s="2" t="s">
        <v>38</v>
      </c>
      <c r="D2109" s="2" t="s">
        <v>39</v>
      </c>
      <c r="E2109" s="5">
        <v>-31388</v>
      </c>
      <c r="F2109" s="3" t="s">
        <v>1299</v>
      </c>
      <c r="G2109" s="3" t="s">
        <v>4915</v>
      </c>
      <c r="H2109" s="2" t="s">
        <v>62</v>
      </c>
      <c r="I2109" s="2" t="s">
        <v>4916</v>
      </c>
      <c r="J2109" s="3" t="str">
        <f>HYPERLINK("https://www.boe.es/gazeta/dias/1814/01/22/pdfs/GRE-1814-11.pdf#page=3","Abrir facsímil")</f>
        <v>Abrir facsímil</v>
      </c>
      <c r="K2109" s="3" t="s">
        <v>64</v>
      </c>
    </row>
    <row r="2110" spans="1:11" ht="42" customHeight="1">
      <c r="A2110" s="2" t="s">
        <v>4914</v>
      </c>
      <c r="B2110" s="2" t="s">
        <v>4914</v>
      </c>
      <c r="C2110" s="2" t="s">
        <v>38</v>
      </c>
      <c r="D2110" s="2" t="s">
        <v>39</v>
      </c>
      <c r="E2110" s="5">
        <v>-31388</v>
      </c>
      <c r="F2110" s="3" t="s">
        <v>1299</v>
      </c>
      <c r="G2110" s="3" t="s">
        <v>107</v>
      </c>
      <c r="H2110" s="2" t="s">
        <v>62</v>
      </c>
      <c r="I2110" s="2" t="s">
        <v>4917</v>
      </c>
      <c r="J2110" s="3" t="str">
        <f>HYPERLINK("https://www.boe.es/gazeta/dias/1814/01/22/pdfs/GRE-1814-11.pdf#page=1","Abrir facsímil")</f>
        <v>Abrir facsímil</v>
      </c>
      <c r="K2110" s="3" t="s">
        <v>64</v>
      </c>
    </row>
    <row r="2111" spans="1:11" ht="42" customHeight="1">
      <c r="A2111" s="2" t="s">
        <v>4914</v>
      </c>
      <c r="B2111" s="2" t="s">
        <v>4914</v>
      </c>
      <c r="C2111" s="2" t="s">
        <v>38</v>
      </c>
      <c r="D2111" s="2" t="s">
        <v>39</v>
      </c>
      <c r="E2111" s="5">
        <v>-31388</v>
      </c>
      <c r="F2111" s="3" t="s">
        <v>1299</v>
      </c>
      <c r="G2111" s="3" t="s">
        <v>87</v>
      </c>
      <c r="H2111" s="2" t="s">
        <v>62</v>
      </c>
      <c r="I2111" s="2" t="s">
        <v>4918</v>
      </c>
      <c r="J2111" s="3" t="str">
        <f>HYPERLINK("https://www.boe.es/gazeta/dias/1814/01/22/pdfs/GRE-1814-11.pdf#page=2","Abrir facsímil")</f>
        <v>Abrir facsímil</v>
      </c>
      <c r="K2111" s="3" t="s">
        <v>64</v>
      </c>
    </row>
    <row r="2112" spans="1:11" ht="42" customHeight="1">
      <c r="A2112" s="2" t="s">
        <v>4914</v>
      </c>
      <c r="B2112" s="2" t="s">
        <v>4914</v>
      </c>
      <c r="C2112" s="2" t="s">
        <v>38</v>
      </c>
      <c r="D2112" s="2" t="s">
        <v>39</v>
      </c>
      <c r="E2112" s="5">
        <v>-31357</v>
      </c>
      <c r="F2112" s="3" t="s">
        <v>1460</v>
      </c>
      <c r="G2112" s="3" t="s">
        <v>107</v>
      </c>
      <c r="H2112" s="2" t="s">
        <v>62</v>
      </c>
      <c r="I2112" s="2" t="s">
        <v>4919</v>
      </c>
      <c r="J2112" s="3" t="str">
        <f>HYPERLINK("https://www.boe.es/gazeta/dias/1814/02/22/pdfs/GRE-1814-25.pdf#page=1","Abrir facsímil")</f>
        <v>Abrir facsímil</v>
      </c>
      <c r="K2112" s="3" t="s">
        <v>64</v>
      </c>
    </row>
    <row r="2113" spans="1:11" ht="42" customHeight="1">
      <c r="A2113" s="2" t="s">
        <v>4920</v>
      </c>
      <c r="B2113" s="2" t="s">
        <v>4920</v>
      </c>
      <c r="C2113" s="2" t="s">
        <v>38</v>
      </c>
      <c r="D2113" s="2" t="s">
        <v>39</v>
      </c>
      <c r="E2113" s="5">
        <v>-31255</v>
      </c>
      <c r="F2113" s="3" t="s">
        <v>983</v>
      </c>
      <c r="G2113" s="3" t="s">
        <v>107</v>
      </c>
      <c r="H2113" s="2" t="s">
        <v>62</v>
      </c>
      <c r="I2113" s="2" t="s">
        <v>4921</v>
      </c>
      <c r="J2113" s="3" t="str">
        <f>HYPERLINK("https://www.boe.es/gazeta/dias/1814/06/04/pdfs/GMD-1814-81.pdf#page=1","Abrir facsímil")</f>
        <v>Abrir facsímil</v>
      </c>
      <c r="K2113" s="3" t="s">
        <v>64</v>
      </c>
    </row>
    <row r="2114" spans="1:11" ht="42" customHeight="1">
      <c r="A2114" s="2" t="s">
        <v>4922</v>
      </c>
      <c r="B2114" s="2" t="s">
        <v>4922</v>
      </c>
      <c r="C2114" s="2" t="s">
        <v>38</v>
      </c>
      <c r="D2114" s="2" t="s">
        <v>39</v>
      </c>
      <c r="E2114" s="5">
        <v>-31390</v>
      </c>
      <c r="F2114" s="3" t="s">
        <v>349</v>
      </c>
      <c r="G2114" s="3" t="s">
        <v>107</v>
      </c>
      <c r="H2114" s="2" t="s">
        <v>62</v>
      </c>
      <c r="I2114" s="2" t="s">
        <v>4923</v>
      </c>
      <c r="J2114" s="3" t="str">
        <f>HYPERLINK("https://www.boe.es/gazeta/dias/1814/01/20/pdfs/GRE-1814-10.pdf#page=1","Abrir facsímil")</f>
        <v>Abrir facsímil</v>
      </c>
      <c r="K2114" s="3" t="s">
        <v>64</v>
      </c>
    </row>
    <row r="2115" spans="1:11" ht="42" customHeight="1">
      <c r="A2115" s="2" t="s">
        <v>4924</v>
      </c>
      <c r="B2115" s="2" t="s">
        <v>4924</v>
      </c>
      <c r="C2115" s="2" t="s">
        <v>38</v>
      </c>
      <c r="D2115" s="2" t="s">
        <v>39</v>
      </c>
      <c r="E2115" s="5">
        <v>-31350</v>
      </c>
      <c r="F2115" s="3" t="s">
        <v>377</v>
      </c>
      <c r="G2115" s="3" t="s">
        <v>107</v>
      </c>
      <c r="H2115" s="2" t="s">
        <v>62</v>
      </c>
      <c r="I2115" s="2" t="s">
        <v>4925</v>
      </c>
      <c r="J2115" s="3" t="str">
        <f>HYPERLINK("https://www.boe.es/gazeta/dias/1814/03/01/pdfs/GRE-1814-28.pdf#page=1","Abrir facsímil")</f>
        <v>Abrir facsímil</v>
      </c>
      <c r="K2115" s="3" t="s">
        <v>64</v>
      </c>
    </row>
    <row r="2116" spans="1:11" ht="42" customHeight="1">
      <c r="A2116" s="2" t="s">
        <v>4926</v>
      </c>
      <c r="B2116" s="2" t="s">
        <v>4927</v>
      </c>
      <c r="C2116" s="2" t="s">
        <v>309</v>
      </c>
      <c r="D2116" s="2" t="s">
        <v>18</v>
      </c>
      <c r="E2116" s="5">
        <v>-31308</v>
      </c>
      <c r="F2116" s="3" t="s">
        <v>210</v>
      </c>
      <c r="G2116" s="3" t="s">
        <v>52</v>
      </c>
      <c r="H2116" s="2" t="s">
        <v>62</v>
      </c>
      <c r="I2116" s="2" t="s">
        <v>4928</v>
      </c>
      <c r="J2116" s="3" t="str">
        <f>HYPERLINK("https://www.boe.es/gazeta/dias/1814/04/12/pdfs/GRE-1814-52.pdf#page=8","Abrir facsímil")</f>
        <v>Abrir facsímil</v>
      </c>
      <c r="K2116" s="3" t="s">
        <v>64</v>
      </c>
    </row>
    <row r="2117" spans="1:11" ht="42" customHeight="1">
      <c r="A2117" s="2" t="s">
        <v>4929</v>
      </c>
      <c r="B2117" s="2" t="s">
        <v>4930</v>
      </c>
      <c r="C2117" s="2" t="s">
        <v>309</v>
      </c>
      <c r="D2117" s="2" t="s">
        <v>18</v>
      </c>
      <c r="E2117" s="5">
        <v>-31308</v>
      </c>
      <c r="F2117" s="3" t="s">
        <v>210</v>
      </c>
      <c r="G2117" s="3" t="s">
        <v>52</v>
      </c>
      <c r="H2117" s="2" t="s">
        <v>62</v>
      </c>
      <c r="I2117" s="2" t="s">
        <v>4931</v>
      </c>
      <c r="J2117" s="3" t="str">
        <f>HYPERLINK("https://www.boe.es/gazeta/dias/1814/04/12/pdfs/GRE-1814-52.pdf#page=8","Abrir facsímil")</f>
        <v>Abrir facsímil</v>
      </c>
      <c r="K2117" s="3" t="s">
        <v>64</v>
      </c>
    </row>
    <row r="2118" spans="1:11" ht="42" customHeight="1">
      <c r="A2118" s="2" t="s">
        <v>4932</v>
      </c>
      <c r="B2118" s="2" t="s">
        <v>4932</v>
      </c>
      <c r="C2118" s="2" t="s">
        <v>38</v>
      </c>
      <c r="D2118" s="2" t="s">
        <v>39</v>
      </c>
      <c r="E2118" s="5">
        <v>-31346</v>
      </c>
      <c r="F2118" s="3" t="s">
        <v>78</v>
      </c>
      <c r="G2118" s="3" t="s">
        <v>57</v>
      </c>
      <c r="H2118" s="2" t="s">
        <v>62</v>
      </c>
      <c r="I2118" s="2" t="s">
        <v>4933</v>
      </c>
      <c r="J2118" s="3" t="str">
        <f>HYPERLINK("https://www.boe.es/gazeta/dias/1814/03/05/pdfs/GRE-1814-30.pdf#page=6","Abrir facsímil")</f>
        <v>Abrir facsímil</v>
      </c>
      <c r="K2118" s="3" t="s">
        <v>64</v>
      </c>
    </row>
    <row r="2119" spans="1:11" ht="42" customHeight="1">
      <c r="A2119" s="2" t="s">
        <v>4932</v>
      </c>
      <c r="B2119" s="2" t="s">
        <v>4932</v>
      </c>
      <c r="C2119" s="2" t="s">
        <v>38</v>
      </c>
      <c r="D2119" s="2" t="s">
        <v>39</v>
      </c>
      <c r="E2119" s="5">
        <v>-31339</v>
      </c>
      <c r="F2119" s="3" t="s">
        <v>641</v>
      </c>
      <c r="G2119" s="3" t="s">
        <v>4934</v>
      </c>
      <c r="H2119" s="2" t="s">
        <v>62</v>
      </c>
      <c r="I2119" s="2" t="s">
        <v>4935</v>
      </c>
      <c r="J2119" s="3" t="str">
        <f>HYPERLINK("https://www.boe.es/gazeta/dias/1814/03/12/pdfs/GRE-1814-35.pdf#page=7","Abrir facsímil")</f>
        <v>Abrir facsímil</v>
      </c>
      <c r="K2119" s="3" t="s">
        <v>64</v>
      </c>
    </row>
    <row r="2120" spans="1:11" ht="42" customHeight="1">
      <c r="A2120" s="2" t="s">
        <v>4932</v>
      </c>
      <c r="B2120" s="2" t="s">
        <v>4932</v>
      </c>
      <c r="C2120" s="2" t="s">
        <v>38</v>
      </c>
      <c r="D2120" s="2" t="s">
        <v>314</v>
      </c>
      <c r="E2120" s="5">
        <v>-31328</v>
      </c>
      <c r="F2120" s="3" t="s">
        <v>442</v>
      </c>
      <c r="G2120" s="3" t="s">
        <v>41</v>
      </c>
      <c r="H2120" s="2" t="s">
        <v>62</v>
      </c>
      <c r="I2120" s="2" t="s">
        <v>4936</v>
      </c>
      <c r="J2120" s="3" t="str">
        <f>HYPERLINK("https://www.boe.es/gazeta/dias/1814/03/23/pdfs/GRE-1814-40E.pdf#page=4","Abrir facsímil")</f>
        <v>Abrir facsímil</v>
      </c>
      <c r="K2120" s="3" t="s">
        <v>64</v>
      </c>
    </row>
    <row r="2121" spans="1:11" ht="42" customHeight="1">
      <c r="A2121" s="2" t="s">
        <v>4932</v>
      </c>
      <c r="B2121" s="2" t="s">
        <v>4932</v>
      </c>
      <c r="C2121" s="2" t="s">
        <v>38</v>
      </c>
      <c r="D2121" s="2" t="s">
        <v>39</v>
      </c>
      <c r="E2121" s="5">
        <v>-31320</v>
      </c>
      <c r="F2121" s="3" t="s">
        <v>40</v>
      </c>
      <c r="G2121" s="3" t="s">
        <v>99</v>
      </c>
      <c r="H2121" s="2" t="s">
        <v>62</v>
      </c>
      <c r="I2121" s="2" t="s">
        <v>4937</v>
      </c>
      <c r="J2121" s="3" t="str">
        <f>HYPERLINK("https://www.boe.es/gazeta/dias/1814/03/31/pdfs/GRE-1814-46.pdf#page=5","Abrir facsímil")</f>
        <v>Abrir facsímil</v>
      </c>
      <c r="K2121" s="3" t="s">
        <v>64</v>
      </c>
    </row>
    <row r="2122" spans="1:11" ht="42" customHeight="1">
      <c r="A2122" s="2" t="s">
        <v>4932</v>
      </c>
      <c r="B2122" s="2" t="s">
        <v>4932</v>
      </c>
      <c r="C2122" s="2" t="s">
        <v>38</v>
      </c>
      <c r="D2122" s="2" t="s">
        <v>314</v>
      </c>
      <c r="E2122" s="5">
        <v>-31296</v>
      </c>
      <c r="F2122" s="3" t="s">
        <v>315</v>
      </c>
      <c r="G2122" s="3" t="s">
        <v>107</v>
      </c>
      <c r="H2122" s="2" t="s">
        <v>62</v>
      </c>
      <c r="I2122" s="2" t="s">
        <v>4938</v>
      </c>
      <c r="J2122" s="3" t="str">
        <f>HYPERLINK("https://www.boe.es/gazeta/dias/1814/04/24/pdfs/GRE-1814-60E.pdf#page=1","Abrir facsímil")</f>
        <v>Abrir facsímil</v>
      </c>
      <c r="K2122" s="3" t="s">
        <v>64</v>
      </c>
    </row>
    <row r="2123" spans="1:11" ht="42" customHeight="1">
      <c r="A2123" s="2" t="s">
        <v>4932</v>
      </c>
      <c r="B2123" s="2" t="s">
        <v>4932</v>
      </c>
      <c r="C2123" s="2" t="s">
        <v>38</v>
      </c>
      <c r="D2123" s="2" t="s">
        <v>314</v>
      </c>
      <c r="E2123" s="5">
        <v>-31296</v>
      </c>
      <c r="F2123" s="3" t="s">
        <v>315</v>
      </c>
      <c r="G2123" s="3" t="s">
        <v>87</v>
      </c>
      <c r="H2123" s="2" t="s">
        <v>62</v>
      </c>
      <c r="I2123" s="2" t="s">
        <v>4939</v>
      </c>
      <c r="J2123" s="3" t="str">
        <f>HYPERLINK("https://www.boe.es/gazeta/dias/1814/04/24/pdfs/GRE-1814-60E.pdf#page=2","Abrir facsímil")</f>
        <v>Abrir facsímil</v>
      </c>
      <c r="K2123" s="3" t="s">
        <v>64</v>
      </c>
    </row>
    <row r="2124" spans="1:11" ht="42" customHeight="1">
      <c r="A2124" s="2" t="s">
        <v>4932</v>
      </c>
      <c r="B2124" s="2" t="s">
        <v>4932</v>
      </c>
      <c r="C2124" s="2" t="s">
        <v>38</v>
      </c>
      <c r="D2124" s="2" t="s">
        <v>314</v>
      </c>
      <c r="E2124" s="5">
        <v>-31296</v>
      </c>
      <c r="F2124" s="3" t="s">
        <v>315</v>
      </c>
      <c r="G2124" s="3" t="s">
        <v>82</v>
      </c>
      <c r="H2124" s="2" t="s">
        <v>62</v>
      </c>
      <c r="I2124" s="2" t="s">
        <v>4940</v>
      </c>
      <c r="J2124" s="3" t="str">
        <f>HYPERLINK("https://www.boe.es/gazeta/dias/1814/04/24/pdfs/GRE-1814-60E.pdf#page=3","Abrir facsímil")</f>
        <v>Abrir facsímil</v>
      </c>
      <c r="K2124" s="3" t="s">
        <v>64</v>
      </c>
    </row>
    <row r="2125" spans="1:11" ht="42" customHeight="1">
      <c r="A2125" s="2" t="s">
        <v>4932</v>
      </c>
      <c r="B2125" s="2" t="s">
        <v>4932</v>
      </c>
      <c r="C2125" s="2" t="s">
        <v>38</v>
      </c>
      <c r="D2125" s="2" t="s">
        <v>314</v>
      </c>
      <c r="E2125" s="5">
        <v>-31296</v>
      </c>
      <c r="F2125" s="3" t="s">
        <v>315</v>
      </c>
      <c r="G2125" s="3" t="s">
        <v>41</v>
      </c>
      <c r="H2125" s="2" t="s">
        <v>62</v>
      </c>
      <c r="I2125" s="2" t="s">
        <v>4941</v>
      </c>
      <c r="J2125" s="3" t="str">
        <f>HYPERLINK("https://www.boe.es/gazeta/dias/1814/04/24/pdfs/GRE-1814-60E.pdf#page=4","Abrir facsímil")</f>
        <v>Abrir facsímil</v>
      </c>
      <c r="K2125" s="3" t="s">
        <v>64</v>
      </c>
    </row>
    <row r="2126" spans="1:11" ht="42" customHeight="1">
      <c r="A2126" s="2" t="s">
        <v>4932</v>
      </c>
      <c r="B2126" s="2" t="s">
        <v>4932</v>
      </c>
      <c r="C2126" s="2" t="s">
        <v>38</v>
      </c>
      <c r="D2126" s="2" t="s">
        <v>314</v>
      </c>
      <c r="E2126" s="5">
        <v>-31294</v>
      </c>
      <c r="F2126" s="3" t="s">
        <v>2505</v>
      </c>
      <c r="G2126" s="3" t="s">
        <v>87</v>
      </c>
      <c r="H2126" s="2" t="s">
        <v>62</v>
      </c>
      <c r="I2126" s="2" t="s">
        <v>4942</v>
      </c>
      <c r="J2126" s="3" t="str">
        <f>HYPERLINK("https://www.boe.es/gazeta/dias/1814/04/26/pdfs/GRE-1814-62E.pdf#page=2","Abrir facsímil")</f>
        <v>Abrir facsímil</v>
      </c>
      <c r="K2126" s="3" t="s">
        <v>64</v>
      </c>
    </row>
    <row r="2127" spans="1:11" ht="42" customHeight="1">
      <c r="A2127" s="2" t="s">
        <v>4932</v>
      </c>
      <c r="B2127" s="2" t="s">
        <v>4932</v>
      </c>
      <c r="C2127" s="2" t="s">
        <v>38</v>
      </c>
      <c r="D2127" s="2" t="s">
        <v>39</v>
      </c>
      <c r="E2127" s="5">
        <v>-31266</v>
      </c>
      <c r="F2127" s="3" t="s">
        <v>191</v>
      </c>
      <c r="G2127" s="3" t="s">
        <v>2560</v>
      </c>
      <c r="H2127" s="2" t="s">
        <v>62</v>
      </c>
      <c r="I2127" s="2" t="s">
        <v>4943</v>
      </c>
      <c r="J2127" s="3" t="str">
        <f>HYPERLINK("https://www.boe.es/gazeta/dias/1814/05/24/pdfs/GMD-1814-76.pdf#page=4","Abrir facsímil")</f>
        <v>Abrir facsímil</v>
      </c>
      <c r="K2127" s="3" t="s">
        <v>64</v>
      </c>
    </row>
    <row r="2128" spans="1:11" ht="42" customHeight="1">
      <c r="A2128" s="2" t="s">
        <v>4932</v>
      </c>
      <c r="B2128" s="2" t="s">
        <v>4932</v>
      </c>
      <c r="C2128" s="2" t="s">
        <v>38</v>
      </c>
      <c r="D2128" s="2" t="s">
        <v>39</v>
      </c>
      <c r="E2128" s="5">
        <v>-31266</v>
      </c>
      <c r="F2128" s="3" t="s">
        <v>191</v>
      </c>
      <c r="G2128" s="3" t="s">
        <v>99</v>
      </c>
      <c r="H2128" s="2" t="s">
        <v>62</v>
      </c>
      <c r="I2128" s="2" t="s">
        <v>4944</v>
      </c>
      <c r="J2128" s="3" t="str">
        <f>HYPERLINK("https://www.boe.es/gazeta/dias/1814/05/24/pdfs/GMD-1814-76.pdf#page=5","Abrir facsímil")</f>
        <v>Abrir facsímil</v>
      </c>
      <c r="K2128" s="3" t="s">
        <v>64</v>
      </c>
    </row>
    <row r="2129" spans="1:11" ht="42" customHeight="1">
      <c r="A2129" s="2" t="s">
        <v>4945</v>
      </c>
      <c r="B2129" s="2" t="s">
        <v>4946</v>
      </c>
      <c r="C2129" s="2" t="s">
        <v>38</v>
      </c>
      <c r="D2129" s="2" t="s">
        <v>39</v>
      </c>
      <c r="E2129" s="5">
        <v>-31390</v>
      </c>
      <c r="F2129" s="3" t="s">
        <v>349</v>
      </c>
      <c r="G2129" s="3" t="s">
        <v>52</v>
      </c>
      <c r="H2129" s="2" t="s">
        <v>62</v>
      </c>
      <c r="I2129" s="2" t="s">
        <v>4947</v>
      </c>
      <c r="J2129" s="3" t="str">
        <f>HYPERLINK("https://www.boe.es/gazeta/dias/1814/01/20/pdfs/GRE-1814-10.pdf#page=8","Abrir facsímil")</f>
        <v>Abrir facsímil</v>
      </c>
      <c r="K2129" s="3" t="s">
        <v>64</v>
      </c>
    </row>
    <row r="2130" spans="1:11" ht="42" customHeight="1">
      <c r="A2130" s="2" t="s">
        <v>4948</v>
      </c>
      <c r="B2130" s="2" t="s">
        <v>4949</v>
      </c>
      <c r="C2130" s="2" t="s">
        <v>32</v>
      </c>
      <c r="D2130" s="2" t="s">
        <v>18</v>
      </c>
      <c r="E2130" s="5">
        <v>-31346</v>
      </c>
      <c r="F2130" s="3" t="s">
        <v>78</v>
      </c>
      <c r="G2130" s="3" t="s">
        <v>52</v>
      </c>
      <c r="H2130" s="2" t="s">
        <v>62</v>
      </c>
      <c r="I2130" s="2" t="s">
        <v>4950</v>
      </c>
      <c r="J2130" s="3" t="str">
        <f>HYPERLINK("https://www.boe.es/gazeta/dias/1814/03/05/pdfs/GRE-1814-30.pdf#page=8","Abrir facsímil")</f>
        <v>Abrir facsímil</v>
      </c>
      <c r="K2130" s="3" t="s">
        <v>64</v>
      </c>
    </row>
    <row r="2131" spans="1:11" ht="42" customHeight="1">
      <c r="A2131" s="2" t="s">
        <v>4951</v>
      </c>
      <c r="B2131" s="2" t="s">
        <v>4952</v>
      </c>
      <c r="C2131" s="2" t="s">
        <v>38</v>
      </c>
      <c r="D2131" s="2" t="s">
        <v>39</v>
      </c>
      <c r="E2131" s="5">
        <v>-31367</v>
      </c>
      <c r="F2131" s="3" t="s">
        <v>857</v>
      </c>
      <c r="G2131" s="3" t="s">
        <v>57</v>
      </c>
      <c r="H2131" s="2" t="s">
        <v>62</v>
      </c>
      <c r="I2131" s="2" t="s">
        <v>4953</v>
      </c>
      <c r="J2131" s="3" t="str">
        <f>HYPERLINK("https://www.boe.es/gazeta/dias/1814/02/12/pdfs/GRE-1814-20.pdf#page=6","Abrir facsímil")</f>
        <v>Abrir facsímil</v>
      </c>
      <c r="K2131" s="3" t="s">
        <v>64</v>
      </c>
    </row>
    <row r="2132" spans="1:11" ht="42" customHeight="1">
      <c r="A2132" s="2" t="s">
        <v>4951</v>
      </c>
      <c r="B2132" s="2" t="s">
        <v>4952</v>
      </c>
      <c r="C2132" s="2" t="s">
        <v>38</v>
      </c>
      <c r="D2132" s="2" t="s">
        <v>39</v>
      </c>
      <c r="E2132" s="5">
        <v>-31367</v>
      </c>
      <c r="F2132" s="3" t="s">
        <v>857</v>
      </c>
      <c r="G2132" s="3" t="s">
        <v>20</v>
      </c>
      <c r="H2132" s="2" t="s">
        <v>62</v>
      </c>
      <c r="I2132" s="2" t="s">
        <v>4954</v>
      </c>
      <c r="J2132" s="3" t="str">
        <f>HYPERLINK("https://www.boe.es/gazeta/dias/1814/02/12/pdfs/GRE-1814-20.pdf#page=7","Abrir facsímil")</f>
        <v>Abrir facsímil</v>
      </c>
      <c r="K2132" s="3" t="s">
        <v>64</v>
      </c>
    </row>
    <row r="2133" spans="1:11" ht="42" customHeight="1">
      <c r="A2133" s="2" t="s">
        <v>4951</v>
      </c>
      <c r="B2133" s="2" t="s">
        <v>4952</v>
      </c>
      <c r="C2133" s="2" t="s">
        <v>38</v>
      </c>
      <c r="D2133" s="2" t="s">
        <v>314</v>
      </c>
      <c r="E2133" s="5">
        <v>-31341</v>
      </c>
      <c r="F2133" s="3" t="s">
        <v>354</v>
      </c>
      <c r="G2133" s="3" t="s">
        <v>107</v>
      </c>
      <c r="H2133" s="2" t="s">
        <v>62</v>
      </c>
      <c r="I2133" s="2" t="s">
        <v>4955</v>
      </c>
      <c r="J2133" s="3" t="str">
        <f>HYPERLINK("https://www.boe.es/gazeta/dias/1814/03/10/pdfs/GRE-1814-34E.pdf#page=1","Abrir facsímil")</f>
        <v>Abrir facsímil</v>
      </c>
      <c r="K2133" s="3" t="s">
        <v>64</v>
      </c>
    </row>
    <row r="2134" spans="1:11" ht="42" customHeight="1">
      <c r="A2134" s="2" t="s">
        <v>4951</v>
      </c>
      <c r="B2134" s="2" t="s">
        <v>4952</v>
      </c>
      <c r="C2134" s="2" t="s">
        <v>38</v>
      </c>
      <c r="D2134" s="2" t="s">
        <v>314</v>
      </c>
      <c r="E2134" s="5">
        <v>-31328</v>
      </c>
      <c r="F2134" s="3" t="s">
        <v>442</v>
      </c>
      <c r="G2134" s="3" t="s">
        <v>107</v>
      </c>
      <c r="H2134" s="2" t="s">
        <v>62</v>
      </c>
      <c r="I2134" s="2" t="s">
        <v>4956</v>
      </c>
      <c r="J2134" s="3" t="str">
        <f>HYPERLINK("https://www.boe.es/gazeta/dias/1814/03/23/pdfs/GRE-1814-40E.pdf#page=1","Abrir facsímil")</f>
        <v>Abrir facsímil</v>
      </c>
      <c r="K2134" s="3" t="s">
        <v>64</v>
      </c>
    </row>
    <row r="2135" spans="1:11" ht="42" customHeight="1">
      <c r="A2135" s="2" t="s">
        <v>4951</v>
      </c>
      <c r="B2135" s="2" t="s">
        <v>4952</v>
      </c>
      <c r="C2135" s="2" t="s">
        <v>38</v>
      </c>
      <c r="D2135" s="2" t="s">
        <v>314</v>
      </c>
      <c r="E2135" s="5">
        <v>-31328</v>
      </c>
      <c r="F2135" s="3" t="s">
        <v>442</v>
      </c>
      <c r="G2135" s="3" t="s">
        <v>57</v>
      </c>
      <c r="H2135" s="2" t="s">
        <v>62</v>
      </c>
      <c r="I2135" s="2" t="s">
        <v>4957</v>
      </c>
      <c r="J2135" s="3" t="str">
        <f>HYPERLINK("https://www.boe.es/gazeta/dias/1814/03/23/pdfs/GRE-1814-40E.pdf#page=6","Abrir facsímil")</f>
        <v>Abrir facsímil</v>
      </c>
      <c r="K2135" s="3" t="s">
        <v>64</v>
      </c>
    </row>
    <row r="2136" spans="1:11" ht="42" customHeight="1">
      <c r="A2136" s="2" t="s">
        <v>4951</v>
      </c>
      <c r="B2136" s="2" t="s">
        <v>4952</v>
      </c>
      <c r="C2136" s="2" t="s">
        <v>38</v>
      </c>
      <c r="D2136" s="2" t="s">
        <v>314</v>
      </c>
      <c r="E2136" s="5">
        <v>-31328</v>
      </c>
      <c r="F2136" s="3" t="s">
        <v>442</v>
      </c>
      <c r="G2136" s="3" t="s">
        <v>52</v>
      </c>
      <c r="H2136" s="2" t="s">
        <v>62</v>
      </c>
      <c r="I2136" s="2" t="s">
        <v>4958</v>
      </c>
      <c r="J2136" s="3" t="str">
        <f>HYPERLINK("https://www.boe.es/gazeta/dias/1814/03/23/pdfs/GRE-1814-40E.pdf#page=8","Abrir facsímil")</f>
        <v>Abrir facsímil</v>
      </c>
      <c r="K2136" s="3" t="s">
        <v>64</v>
      </c>
    </row>
    <row r="2137" spans="1:11" ht="42" customHeight="1">
      <c r="A2137" s="2" t="s">
        <v>4951</v>
      </c>
      <c r="B2137" s="2" t="s">
        <v>4952</v>
      </c>
      <c r="C2137" s="2" t="s">
        <v>17</v>
      </c>
      <c r="D2137" s="2" t="s">
        <v>18</v>
      </c>
      <c r="E2137" s="5">
        <v>-31322</v>
      </c>
      <c r="F2137" s="3" t="s">
        <v>114</v>
      </c>
      <c r="G2137" s="3" t="s">
        <v>20</v>
      </c>
      <c r="H2137" s="2" t="s">
        <v>62</v>
      </c>
      <c r="I2137" s="2" t="s">
        <v>4959</v>
      </c>
      <c r="J2137" s="3" t="str">
        <f>HYPERLINK("https://www.boe.es/gazeta/dias/1814/03/29/pdfs/GRE-1814-44.pdf#page=7","Abrir facsímil")</f>
        <v>Abrir facsímil</v>
      </c>
      <c r="K2137" s="3" t="s">
        <v>64</v>
      </c>
    </row>
    <row r="2138" spans="1:11" ht="42" customHeight="1">
      <c r="A2138" s="2" t="s">
        <v>4951</v>
      </c>
      <c r="B2138" s="2" t="s">
        <v>4952</v>
      </c>
      <c r="C2138" s="2" t="s">
        <v>38</v>
      </c>
      <c r="D2138" s="2" t="s">
        <v>314</v>
      </c>
      <c r="E2138" s="5">
        <v>-31296</v>
      </c>
      <c r="F2138" s="3" t="s">
        <v>315</v>
      </c>
      <c r="G2138" s="3" t="s">
        <v>87</v>
      </c>
      <c r="H2138" s="2" t="s">
        <v>62</v>
      </c>
      <c r="I2138" s="2" t="s">
        <v>4960</v>
      </c>
      <c r="J2138" s="3" t="str">
        <f>HYPERLINK("https://www.boe.es/gazeta/dias/1814/04/24/pdfs/GRE-1814-60E.pdf#page=2","Abrir facsímil")</f>
        <v>Abrir facsímil</v>
      </c>
      <c r="K2138" s="3" t="s">
        <v>64</v>
      </c>
    </row>
    <row r="2139" spans="1:11" ht="42" customHeight="1">
      <c r="A2139" s="2" t="s">
        <v>4951</v>
      </c>
      <c r="B2139" s="2" t="s">
        <v>4952</v>
      </c>
      <c r="C2139" s="2" t="s">
        <v>38</v>
      </c>
      <c r="D2139" s="2" t="s">
        <v>314</v>
      </c>
      <c r="E2139" s="5">
        <v>-31296</v>
      </c>
      <c r="F2139" s="3" t="s">
        <v>315</v>
      </c>
      <c r="G2139" s="3" t="s">
        <v>82</v>
      </c>
      <c r="H2139" s="2" t="s">
        <v>62</v>
      </c>
      <c r="I2139" s="2" t="s">
        <v>4961</v>
      </c>
      <c r="J2139" s="3" t="str">
        <f>HYPERLINK("https://www.boe.es/gazeta/dias/1814/04/24/pdfs/GRE-1814-60E.pdf#page=3","Abrir facsímil")</f>
        <v>Abrir facsímil</v>
      </c>
      <c r="K2139" s="3" t="s">
        <v>64</v>
      </c>
    </row>
    <row r="2140" spans="1:11" ht="42" customHeight="1">
      <c r="A2140" s="2" t="s">
        <v>4951</v>
      </c>
      <c r="B2140" s="2" t="s">
        <v>4952</v>
      </c>
      <c r="C2140" s="2" t="s">
        <v>38</v>
      </c>
      <c r="D2140" s="2" t="s">
        <v>314</v>
      </c>
      <c r="E2140" s="5">
        <v>-31296</v>
      </c>
      <c r="F2140" s="3" t="s">
        <v>315</v>
      </c>
      <c r="G2140" s="3" t="s">
        <v>41</v>
      </c>
      <c r="H2140" s="2" t="s">
        <v>62</v>
      </c>
      <c r="I2140" s="2" t="s">
        <v>4962</v>
      </c>
      <c r="J2140" s="3" t="str">
        <f>HYPERLINK("https://www.boe.es/gazeta/dias/1814/04/24/pdfs/GRE-1814-60E.pdf#page=4","Abrir facsímil")</f>
        <v>Abrir facsímil</v>
      </c>
      <c r="K2140" s="3" t="s">
        <v>64</v>
      </c>
    </row>
    <row r="2141" spans="1:11" ht="42" customHeight="1">
      <c r="A2141" s="2" t="s">
        <v>4951</v>
      </c>
      <c r="B2141" s="2" t="s">
        <v>4952</v>
      </c>
      <c r="C2141" s="2" t="s">
        <v>38</v>
      </c>
      <c r="D2141" s="2" t="s">
        <v>314</v>
      </c>
      <c r="E2141" s="5">
        <v>-31294</v>
      </c>
      <c r="F2141" s="3" t="s">
        <v>2505</v>
      </c>
      <c r="G2141" s="3" t="s">
        <v>107</v>
      </c>
      <c r="H2141" s="2" t="s">
        <v>62</v>
      </c>
      <c r="I2141" s="2" t="s">
        <v>4963</v>
      </c>
      <c r="J2141" s="3" t="str">
        <f>HYPERLINK("https://www.boe.es/gazeta/dias/1814/04/26/pdfs/GRE-1814-62E.pdf#page=1","Abrir facsímil")</f>
        <v>Abrir facsímil</v>
      </c>
      <c r="K2141" s="3" t="s">
        <v>64</v>
      </c>
    </row>
    <row r="2142" spans="1:11" ht="42" customHeight="1">
      <c r="A2142" s="2" t="s">
        <v>4951</v>
      </c>
      <c r="B2142" s="2" t="s">
        <v>4952</v>
      </c>
      <c r="C2142" s="2" t="s">
        <v>38</v>
      </c>
      <c r="D2142" s="2" t="s">
        <v>39</v>
      </c>
      <c r="E2142" s="5">
        <v>-31273</v>
      </c>
      <c r="F2142" s="3" t="s">
        <v>2108</v>
      </c>
      <c r="G2142" s="3" t="s">
        <v>52</v>
      </c>
      <c r="H2142" s="2" t="s">
        <v>62</v>
      </c>
      <c r="I2142" s="2" t="s">
        <v>4964</v>
      </c>
      <c r="J2142" s="3" t="str">
        <f>HYPERLINK("https://www.boe.es/gazeta/dias/1814/05/17/pdfs/GMD-1814-72.pdf#page=8","Abrir facsímil")</f>
        <v>Abrir facsímil</v>
      </c>
      <c r="K2142" s="3" t="s">
        <v>64</v>
      </c>
    </row>
    <row r="2143" spans="1:11" ht="42" customHeight="1">
      <c r="A2143" s="2" t="s">
        <v>4965</v>
      </c>
      <c r="B2143" s="2" t="s">
        <v>4966</v>
      </c>
      <c r="C2143" s="2" t="s">
        <v>38</v>
      </c>
      <c r="D2143" s="2" t="s">
        <v>39</v>
      </c>
      <c r="E2143" s="5">
        <v>-31098</v>
      </c>
      <c r="F2143" s="3" t="s">
        <v>290</v>
      </c>
      <c r="G2143" s="3" t="s">
        <v>99</v>
      </c>
      <c r="H2143" s="2" t="s">
        <v>62</v>
      </c>
      <c r="I2143" s="2" t="s">
        <v>4967</v>
      </c>
      <c r="J2143" s="3" t="str">
        <f>HYPERLINK("https://www.boe.es/gazeta/dias/1814/11/08/pdfs/GMD-1814-149.pdf#page=5","Abrir facsímil")</f>
        <v>Abrir facsímil</v>
      </c>
      <c r="K2143" s="3" t="s">
        <v>64</v>
      </c>
    </row>
    <row r="2144" spans="1:11" ht="42" customHeight="1">
      <c r="A2144" s="2" t="s">
        <v>4968</v>
      </c>
      <c r="B2144" s="2" t="s">
        <v>4969</v>
      </c>
      <c r="C2144" s="2" t="s">
        <v>38</v>
      </c>
      <c r="D2144" s="2" t="s">
        <v>314</v>
      </c>
      <c r="E2144" s="5">
        <v>-31341</v>
      </c>
      <c r="F2144" s="3" t="s">
        <v>354</v>
      </c>
      <c r="G2144" s="3" t="s">
        <v>1841</v>
      </c>
      <c r="H2144" s="2" t="s">
        <v>62</v>
      </c>
      <c r="I2144" s="2" t="s">
        <v>4970</v>
      </c>
      <c r="J2144" s="3" t="str">
        <f>HYPERLINK("https://www.boe.es/gazeta/dias/1814/03/10/pdfs/GRE-1814-34E.pdf#page=4","Abrir facsímil")</f>
        <v>Abrir facsímil</v>
      </c>
      <c r="K2144" s="3" t="s">
        <v>64</v>
      </c>
    </row>
    <row r="2145" spans="1:11" ht="42" customHeight="1">
      <c r="A2145" s="2" t="s">
        <v>4971</v>
      </c>
      <c r="B2145" s="2" t="s">
        <v>4972</v>
      </c>
      <c r="C2145" s="2" t="s">
        <v>38</v>
      </c>
      <c r="D2145" s="2" t="s">
        <v>314</v>
      </c>
      <c r="E2145" s="5">
        <v>-31328</v>
      </c>
      <c r="F2145" s="3" t="s">
        <v>442</v>
      </c>
      <c r="G2145" s="3" t="s">
        <v>52</v>
      </c>
      <c r="H2145" s="2" t="s">
        <v>62</v>
      </c>
      <c r="I2145" s="2" t="s">
        <v>4973</v>
      </c>
      <c r="J2145" s="3" t="str">
        <f>HYPERLINK("https://www.boe.es/gazeta/dias/1814/03/23/pdfs/GRE-1814-40E.pdf#page=8","Abrir facsímil")</f>
        <v>Abrir facsímil</v>
      </c>
      <c r="K2145" s="3" t="s">
        <v>64</v>
      </c>
    </row>
    <row r="2146" spans="1:11" ht="42" customHeight="1">
      <c r="A2146" s="2" t="s">
        <v>4974</v>
      </c>
      <c r="B2146" s="2" t="s">
        <v>4974</v>
      </c>
      <c r="C2146" s="2" t="s">
        <v>38</v>
      </c>
      <c r="D2146" s="2" t="s">
        <v>314</v>
      </c>
      <c r="E2146" s="5">
        <v>-31296</v>
      </c>
      <c r="F2146" s="3" t="s">
        <v>315</v>
      </c>
      <c r="G2146" s="3" t="s">
        <v>87</v>
      </c>
      <c r="H2146" s="2" t="s">
        <v>62</v>
      </c>
      <c r="I2146" s="2" t="s">
        <v>4975</v>
      </c>
      <c r="J2146" s="3" t="str">
        <f>HYPERLINK("https://www.boe.es/gazeta/dias/1814/04/24/pdfs/GRE-1814-60E.pdf#page=2","Abrir facsímil")</f>
        <v>Abrir facsímil</v>
      </c>
      <c r="K2146" s="3" t="s">
        <v>64</v>
      </c>
    </row>
    <row r="2147" spans="1:11" ht="42" customHeight="1">
      <c r="A2147" s="2" t="s">
        <v>4976</v>
      </c>
      <c r="B2147" s="2" t="s">
        <v>4977</v>
      </c>
      <c r="C2147" s="2" t="s">
        <v>38</v>
      </c>
      <c r="D2147" s="2" t="s">
        <v>39</v>
      </c>
      <c r="E2147" s="5">
        <v>-31353</v>
      </c>
      <c r="F2147" s="3" t="s">
        <v>247</v>
      </c>
      <c r="G2147" s="3" t="s">
        <v>248</v>
      </c>
      <c r="H2147" s="2" t="s">
        <v>62</v>
      </c>
      <c r="I2147" s="2" t="s">
        <v>4978</v>
      </c>
      <c r="J2147" s="3" t="str">
        <f>HYPERLINK("https://www.boe.es/gazeta/dias/1814/02/26/pdfs/GRE-1814-27.pdf#page=5","Abrir facsímil")</f>
        <v>Abrir facsímil</v>
      </c>
      <c r="K2147" s="3" t="s">
        <v>64</v>
      </c>
    </row>
    <row r="2148" spans="1:11" ht="42" customHeight="1">
      <c r="A2148" s="2" t="s">
        <v>4979</v>
      </c>
      <c r="B2148" s="2" t="s">
        <v>4979</v>
      </c>
      <c r="C2148" s="2" t="s">
        <v>38</v>
      </c>
      <c r="D2148" s="2" t="s">
        <v>39</v>
      </c>
      <c r="E2148" s="5">
        <v>-31327</v>
      </c>
      <c r="F2148" s="3" t="s">
        <v>180</v>
      </c>
      <c r="G2148" s="3" t="s">
        <v>99</v>
      </c>
      <c r="H2148" s="2" t="s">
        <v>62</v>
      </c>
      <c r="I2148" s="2" t="s">
        <v>4980</v>
      </c>
      <c r="J2148" s="3" t="str">
        <f>HYPERLINK("https://www.boe.es/gazeta/dias/1814/03/24/pdfs/GRE-1814-41.pdf#page=5","Abrir facsímil")</f>
        <v>Abrir facsímil</v>
      </c>
      <c r="K2148" s="3" t="s">
        <v>64</v>
      </c>
    </row>
    <row r="2149" spans="1:11" ht="42" customHeight="1">
      <c r="A2149" s="2" t="s">
        <v>4981</v>
      </c>
      <c r="B2149" s="2" t="s">
        <v>4981</v>
      </c>
      <c r="C2149" s="2" t="s">
        <v>38</v>
      </c>
      <c r="D2149" s="2" t="s">
        <v>39</v>
      </c>
      <c r="E2149" s="5">
        <v>-31318</v>
      </c>
      <c r="F2149" s="3" t="s">
        <v>400</v>
      </c>
      <c r="G2149" s="3" t="s">
        <v>87</v>
      </c>
      <c r="H2149" s="2" t="s">
        <v>62</v>
      </c>
      <c r="I2149" s="2" t="s">
        <v>4982</v>
      </c>
      <c r="J2149" s="3" t="str">
        <f>HYPERLINK("https://www.boe.es/gazeta/dias/1814/04/02/pdfs/GRE-1814-47.pdf#page=2","Abrir facsímil")</f>
        <v>Abrir facsímil</v>
      </c>
      <c r="K2149" s="3" t="s">
        <v>64</v>
      </c>
    </row>
    <row r="2150" spans="1:11" ht="42" customHeight="1">
      <c r="A2150" s="2" t="s">
        <v>4983</v>
      </c>
      <c r="B2150" s="2" t="s">
        <v>4983</v>
      </c>
      <c r="C2150" s="2" t="s">
        <v>38</v>
      </c>
      <c r="D2150" s="2" t="s">
        <v>39</v>
      </c>
      <c r="E2150" s="5">
        <v>-31276</v>
      </c>
      <c r="F2150" s="3" t="s">
        <v>494</v>
      </c>
      <c r="G2150" s="3" t="s">
        <v>82</v>
      </c>
      <c r="H2150" s="2" t="s">
        <v>62</v>
      </c>
      <c r="I2150" s="2" t="s">
        <v>4984</v>
      </c>
      <c r="J2150" s="3" t="str">
        <f>HYPERLINK("https://www.boe.es/gazeta/dias/1814/05/14/pdfs/GMD-1814-71.pdf#page=3","Abrir facsímil")</f>
        <v>Abrir facsímil</v>
      </c>
      <c r="K2150" s="3" t="s">
        <v>64</v>
      </c>
    </row>
    <row r="2151" spans="1:11" ht="42" customHeight="1">
      <c r="A2151" s="2" t="s">
        <v>4985</v>
      </c>
      <c r="B2151" s="2" t="s">
        <v>4986</v>
      </c>
      <c r="C2151" s="2" t="s">
        <v>45</v>
      </c>
      <c r="D2151" s="2" t="s">
        <v>18</v>
      </c>
      <c r="E2151" s="5">
        <v>-31378</v>
      </c>
      <c r="F2151" s="3" t="s">
        <v>98</v>
      </c>
      <c r="G2151" s="3" t="s">
        <v>52</v>
      </c>
      <c r="H2151" s="2" t="s">
        <v>62</v>
      </c>
      <c r="I2151" s="2" t="s">
        <v>4987</v>
      </c>
      <c r="J2151" s="3" t="str">
        <f>HYPERLINK("https://www.boe.es/gazeta/dias/1814/02/01/pdfs/GRE-1814-15.pdf#page=8","Abrir facsímil")</f>
        <v>Abrir facsímil</v>
      </c>
      <c r="K2151" s="3" t="s">
        <v>64</v>
      </c>
    </row>
    <row r="2152" spans="1:11" ht="42" customHeight="1">
      <c r="A2152" s="2" t="s">
        <v>4988</v>
      </c>
      <c r="B2152" s="2" t="s">
        <v>4988</v>
      </c>
      <c r="C2152" s="2" t="s">
        <v>26</v>
      </c>
      <c r="D2152" s="2" t="s">
        <v>27</v>
      </c>
      <c r="E2152" s="5">
        <v>-31129</v>
      </c>
      <c r="F2152" s="3" t="s">
        <v>418</v>
      </c>
      <c r="G2152" s="3" t="s">
        <v>41</v>
      </c>
      <c r="H2152" s="2" t="s">
        <v>62</v>
      </c>
      <c r="I2152" s="2" t="s">
        <v>4989</v>
      </c>
      <c r="J2152" s="3" t="str">
        <f>HYPERLINK("https://www.boe.es/gazeta/dias/1814/10/08/pdfs/GMD-1814-136.pdf#page=4","Abrir facsímil")</f>
        <v>Abrir facsímil</v>
      </c>
      <c r="K2152" s="3" t="s">
        <v>64</v>
      </c>
    </row>
    <row r="2153" spans="1:11" ht="42" customHeight="1">
      <c r="A2153" s="2" t="s">
        <v>4990</v>
      </c>
      <c r="B2153" s="2" t="s">
        <v>4991</v>
      </c>
      <c r="C2153" s="2" t="s">
        <v>32</v>
      </c>
      <c r="D2153" s="2" t="s">
        <v>18</v>
      </c>
      <c r="E2153" s="5">
        <v>-31117</v>
      </c>
      <c r="F2153" s="3" t="s">
        <v>172</v>
      </c>
      <c r="G2153" s="3" t="s">
        <v>392</v>
      </c>
      <c r="H2153" s="2" t="s">
        <v>62</v>
      </c>
      <c r="I2153" s="2" t="s">
        <v>4992</v>
      </c>
      <c r="J2153" s="3" t="str">
        <f>HYPERLINK("https://www.boe.es/gazeta/dias/1814/10/20/pdfs/GMD-1814-141.pdf#page=8","Abrir facsímil")</f>
        <v>Abrir facsímil</v>
      </c>
      <c r="K2153" s="3" t="s">
        <v>64</v>
      </c>
    </row>
    <row r="2154" spans="1:11" ht="42" customHeight="1">
      <c r="A2154" s="2" t="s">
        <v>4993</v>
      </c>
      <c r="B2154" s="2" t="s">
        <v>4994</v>
      </c>
      <c r="C2154" s="2" t="s">
        <v>32</v>
      </c>
      <c r="D2154" s="2" t="s">
        <v>18</v>
      </c>
      <c r="E2154" s="5">
        <v>-31315</v>
      </c>
      <c r="F2154" s="3" t="s">
        <v>645</v>
      </c>
      <c r="G2154" s="3" t="s">
        <v>52</v>
      </c>
      <c r="H2154" s="2" t="s">
        <v>62</v>
      </c>
      <c r="I2154" s="2" t="s">
        <v>4995</v>
      </c>
      <c r="J2154" s="3" t="str">
        <f>HYPERLINK("https://www.boe.es/gazeta/dias/1814/04/05/pdfs/GRE-1814-49.pdf#page=8","Abrir facsímil")</f>
        <v>Abrir facsímil</v>
      </c>
      <c r="K2154" s="3" t="s">
        <v>64</v>
      </c>
    </row>
    <row r="2155" spans="1:11" ht="42" customHeight="1">
      <c r="A2155" s="2" t="s">
        <v>4996</v>
      </c>
      <c r="B2155" s="2" t="s">
        <v>4997</v>
      </c>
      <c r="C2155" s="2" t="s">
        <v>17</v>
      </c>
      <c r="D2155" s="2" t="s">
        <v>18</v>
      </c>
      <c r="E2155" s="5">
        <v>-31122</v>
      </c>
      <c r="F2155" s="3" t="s">
        <v>28</v>
      </c>
      <c r="G2155" s="3" t="s">
        <v>20</v>
      </c>
      <c r="H2155" s="2" t="s">
        <v>62</v>
      </c>
      <c r="I2155" s="2" t="s">
        <v>4998</v>
      </c>
      <c r="J2155" s="3" t="str">
        <f>HYPERLINK("https://www.boe.es/gazeta/dias/1814/10/15/pdfs/GMD-1814-139.pdf#page=7","Abrir facsímil")</f>
        <v>Abrir facsímil</v>
      </c>
      <c r="K2155" s="3" t="s">
        <v>64</v>
      </c>
    </row>
    <row r="2156" spans="1:11" ht="42" customHeight="1">
      <c r="A2156" s="2" t="s">
        <v>4999</v>
      </c>
      <c r="B2156" s="2" t="s">
        <v>5000</v>
      </c>
      <c r="C2156" s="2" t="s">
        <v>26</v>
      </c>
      <c r="D2156" s="2" t="s">
        <v>27</v>
      </c>
      <c r="E2156" s="5">
        <v>-31068</v>
      </c>
      <c r="F2156" s="3" t="s">
        <v>548</v>
      </c>
      <c r="G2156" s="3" t="s">
        <v>57</v>
      </c>
      <c r="H2156" s="2" t="s">
        <v>62</v>
      </c>
      <c r="I2156" s="2" t="s">
        <v>5001</v>
      </c>
      <c r="J2156" s="3" t="str">
        <f>HYPERLINK("https://www.boe.es/gazeta/dias/1814/12/08/pdfs/GMD-1814-162.pdf#page=6","Abrir facsímil")</f>
        <v>Abrir facsímil</v>
      </c>
      <c r="K2156" s="3" t="s">
        <v>64</v>
      </c>
    </row>
    <row r="2157" spans="1:11" ht="42" customHeight="1">
      <c r="A2157" s="2" t="s">
        <v>5002</v>
      </c>
      <c r="B2157" s="2" t="s">
        <v>5003</v>
      </c>
      <c r="C2157" s="2" t="s">
        <v>26</v>
      </c>
      <c r="D2157" s="2" t="s">
        <v>27</v>
      </c>
      <c r="E2157" s="5">
        <v>-31124</v>
      </c>
      <c r="F2157" s="3" t="s">
        <v>383</v>
      </c>
      <c r="G2157" s="3" t="s">
        <v>574</v>
      </c>
      <c r="H2157" s="2" t="s">
        <v>62</v>
      </c>
      <c r="I2157" s="2" t="s">
        <v>5004</v>
      </c>
      <c r="J2157" s="3" t="str">
        <f>HYPERLINK("https://www.boe.es/gazeta/dias/1814/10/13/pdfs/GMD-1814-138.pdf#page=10","Abrir facsímil")</f>
        <v>Abrir facsímil</v>
      </c>
      <c r="K2157" s="3" t="s">
        <v>64</v>
      </c>
    </row>
    <row r="2158" spans="1:11" ht="42" customHeight="1">
      <c r="A2158" s="2" t="s">
        <v>5005</v>
      </c>
      <c r="B2158" s="2" t="s">
        <v>5006</v>
      </c>
      <c r="C2158" s="2" t="s">
        <v>38</v>
      </c>
      <c r="D2158" s="2" t="s">
        <v>39</v>
      </c>
      <c r="E2158" s="5">
        <v>-31364</v>
      </c>
      <c r="F2158" s="3" t="s">
        <v>594</v>
      </c>
      <c r="G2158" s="3" t="s">
        <v>57</v>
      </c>
      <c r="H2158" s="2" t="s">
        <v>62</v>
      </c>
      <c r="I2158" s="2" t="s">
        <v>5007</v>
      </c>
      <c r="J2158" s="3" t="str">
        <f>HYPERLINK("https://www.boe.es/gazeta/dias/1814/02/15/pdfs/GRE-1814-21.pdf#page=6","Abrir facsímil")</f>
        <v>Abrir facsímil</v>
      </c>
      <c r="K2158" s="3" t="s">
        <v>64</v>
      </c>
    </row>
    <row r="2159" spans="1:11" ht="42" customHeight="1">
      <c r="A2159" s="2" t="s">
        <v>5008</v>
      </c>
      <c r="B2159" s="2" t="s">
        <v>5009</v>
      </c>
      <c r="C2159" s="2" t="s">
        <v>38</v>
      </c>
      <c r="D2159" s="2" t="s">
        <v>39</v>
      </c>
      <c r="E2159" s="5">
        <v>-31290</v>
      </c>
      <c r="F2159" s="3" t="s">
        <v>488</v>
      </c>
      <c r="G2159" s="3" t="s">
        <v>20</v>
      </c>
      <c r="H2159" s="2" t="s">
        <v>62</v>
      </c>
      <c r="I2159" s="2" t="s">
        <v>5010</v>
      </c>
      <c r="J2159" s="3" t="str">
        <f>HYPERLINK("https://www.boe.es/gazeta/dias/1814/04/30/pdfs/GRE-1814-64.pdf#page=7","Abrir facsímil")</f>
        <v>Abrir facsímil</v>
      </c>
      <c r="K2159" s="3" t="s">
        <v>64</v>
      </c>
    </row>
    <row r="2160" spans="1:11" ht="42" customHeight="1">
      <c r="A2160" s="2" t="s">
        <v>5011</v>
      </c>
      <c r="B2160" s="2" t="s">
        <v>5011</v>
      </c>
      <c r="C2160" s="2" t="s">
        <v>38</v>
      </c>
      <c r="D2160" s="2" t="s">
        <v>39</v>
      </c>
      <c r="E2160" s="5">
        <v>-31332</v>
      </c>
      <c r="F2160" s="3" t="s">
        <v>343</v>
      </c>
      <c r="G2160" s="3" t="s">
        <v>41</v>
      </c>
      <c r="H2160" s="2" t="s">
        <v>62</v>
      </c>
      <c r="I2160" s="2" t="s">
        <v>5012</v>
      </c>
      <c r="J2160" s="3" t="str">
        <f>HYPERLINK("https://www.boe.es/gazeta/dias/1814/03/19/pdfs/GRE-1814-38.pdf#page=4","Abrir facsímil")</f>
        <v>Abrir facsímil</v>
      </c>
      <c r="K2160" s="3" t="s">
        <v>64</v>
      </c>
    </row>
    <row r="2161" spans="1:11" ht="42" customHeight="1">
      <c r="A2161" s="2" t="s">
        <v>5013</v>
      </c>
      <c r="B2161" s="2" t="s">
        <v>5014</v>
      </c>
      <c r="C2161" s="2" t="s">
        <v>38</v>
      </c>
      <c r="D2161" s="2" t="s">
        <v>39</v>
      </c>
      <c r="E2161" s="5">
        <v>-31147</v>
      </c>
      <c r="F2161" s="3" t="s">
        <v>86</v>
      </c>
      <c r="G2161" s="3" t="s">
        <v>322</v>
      </c>
      <c r="H2161" s="2" t="s">
        <v>21</v>
      </c>
      <c r="I2161" s="2" t="s">
        <v>5015</v>
      </c>
      <c r="J2161" s="3" t="str">
        <f>HYPERLINK("https://www.boe.es/gazeta/dias/1814/09/20/pdfs/GMD-1814-128.pdf#page=12","Abrir facsímil")</f>
        <v>Abrir facsímil</v>
      </c>
      <c r="K2161" s="3" t="s">
        <v>23</v>
      </c>
    </row>
    <row r="2162" spans="1:11" ht="42" customHeight="1">
      <c r="A2162" s="2" t="s">
        <v>5016</v>
      </c>
      <c r="B2162" s="2" t="s">
        <v>5016</v>
      </c>
      <c r="C2162" s="2" t="s">
        <v>38</v>
      </c>
      <c r="D2162" s="2" t="s">
        <v>314</v>
      </c>
      <c r="E2162" s="5">
        <v>-31296</v>
      </c>
      <c r="F2162" s="3" t="s">
        <v>315</v>
      </c>
      <c r="G2162" s="3" t="s">
        <v>82</v>
      </c>
      <c r="H2162" s="2" t="s">
        <v>62</v>
      </c>
      <c r="I2162" s="2" t="s">
        <v>5017</v>
      </c>
      <c r="J2162" s="3" t="str">
        <f>HYPERLINK("https://www.boe.es/gazeta/dias/1814/04/24/pdfs/GRE-1814-60E.pdf#page=3","Abrir facsímil")</f>
        <v>Abrir facsímil</v>
      </c>
      <c r="K2162" s="3" t="s">
        <v>64</v>
      </c>
    </row>
    <row r="2163" spans="1:11" ht="42" customHeight="1">
      <c r="A2163" s="2" t="s">
        <v>5018</v>
      </c>
      <c r="B2163" s="2" t="s">
        <v>5019</v>
      </c>
      <c r="C2163" s="2" t="s">
        <v>38</v>
      </c>
      <c r="D2163" s="2" t="s">
        <v>39</v>
      </c>
      <c r="E2163" s="5">
        <v>-31124</v>
      </c>
      <c r="F2163" s="3" t="s">
        <v>383</v>
      </c>
      <c r="G2163" s="3" t="s">
        <v>574</v>
      </c>
      <c r="H2163" s="2" t="s">
        <v>62</v>
      </c>
      <c r="I2163" s="2" t="s">
        <v>5020</v>
      </c>
      <c r="J2163" s="3" t="str">
        <f>HYPERLINK("https://www.boe.es/gazeta/dias/1814/10/13/pdfs/GMD-1814-138.pdf#page=10","Abrir facsímil")</f>
        <v>Abrir facsímil</v>
      </c>
      <c r="K2163" s="3" t="s">
        <v>64</v>
      </c>
    </row>
    <row r="2164" spans="1:11" ht="42" customHeight="1">
      <c r="A2164" s="2" t="s">
        <v>5021</v>
      </c>
      <c r="B2164" s="2" t="s">
        <v>5022</v>
      </c>
      <c r="C2164" s="2" t="s">
        <v>17</v>
      </c>
      <c r="D2164" s="2" t="s">
        <v>18</v>
      </c>
      <c r="E2164" s="5">
        <v>-31154</v>
      </c>
      <c r="F2164" s="3" t="s">
        <v>688</v>
      </c>
      <c r="G2164" s="3" t="s">
        <v>831</v>
      </c>
      <c r="H2164" s="2" t="s">
        <v>62</v>
      </c>
      <c r="I2164" s="2" t="s">
        <v>5023</v>
      </c>
      <c r="J2164" s="3" t="str">
        <f>HYPERLINK("https://www.boe.es/gazeta/dias/1814/09/13/pdfs/GMD-1814-125.pdf#page=3","Abrir facsímil")</f>
        <v>Abrir facsímil</v>
      </c>
      <c r="K2164" s="3" t="s">
        <v>64</v>
      </c>
    </row>
    <row r="2165" spans="1:11" ht="42" customHeight="1">
      <c r="A2165" s="2" t="s">
        <v>5024</v>
      </c>
      <c r="B2165" s="2" t="s">
        <v>5024</v>
      </c>
      <c r="C2165" s="2" t="s">
        <v>38</v>
      </c>
      <c r="D2165" s="2" t="s">
        <v>39</v>
      </c>
      <c r="E2165" s="5">
        <v>-31213</v>
      </c>
      <c r="F2165" s="3" t="s">
        <v>276</v>
      </c>
      <c r="G2165" s="3" t="s">
        <v>52</v>
      </c>
      <c r="H2165" s="2" t="s">
        <v>62</v>
      </c>
      <c r="I2165" s="2" t="s">
        <v>5025</v>
      </c>
      <c r="J2165" s="3" t="str">
        <f>HYPERLINK("https://www.boe.es/gazeta/dias/1814/07/16/pdfs/GMD-1814-99.pdf#page=8","Abrir facsímil")</f>
        <v>Abrir facsímil</v>
      </c>
      <c r="K2165" s="3" t="s">
        <v>64</v>
      </c>
    </row>
    <row r="2166" spans="1:11" ht="42" customHeight="1">
      <c r="A2166" s="2" t="s">
        <v>5024</v>
      </c>
      <c r="B2166" s="2" t="s">
        <v>5024</v>
      </c>
      <c r="C2166" s="2" t="s">
        <v>32</v>
      </c>
      <c r="D2166" s="2" t="s">
        <v>18</v>
      </c>
      <c r="E2166" s="5">
        <v>-31059</v>
      </c>
      <c r="F2166" s="3" t="s">
        <v>263</v>
      </c>
      <c r="G2166" s="3" t="s">
        <v>264</v>
      </c>
      <c r="H2166" s="2" t="s">
        <v>62</v>
      </c>
      <c r="I2166" s="2" t="s">
        <v>5026</v>
      </c>
      <c r="J2166" s="3" t="str">
        <f>HYPERLINK("https://www.boe.es/gazeta/dias/1814/12/17/pdfs/GMD-1814-167.pdf#page=7","Abrir facsímil")</f>
        <v>Abrir facsímil</v>
      </c>
      <c r="K2166" s="3" t="s">
        <v>64</v>
      </c>
    </row>
    <row r="2167" spans="1:11" ht="42" customHeight="1">
      <c r="A2167" s="2" t="s">
        <v>5027</v>
      </c>
      <c r="B2167" s="2" t="s">
        <v>5028</v>
      </c>
      <c r="C2167" s="2" t="s">
        <v>38</v>
      </c>
      <c r="D2167" s="2" t="s">
        <v>39</v>
      </c>
      <c r="E2167" s="5">
        <v>-31182</v>
      </c>
      <c r="F2167" s="3" t="s">
        <v>19</v>
      </c>
      <c r="G2167" s="3" t="s">
        <v>57</v>
      </c>
      <c r="H2167" s="2" t="s">
        <v>62</v>
      </c>
      <c r="I2167" s="2" t="s">
        <v>5029</v>
      </c>
      <c r="J2167" s="3" t="str">
        <f>HYPERLINK("https://www.boe.es/gazeta/dias/1814/08/16/pdfs/GMD-1814-112.pdf#page=6","Abrir facsímil")</f>
        <v>Abrir facsímil</v>
      </c>
      <c r="K2167" s="3" t="s">
        <v>64</v>
      </c>
    </row>
    <row r="2168" spans="1:11" ht="42" customHeight="1">
      <c r="A2168" s="2" t="s">
        <v>5030</v>
      </c>
      <c r="B2168" s="2" t="s">
        <v>5030</v>
      </c>
      <c r="C2168" s="2" t="s">
        <v>38</v>
      </c>
      <c r="D2168" s="2" t="s">
        <v>39</v>
      </c>
      <c r="E2168" s="5">
        <v>-31395</v>
      </c>
      <c r="F2168" s="3" t="s">
        <v>662</v>
      </c>
      <c r="G2168" s="3" t="s">
        <v>57</v>
      </c>
      <c r="H2168" s="2" t="s">
        <v>62</v>
      </c>
      <c r="I2168" s="2" t="s">
        <v>5031</v>
      </c>
      <c r="J2168" s="3" t="str">
        <f>HYPERLINK("https://www.boe.es/gazeta/dias/1814/01/15/pdfs/GRE-1814-8.pdf#page=6","Abrir facsímil")</f>
        <v>Abrir facsímil</v>
      </c>
      <c r="K2168" s="3" t="s">
        <v>64</v>
      </c>
    </row>
    <row r="2169" spans="1:11" ht="42" customHeight="1">
      <c r="A2169" s="2" t="s">
        <v>5030</v>
      </c>
      <c r="B2169" s="2" t="s">
        <v>5030</v>
      </c>
      <c r="C2169" s="2" t="s">
        <v>17</v>
      </c>
      <c r="D2169" s="2" t="s">
        <v>18</v>
      </c>
      <c r="E2169" s="5">
        <v>-31227</v>
      </c>
      <c r="F2169" s="3" t="s">
        <v>102</v>
      </c>
      <c r="G2169" s="3" t="s">
        <v>107</v>
      </c>
      <c r="H2169" s="2" t="s">
        <v>62</v>
      </c>
      <c r="I2169" s="2" t="s">
        <v>5032</v>
      </c>
      <c r="J2169" s="3" t="str">
        <f>HYPERLINK("https://www.boe.es/gazeta/dias/1814/07/02/pdfs/GMD-1814-93.pdf#page=1","Abrir facsímil")</f>
        <v>Abrir facsímil</v>
      </c>
      <c r="K2169" s="3" t="s">
        <v>64</v>
      </c>
    </row>
    <row r="2170" spans="1:11" ht="42" customHeight="1">
      <c r="A2170" s="2" t="s">
        <v>5033</v>
      </c>
      <c r="B2170" s="2" t="s">
        <v>5033</v>
      </c>
      <c r="C2170" s="2" t="s">
        <v>38</v>
      </c>
      <c r="D2170" s="2" t="s">
        <v>39</v>
      </c>
      <c r="E2170" s="5">
        <v>-31131</v>
      </c>
      <c r="F2170" s="3" t="s">
        <v>132</v>
      </c>
      <c r="G2170" s="3" t="s">
        <v>82</v>
      </c>
      <c r="H2170" s="2" t="s">
        <v>62</v>
      </c>
      <c r="I2170" s="2" t="s">
        <v>5034</v>
      </c>
      <c r="J2170" s="3" t="str">
        <f>HYPERLINK("https://www.boe.es/gazeta/dias/1814/10/06/pdfs/GMD-1814-135.pdf#page=3","Abrir facsímil")</f>
        <v>Abrir facsímil</v>
      </c>
      <c r="K2170" s="3" t="s">
        <v>64</v>
      </c>
    </row>
    <row r="2171" spans="1:11" ht="42" customHeight="1">
      <c r="A2171" s="2" t="s">
        <v>5035</v>
      </c>
      <c r="B2171" s="2" t="s">
        <v>5036</v>
      </c>
      <c r="C2171" s="2" t="s">
        <v>38</v>
      </c>
      <c r="D2171" s="2" t="s">
        <v>39</v>
      </c>
      <c r="E2171" s="5">
        <v>-31161</v>
      </c>
      <c r="F2171" s="3" t="s">
        <v>407</v>
      </c>
      <c r="G2171" s="3" t="s">
        <v>82</v>
      </c>
      <c r="H2171" s="2" t="s">
        <v>62</v>
      </c>
      <c r="I2171" s="2" t="s">
        <v>5037</v>
      </c>
      <c r="J2171" s="3" t="str">
        <f>HYPERLINK("https://www.boe.es/gazeta/dias/1814/09/06/pdfs/GMD-1814-122.pdf#page=3","Abrir facsímil")</f>
        <v>Abrir facsímil</v>
      </c>
      <c r="K2171" s="3" t="s">
        <v>64</v>
      </c>
    </row>
    <row r="2172" spans="1:11" ht="42" customHeight="1">
      <c r="A2172" s="2" t="s">
        <v>5035</v>
      </c>
      <c r="B2172" s="2" t="s">
        <v>5036</v>
      </c>
      <c r="C2172" s="2" t="s">
        <v>38</v>
      </c>
      <c r="D2172" s="2" t="s">
        <v>39</v>
      </c>
      <c r="E2172" s="5">
        <v>-31131</v>
      </c>
      <c r="F2172" s="3" t="s">
        <v>132</v>
      </c>
      <c r="G2172" s="3" t="s">
        <v>82</v>
      </c>
      <c r="H2172" s="2" t="s">
        <v>62</v>
      </c>
      <c r="I2172" s="2" t="s">
        <v>5038</v>
      </c>
      <c r="J2172" s="3" t="str">
        <f>HYPERLINK("https://www.boe.es/gazeta/dias/1814/10/06/pdfs/GMD-1814-135.pdf#page=3","Abrir facsímil")</f>
        <v>Abrir facsímil</v>
      </c>
      <c r="K2172" s="3" t="s">
        <v>64</v>
      </c>
    </row>
    <row r="2173" spans="1:11" ht="42" customHeight="1">
      <c r="A2173" s="2" t="s">
        <v>5039</v>
      </c>
      <c r="B2173" s="2" t="s">
        <v>5040</v>
      </c>
      <c r="C2173" s="2" t="s">
        <v>17</v>
      </c>
      <c r="D2173" s="2" t="s">
        <v>18</v>
      </c>
      <c r="E2173" s="5">
        <v>-31070</v>
      </c>
      <c r="F2173" s="3" t="s">
        <v>92</v>
      </c>
      <c r="G2173" s="3" t="s">
        <v>52</v>
      </c>
      <c r="H2173" s="2" t="s">
        <v>62</v>
      </c>
      <c r="I2173" s="2" t="s">
        <v>5041</v>
      </c>
      <c r="J2173" s="3" t="str">
        <f>HYPERLINK("https://www.boe.es/gazeta/dias/1814/12/06/pdfs/GMD-1814-161.pdf#page=8","Abrir facsímil")</f>
        <v>Abrir facsímil</v>
      </c>
      <c r="K2173" s="3" t="s">
        <v>64</v>
      </c>
    </row>
    <row r="2174" spans="1:11" ht="42" customHeight="1">
      <c r="A2174" s="2" t="s">
        <v>5042</v>
      </c>
      <c r="B2174" s="2" t="s">
        <v>5043</v>
      </c>
      <c r="C2174" s="2" t="s">
        <v>26</v>
      </c>
      <c r="D2174" s="2" t="s">
        <v>27</v>
      </c>
      <c r="E2174" s="5">
        <v>-31217</v>
      </c>
      <c r="F2174" s="3" t="s">
        <v>506</v>
      </c>
      <c r="G2174" s="3" t="s">
        <v>20</v>
      </c>
      <c r="H2174" s="2" t="s">
        <v>62</v>
      </c>
      <c r="I2174" s="2" t="s">
        <v>5044</v>
      </c>
      <c r="J2174" s="3" t="str">
        <f>HYPERLINK("https://www.boe.es/gazeta/dias/1814/07/12/pdfs/GMD-1814-97.pdf#page=7","Abrir facsímil")</f>
        <v>Abrir facsímil</v>
      </c>
      <c r="K2174" s="3" t="s">
        <v>64</v>
      </c>
    </row>
    <row r="2175" spans="1:11" ht="42" customHeight="1">
      <c r="A2175" s="2" t="s">
        <v>5045</v>
      </c>
      <c r="B2175" s="2" t="s">
        <v>5046</v>
      </c>
      <c r="C2175" s="2" t="s">
        <v>17</v>
      </c>
      <c r="D2175" s="2" t="s">
        <v>18</v>
      </c>
      <c r="E2175" s="5">
        <v>-31098</v>
      </c>
      <c r="F2175" s="3" t="s">
        <v>290</v>
      </c>
      <c r="G2175" s="3" t="s">
        <v>310</v>
      </c>
      <c r="H2175" s="2" t="s">
        <v>62</v>
      </c>
      <c r="I2175" s="2" t="s">
        <v>5047</v>
      </c>
      <c r="J2175" s="3" t="str">
        <f>HYPERLINK("https://www.boe.es/gazeta/dias/1814/11/08/pdfs/GMD-1814-149.pdf#page=8","Abrir facsímil")</f>
        <v>Abrir facsímil</v>
      </c>
      <c r="K2175" s="3" t="s">
        <v>64</v>
      </c>
    </row>
    <row r="2176" spans="1:11" ht="42" customHeight="1">
      <c r="A2176" s="2" t="s">
        <v>5048</v>
      </c>
      <c r="B2176" s="2" t="s">
        <v>5049</v>
      </c>
      <c r="C2176" s="2" t="s">
        <v>17</v>
      </c>
      <c r="D2176" s="2" t="s">
        <v>18</v>
      </c>
      <c r="E2176" s="5">
        <v>-31098</v>
      </c>
      <c r="F2176" s="3" t="s">
        <v>290</v>
      </c>
      <c r="G2176" s="3" t="s">
        <v>310</v>
      </c>
      <c r="H2176" s="2" t="s">
        <v>21</v>
      </c>
      <c r="I2176" s="2" t="s">
        <v>5050</v>
      </c>
      <c r="J2176" s="3" t="str">
        <f>HYPERLINK("https://www.boe.es/gazeta/dias/1814/11/08/pdfs/GMD-1814-149.pdf#page=8","Abrir facsímil")</f>
        <v>Abrir facsímil</v>
      </c>
      <c r="K2176" s="3" t="s">
        <v>23</v>
      </c>
    </row>
    <row r="2177" spans="1:11" ht="42" customHeight="1">
      <c r="A2177" s="2" t="s">
        <v>5051</v>
      </c>
      <c r="B2177" s="2" t="s">
        <v>5052</v>
      </c>
      <c r="C2177" s="2" t="s">
        <v>38</v>
      </c>
      <c r="D2177" s="2" t="s">
        <v>39</v>
      </c>
      <c r="E2177" s="5">
        <v>-31355</v>
      </c>
      <c r="F2177" s="3" t="s">
        <v>50</v>
      </c>
      <c r="G2177" s="3" t="s">
        <v>20</v>
      </c>
      <c r="H2177" s="2" t="s">
        <v>62</v>
      </c>
      <c r="I2177" s="2" t="s">
        <v>5053</v>
      </c>
      <c r="J2177" s="3" t="str">
        <f>HYPERLINK("https://www.boe.es/gazeta/dias/1814/02/24/pdfs/GRE-1814-26.pdf#page=7","Abrir facsímil")</f>
        <v>Abrir facsímil</v>
      </c>
      <c r="K2177" s="3" t="s">
        <v>64</v>
      </c>
    </row>
    <row r="2178" spans="1:11" ht="42" customHeight="1">
      <c r="A2178" s="2" t="s">
        <v>5054</v>
      </c>
      <c r="B2178" s="2" t="s">
        <v>5055</v>
      </c>
      <c r="C2178" s="2" t="s">
        <v>26</v>
      </c>
      <c r="D2178" s="2" t="s">
        <v>27</v>
      </c>
      <c r="E2178" s="5">
        <v>-31201</v>
      </c>
      <c r="F2178" s="3" t="s">
        <v>863</v>
      </c>
      <c r="G2178" s="3" t="s">
        <v>99</v>
      </c>
      <c r="H2178" s="2" t="s">
        <v>62</v>
      </c>
      <c r="I2178" s="2" t="s">
        <v>5056</v>
      </c>
      <c r="J2178" s="3" t="str">
        <f>HYPERLINK("https://www.boe.es/gazeta/dias/1814/07/28/pdfs/GMD-1814-104.pdf#page=5","Abrir facsímil")</f>
        <v>Abrir facsímil</v>
      </c>
      <c r="K2178" s="3" t="s">
        <v>64</v>
      </c>
    </row>
    <row r="2179" spans="1:11" ht="42" customHeight="1">
      <c r="A2179" s="2" t="s">
        <v>5057</v>
      </c>
      <c r="B2179" s="2" t="s">
        <v>5058</v>
      </c>
      <c r="C2179" s="2" t="s">
        <v>26</v>
      </c>
      <c r="D2179" s="2" t="s">
        <v>27</v>
      </c>
      <c r="E2179" s="5">
        <v>-31257</v>
      </c>
      <c r="F2179" s="3" t="s">
        <v>437</v>
      </c>
      <c r="G2179" s="3" t="s">
        <v>52</v>
      </c>
      <c r="H2179" s="2" t="s">
        <v>62</v>
      </c>
      <c r="I2179" s="2" t="s">
        <v>5059</v>
      </c>
      <c r="J2179" s="3" t="str">
        <f>HYPERLINK("https://www.boe.es/gazeta/dias/1814/06/02/pdfs/GMD-1814-80.pdf#page=8","Abrir facsímil")</f>
        <v>Abrir facsímil</v>
      </c>
      <c r="K2179" s="3" t="s">
        <v>64</v>
      </c>
    </row>
    <row r="2180" spans="1:11" ht="42" customHeight="1">
      <c r="A2180" s="2" t="s">
        <v>5060</v>
      </c>
      <c r="B2180" s="2" t="s">
        <v>5061</v>
      </c>
      <c r="C2180" s="2" t="s">
        <v>26</v>
      </c>
      <c r="D2180" s="2" t="s">
        <v>27</v>
      </c>
      <c r="E2180" s="5">
        <v>-31201</v>
      </c>
      <c r="F2180" s="3" t="s">
        <v>863</v>
      </c>
      <c r="G2180" s="3" t="s">
        <v>99</v>
      </c>
      <c r="H2180" s="2" t="s">
        <v>62</v>
      </c>
      <c r="I2180" s="2" t="s">
        <v>5062</v>
      </c>
      <c r="J2180" s="3" t="str">
        <f>HYPERLINK("https://www.boe.es/gazeta/dias/1814/07/28/pdfs/GMD-1814-104.pdf#page=5","Abrir facsímil")</f>
        <v>Abrir facsímil</v>
      </c>
      <c r="K2180" s="3" t="s">
        <v>64</v>
      </c>
    </row>
    <row r="2181" spans="1:11" ht="42" customHeight="1">
      <c r="A2181" s="2" t="s">
        <v>5063</v>
      </c>
      <c r="B2181" s="2" t="s">
        <v>5064</v>
      </c>
      <c r="C2181" s="2" t="s">
        <v>26</v>
      </c>
      <c r="D2181" s="2" t="s">
        <v>27</v>
      </c>
      <c r="E2181" s="5">
        <v>-31126</v>
      </c>
      <c r="F2181" s="3" t="s">
        <v>56</v>
      </c>
      <c r="G2181" s="3" t="s">
        <v>2616</v>
      </c>
      <c r="H2181" s="2" t="s">
        <v>62</v>
      </c>
      <c r="I2181" s="2" t="s">
        <v>5065</v>
      </c>
      <c r="J2181" s="3" t="str">
        <f>HYPERLINK("https://www.boe.es/gazeta/dias/1814/10/11/pdfs/GMD-1814-137.pdf#page=7","Abrir facsímil")</f>
        <v>Abrir facsímil</v>
      </c>
      <c r="K2181" s="3" t="s">
        <v>64</v>
      </c>
    </row>
    <row r="2182" spans="1:11" ht="42" customHeight="1">
      <c r="A2182" s="2" t="s">
        <v>5066</v>
      </c>
      <c r="B2182" s="2" t="s">
        <v>5066</v>
      </c>
      <c r="C2182" s="2" t="s">
        <v>26</v>
      </c>
      <c r="D2182" s="2" t="s">
        <v>27</v>
      </c>
      <c r="E2182" s="5">
        <v>-31145</v>
      </c>
      <c r="F2182" s="3" t="s">
        <v>523</v>
      </c>
      <c r="G2182" s="3" t="s">
        <v>107</v>
      </c>
      <c r="H2182" s="2" t="s">
        <v>62</v>
      </c>
      <c r="I2182" s="2" t="s">
        <v>5067</v>
      </c>
      <c r="J2182" s="3" t="str">
        <f>HYPERLINK("https://www.boe.es/gazeta/dias/1814/09/22/pdfs/GMD-1814-129.pdf#page=1","Abrir facsímil")</f>
        <v>Abrir facsímil</v>
      </c>
      <c r="K2182" s="3" t="s">
        <v>64</v>
      </c>
    </row>
    <row r="2183" spans="1:11" ht="42" customHeight="1">
      <c r="A2183" s="2" t="s">
        <v>5068</v>
      </c>
      <c r="B2183" s="2" t="s">
        <v>5069</v>
      </c>
      <c r="C2183" s="2" t="s">
        <v>17</v>
      </c>
      <c r="D2183" s="2" t="s">
        <v>18</v>
      </c>
      <c r="E2183" s="5">
        <v>-31259</v>
      </c>
      <c r="F2183" s="3" t="s">
        <v>853</v>
      </c>
      <c r="G2183" s="3" t="s">
        <v>41</v>
      </c>
      <c r="H2183" s="2" t="s">
        <v>62</v>
      </c>
      <c r="I2183" s="2" t="s">
        <v>5070</v>
      </c>
      <c r="J2183" s="3" t="str">
        <f>HYPERLINK("https://www.boe.es/gazeta/dias/1814/05/31/pdfs/GMD-1814-79.pdf#page=4","Abrir facsímil")</f>
        <v>Abrir facsímil</v>
      </c>
      <c r="K2183" s="3" t="s">
        <v>64</v>
      </c>
    </row>
    <row r="2184" spans="1:11" ht="42" customHeight="1">
      <c r="A2184" s="2" t="s">
        <v>5071</v>
      </c>
      <c r="B2184" s="2" t="s">
        <v>5072</v>
      </c>
      <c r="C2184" s="2" t="s">
        <v>38</v>
      </c>
      <c r="D2184" s="2" t="s">
        <v>39</v>
      </c>
      <c r="E2184" s="5">
        <v>-31063</v>
      </c>
      <c r="F2184" s="3" t="s">
        <v>649</v>
      </c>
      <c r="G2184" s="3" t="s">
        <v>57</v>
      </c>
      <c r="H2184" s="2" t="s">
        <v>62</v>
      </c>
      <c r="I2184" s="2" t="s">
        <v>5073</v>
      </c>
      <c r="J2184" s="3" t="str">
        <f>HYPERLINK("https://www.boe.es/gazeta/dias/1814/12/13/pdfs/GMD-1814-164.pdf#page=6","Abrir facsímil")</f>
        <v>Abrir facsímil</v>
      </c>
      <c r="K2184" s="3" t="s">
        <v>64</v>
      </c>
    </row>
    <row r="2185" spans="1:11" ht="42" customHeight="1">
      <c r="A2185" s="2" t="s">
        <v>5071</v>
      </c>
      <c r="B2185" s="2" t="s">
        <v>5072</v>
      </c>
      <c r="C2185" s="2" t="s">
        <v>38</v>
      </c>
      <c r="D2185" s="2" t="s">
        <v>39</v>
      </c>
      <c r="E2185" s="5">
        <v>-31063</v>
      </c>
      <c r="F2185" s="3" t="s">
        <v>649</v>
      </c>
      <c r="G2185" s="3" t="s">
        <v>20</v>
      </c>
      <c r="H2185" s="2" t="s">
        <v>62</v>
      </c>
      <c r="I2185" s="2" t="s">
        <v>5074</v>
      </c>
      <c r="J2185" s="3" t="str">
        <f>HYPERLINK("https://www.boe.es/gazeta/dias/1814/12/13/pdfs/GMD-1814-164.pdf#page=7","Abrir facsímil")</f>
        <v>Abrir facsímil</v>
      </c>
      <c r="K2185" s="3" t="s">
        <v>64</v>
      </c>
    </row>
    <row r="2186" spans="1:11" ht="42" customHeight="1">
      <c r="A2186" s="2" t="s">
        <v>5075</v>
      </c>
      <c r="B2186" s="2" t="s">
        <v>5076</v>
      </c>
      <c r="C2186" s="2" t="s">
        <v>32</v>
      </c>
      <c r="D2186" s="2" t="s">
        <v>18</v>
      </c>
      <c r="E2186" s="5">
        <v>-31096</v>
      </c>
      <c r="F2186" s="3" t="s">
        <v>223</v>
      </c>
      <c r="G2186" s="3" t="s">
        <v>972</v>
      </c>
      <c r="H2186" s="2" t="s">
        <v>62</v>
      </c>
      <c r="I2186" s="2" t="s">
        <v>5077</v>
      </c>
      <c r="J2186" s="3" t="str">
        <f>HYPERLINK("https://www.boe.es/gazeta/dias/1814/11/10/pdfs/GMD-1814-150.pdf#page=8","Abrir facsímil")</f>
        <v>Abrir facsímil</v>
      </c>
      <c r="K2186" s="3" t="s">
        <v>64</v>
      </c>
    </row>
    <row r="2187" spans="1:11" ht="42" customHeight="1">
      <c r="A2187" s="2" t="s">
        <v>5078</v>
      </c>
      <c r="B2187" s="2" t="s">
        <v>5079</v>
      </c>
      <c r="C2187" s="2" t="s">
        <v>26</v>
      </c>
      <c r="D2187" s="2" t="s">
        <v>27</v>
      </c>
      <c r="E2187" s="5">
        <v>-31180</v>
      </c>
      <c r="F2187" s="3" t="s">
        <v>520</v>
      </c>
      <c r="G2187" s="3" t="s">
        <v>20</v>
      </c>
      <c r="H2187" s="2" t="s">
        <v>21</v>
      </c>
      <c r="I2187" s="2" t="s">
        <v>5080</v>
      </c>
      <c r="J2187" s="3" t="str">
        <f>HYPERLINK("https://www.boe.es/gazeta/dias/1814/08/18/pdfs/GMD-1814-113.pdf#page=7","Abrir facsímil")</f>
        <v>Abrir facsímil</v>
      </c>
      <c r="K2187" s="3" t="s">
        <v>23</v>
      </c>
    </row>
    <row r="2188" spans="1:11" ht="42" customHeight="1">
      <c r="A2188" s="2" t="s">
        <v>5081</v>
      </c>
      <c r="B2188" s="2" t="s">
        <v>5082</v>
      </c>
      <c r="C2188" s="2" t="s">
        <v>26</v>
      </c>
      <c r="D2188" s="2" t="s">
        <v>27</v>
      </c>
      <c r="E2188" s="5">
        <v>-31185</v>
      </c>
      <c r="F2188" s="3" t="s">
        <v>1238</v>
      </c>
      <c r="G2188" s="3" t="s">
        <v>3166</v>
      </c>
      <c r="H2188" s="2" t="s">
        <v>62</v>
      </c>
      <c r="I2188" s="2" t="s">
        <v>5083</v>
      </c>
      <c r="J2188" s="3" t="str">
        <f>HYPERLINK("https://www.boe.es/gazeta/dias/1814/08/13/pdfs/GMD-1814-111.pdf#page=7","Abrir facsímil")</f>
        <v>Abrir facsímil</v>
      </c>
      <c r="K2188" s="3" t="s">
        <v>64</v>
      </c>
    </row>
    <row r="2189" spans="1:11" ht="42" customHeight="1">
      <c r="A2189" s="2" t="s">
        <v>5084</v>
      </c>
      <c r="B2189" s="2" t="s">
        <v>5084</v>
      </c>
      <c r="C2189" s="2" t="s">
        <v>38</v>
      </c>
      <c r="D2189" s="2" t="s">
        <v>39</v>
      </c>
      <c r="E2189" s="5">
        <v>-31241</v>
      </c>
      <c r="F2189" s="3" t="s">
        <v>703</v>
      </c>
      <c r="G2189" s="3" t="s">
        <v>82</v>
      </c>
      <c r="H2189" s="2" t="s">
        <v>62</v>
      </c>
      <c r="I2189" s="2" t="s">
        <v>5085</v>
      </c>
      <c r="J2189" s="3" t="str">
        <f>HYPERLINK("https://www.boe.es/gazeta/dias/1814/06/18/pdfs/GMD-1814-87.pdf#page=3","Abrir facsímil")</f>
        <v>Abrir facsímil</v>
      </c>
      <c r="K2189" s="3" t="s">
        <v>64</v>
      </c>
    </row>
    <row r="2190" spans="1:11" ht="42" customHeight="1">
      <c r="A2190" s="2" t="s">
        <v>5084</v>
      </c>
      <c r="B2190" s="2" t="s">
        <v>5084</v>
      </c>
      <c r="C2190" s="2" t="s">
        <v>105</v>
      </c>
      <c r="D2190" s="2" t="s">
        <v>18</v>
      </c>
      <c r="E2190" s="5">
        <v>-31178</v>
      </c>
      <c r="F2190" s="3" t="s">
        <v>1390</v>
      </c>
      <c r="G2190" s="3" t="s">
        <v>82</v>
      </c>
      <c r="H2190" s="2" t="s">
        <v>62</v>
      </c>
      <c r="I2190" s="2" t="s">
        <v>5086</v>
      </c>
      <c r="J2190" s="3" t="str">
        <f>HYPERLINK("https://www.boe.es/gazeta/dias/1814/08/20/pdfs/GMD-1814-114.pdf#page=3","Abrir facsímil")</f>
        <v>Abrir facsímil</v>
      </c>
      <c r="K2190" s="3" t="s">
        <v>64</v>
      </c>
    </row>
    <row r="2191" spans="1:11" ht="42" customHeight="1">
      <c r="A2191" s="2" t="s">
        <v>5084</v>
      </c>
      <c r="B2191" s="2" t="s">
        <v>5084</v>
      </c>
      <c r="C2191" s="2" t="s">
        <v>38</v>
      </c>
      <c r="D2191" s="2" t="s">
        <v>39</v>
      </c>
      <c r="E2191" s="5">
        <v>-31089</v>
      </c>
      <c r="F2191" s="3" t="s">
        <v>531</v>
      </c>
      <c r="G2191" s="3" t="s">
        <v>87</v>
      </c>
      <c r="H2191" s="2" t="s">
        <v>62</v>
      </c>
      <c r="I2191" s="2" t="s">
        <v>5087</v>
      </c>
      <c r="J2191" s="3" t="str">
        <f>HYPERLINK("https://www.boe.es/gazeta/dias/1814/11/17/pdfs/GMD-1814-153.pdf#page=2","Abrir facsímil")</f>
        <v>Abrir facsímil</v>
      </c>
      <c r="K2191" s="3" t="s">
        <v>64</v>
      </c>
    </row>
    <row r="2192" spans="1:11" ht="42" customHeight="1">
      <c r="A2192" s="2" t="s">
        <v>5088</v>
      </c>
      <c r="B2192" s="2" t="s">
        <v>5089</v>
      </c>
      <c r="C2192" s="2" t="s">
        <v>26</v>
      </c>
      <c r="D2192" s="2" t="s">
        <v>27</v>
      </c>
      <c r="E2192" s="5">
        <v>-31325</v>
      </c>
      <c r="F2192" s="3" t="s">
        <v>67</v>
      </c>
      <c r="G2192" s="3" t="s">
        <v>52</v>
      </c>
      <c r="H2192" s="2" t="s">
        <v>62</v>
      </c>
      <c r="I2192" s="2" t="s">
        <v>5090</v>
      </c>
      <c r="J2192" s="3" t="str">
        <f>HYPERLINK("https://www.boe.es/gazeta/dias/1814/03/26/pdfs/GRE-1814-43.pdf#page=8","Abrir facsímil")</f>
        <v>Abrir facsímil</v>
      </c>
      <c r="K2192" s="3" t="s">
        <v>64</v>
      </c>
    </row>
    <row r="2193" spans="1:11" ht="42" customHeight="1">
      <c r="A2193" s="2" t="s">
        <v>5088</v>
      </c>
      <c r="B2193" s="2" t="s">
        <v>5089</v>
      </c>
      <c r="C2193" s="2" t="s">
        <v>26</v>
      </c>
      <c r="D2193" s="2" t="s">
        <v>27</v>
      </c>
      <c r="E2193" s="5">
        <v>-31157</v>
      </c>
      <c r="F2193" s="3" t="s">
        <v>206</v>
      </c>
      <c r="G2193" s="3" t="s">
        <v>52</v>
      </c>
      <c r="H2193" s="2" t="s">
        <v>62</v>
      </c>
      <c r="I2193" s="2" t="s">
        <v>5091</v>
      </c>
      <c r="J2193" s="3" t="str">
        <f>HYPERLINK("https://www.boe.es/gazeta/dias/1814/09/10/pdfs/GMD-1814-124.pdf#page=8","Abrir facsímil")</f>
        <v>Abrir facsímil</v>
      </c>
      <c r="K2193" s="3" t="s">
        <v>64</v>
      </c>
    </row>
    <row r="2194" spans="1:11" ht="42" customHeight="1">
      <c r="A2194" s="2" t="s">
        <v>5092</v>
      </c>
      <c r="B2194" s="2" t="s">
        <v>5093</v>
      </c>
      <c r="C2194" s="2" t="s">
        <v>38</v>
      </c>
      <c r="D2194" s="2" t="s">
        <v>39</v>
      </c>
      <c r="E2194" s="5">
        <v>-31124</v>
      </c>
      <c r="F2194" s="3" t="s">
        <v>383</v>
      </c>
      <c r="G2194" s="3" t="s">
        <v>574</v>
      </c>
      <c r="H2194" s="2" t="s">
        <v>62</v>
      </c>
      <c r="I2194" s="2" t="s">
        <v>5094</v>
      </c>
      <c r="J2194" s="3" t="str">
        <f>HYPERLINK("https://www.boe.es/gazeta/dias/1814/10/13/pdfs/GMD-1814-138.pdf#page=10","Abrir facsímil")</f>
        <v>Abrir facsímil</v>
      </c>
      <c r="K2194" s="3" t="s">
        <v>64</v>
      </c>
    </row>
    <row r="2195" spans="1:11" ht="42" customHeight="1">
      <c r="A2195" s="2" t="s">
        <v>5095</v>
      </c>
      <c r="B2195" s="2" t="s">
        <v>5096</v>
      </c>
      <c r="C2195" s="2" t="s">
        <v>38</v>
      </c>
      <c r="D2195" s="2" t="s">
        <v>39</v>
      </c>
      <c r="E2195" s="5">
        <v>-31364</v>
      </c>
      <c r="F2195" s="3" t="s">
        <v>594</v>
      </c>
      <c r="G2195" s="3" t="s">
        <v>52</v>
      </c>
      <c r="H2195" s="2" t="s">
        <v>62</v>
      </c>
      <c r="I2195" s="2" t="s">
        <v>5097</v>
      </c>
      <c r="J2195" s="3" t="str">
        <f>HYPERLINK("https://www.boe.es/gazeta/dias/1814/02/15/pdfs/GRE-1814-21.pdf#page=8","Abrir facsímil")</f>
        <v>Abrir facsímil</v>
      </c>
      <c r="K2195" s="3" t="s">
        <v>64</v>
      </c>
    </row>
    <row r="2196" spans="1:11" ht="42" customHeight="1">
      <c r="A2196" s="2" t="s">
        <v>5095</v>
      </c>
      <c r="B2196" s="2" t="s">
        <v>5096</v>
      </c>
      <c r="C2196" s="2" t="s">
        <v>26</v>
      </c>
      <c r="D2196" s="2" t="s">
        <v>27</v>
      </c>
      <c r="E2196" s="5">
        <v>-31362</v>
      </c>
      <c r="F2196" s="3" t="s">
        <v>302</v>
      </c>
      <c r="G2196" s="3" t="s">
        <v>52</v>
      </c>
      <c r="H2196" s="2" t="s">
        <v>62</v>
      </c>
      <c r="I2196" s="2" t="s">
        <v>5098</v>
      </c>
      <c r="J2196" s="3" t="str">
        <f>HYPERLINK("https://www.boe.es/gazeta/dias/1814/02/17/pdfs/GRE-1814-22.pdf#page=8","Abrir facsímil")</f>
        <v>Abrir facsímil</v>
      </c>
      <c r="K2196" s="3" t="s">
        <v>64</v>
      </c>
    </row>
    <row r="2197" spans="1:11" ht="42" customHeight="1">
      <c r="A2197" s="2" t="s">
        <v>5095</v>
      </c>
      <c r="B2197" s="2" t="s">
        <v>5096</v>
      </c>
      <c r="C2197" s="2" t="s">
        <v>26</v>
      </c>
      <c r="D2197" s="2" t="s">
        <v>27</v>
      </c>
      <c r="E2197" s="5">
        <v>-31234</v>
      </c>
      <c r="F2197" s="3" t="s">
        <v>462</v>
      </c>
      <c r="G2197" s="3" t="s">
        <v>2864</v>
      </c>
      <c r="H2197" s="2" t="s">
        <v>62</v>
      </c>
      <c r="I2197" s="2" t="s">
        <v>5099</v>
      </c>
      <c r="J2197" s="3" t="str">
        <f>HYPERLINK("https://www.boe.es/gazeta/dias/1814/06/25/pdfs/GMD-1814-90.pdf#page=12","Abrir facsímil")</f>
        <v>Abrir facsímil</v>
      </c>
      <c r="K2197" s="3" t="s">
        <v>64</v>
      </c>
    </row>
    <row r="2198" spans="1:11" ht="42" customHeight="1">
      <c r="A2198" s="2" t="s">
        <v>5095</v>
      </c>
      <c r="B2198" s="2" t="s">
        <v>5096</v>
      </c>
      <c r="C2198" s="2" t="s">
        <v>26</v>
      </c>
      <c r="D2198" s="2" t="s">
        <v>27</v>
      </c>
      <c r="E2198" s="5">
        <v>-31189</v>
      </c>
      <c r="F2198" s="3" t="s">
        <v>379</v>
      </c>
      <c r="G2198" s="3" t="s">
        <v>20</v>
      </c>
      <c r="H2198" s="2" t="s">
        <v>62</v>
      </c>
      <c r="I2198" s="2" t="s">
        <v>5100</v>
      </c>
      <c r="J2198" s="3" t="str">
        <f>HYPERLINK("https://www.boe.es/gazeta/dias/1814/08/09/pdfs/GMD-1814-109.pdf#page=7","Abrir facsímil")</f>
        <v>Abrir facsímil</v>
      </c>
      <c r="K2198" s="3" t="s">
        <v>64</v>
      </c>
    </row>
    <row r="2199" spans="1:11" ht="42" customHeight="1">
      <c r="A2199" s="2" t="s">
        <v>5095</v>
      </c>
      <c r="B2199" s="2" t="s">
        <v>5096</v>
      </c>
      <c r="C2199" s="2" t="s">
        <v>45</v>
      </c>
      <c r="D2199" s="2" t="s">
        <v>18</v>
      </c>
      <c r="E2199" s="5">
        <v>-31189</v>
      </c>
      <c r="F2199" s="3" t="s">
        <v>379</v>
      </c>
      <c r="G2199" s="3" t="s">
        <v>52</v>
      </c>
      <c r="H2199" s="2" t="s">
        <v>62</v>
      </c>
      <c r="I2199" s="2" t="s">
        <v>5101</v>
      </c>
      <c r="J2199" s="3" t="str">
        <f>HYPERLINK("https://www.boe.es/gazeta/dias/1814/08/09/pdfs/GMD-1814-109.pdf#page=8","Abrir facsímil")</f>
        <v>Abrir facsímil</v>
      </c>
      <c r="K2199" s="3" t="s">
        <v>64</v>
      </c>
    </row>
    <row r="2200" spans="1:11" ht="42" customHeight="1">
      <c r="A2200" s="2" t="s">
        <v>5095</v>
      </c>
      <c r="B2200" s="2" t="s">
        <v>5096</v>
      </c>
      <c r="C2200" s="2" t="s">
        <v>26</v>
      </c>
      <c r="D2200" s="2" t="s">
        <v>27</v>
      </c>
      <c r="E2200" s="5">
        <v>-31077</v>
      </c>
      <c r="F2200" s="3" t="s">
        <v>414</v>
      </c>
      <c r="G2200" s="3" t="s">
        <v>52</v>
      </c>
      <c r="H2200" s="2" t="s">
        <v>62</v>
      </c>
      <c r="I2200" s="2" t="s">
        <v>5102</v>
      </c>
      <c r="J2200" s="3" t="str">
        <f>HYPERLINK("https://www.boe.es/gazeta/dias/1814/11/29/pdfs/GMD-1814-158.pdf#page=8","Abrir facsímil")</f>
        <v>Abrir facsímil</v>
      </c>
      <c r="K2200" s="3" t="s">
        <v>64</v>
      </c>
    </row>
    <row r="2201" spans="1:11" ht="42" customHeight="1">
      <c r="A2201" s="2" t="s">
        <v>5095</v>
      </c>
      <c r="B2201" s="2" t="s">
        <v>5096</v>
      </c>
      <c r="C2201" s="2" t="s">
        <v>26</v>
      </c>
      <c r="D2201" s="2" t="s">
        <v>27</v>
      </c>
      <c r="E2201" s="5">
        <v>-31063</v>
      </c>
      <c r="F2201" s="3" t="s">
        <v>649</v>
      </c>
      <c r="G2201" s="3" t="s">
        <v>52</v>
      </c>
      <c r="H2201" s="2" t="s">
        <v>62</v>
      </c>
      <c r="I2201" s="2" t="s">
        <v>5103</v>
      </c>
      <c r="J2201" s="3" t="str">
        <f>HYPERLINK("https://www.boe.es/gazeta/dias/1814/12/13/pdfs/GMD-1814-164.pdf#page=8","Abrir facsímil")</f>
        <v>Abrir facsímil</v>
      </c>
      <c r="K2201" s="3" t="s">
        <v>64</v>
      </c>
    </row>
    <row r="2202" spans="1:11" ht="42" customHeight="1">
      <c r="A2202" s="2" t="s">
        <v>5104</v>
      </c>
      <c r="B2202" s="2" t="s">
        <v>5105</v>
      </c>
      <c r="C2202" s="2" t="s">
        <v>105</v>
      </c>
      <c r="D2202" s="2" t="s">
        <v>18</v>
      </c>
      <c r="E2202" s="5">
        <v>-31220</v>
      </c>
      <c r="F2202" s="3" t="s">
        <v>122</v>
      </c>
      <c r="G2202" s="3" t="s">
        <v>57</v>
      </c>
      <c r="H2202" s="2" t="s">
        <v>62</v>
      </c>
      <c r="I2202" s="2" t="s">
        <v>5106</v>
      </c>
      <c r="J2202" s="3" t="str">
        <f>HYPERLINK("https://www.boe.es/gazeta/dias/1814/07/09/pdfs/GMD-1814-96.pdf#page=6","Abrir facsímil")</f>
        <v>Abrir facsímil</v>
      </c>
      <c r="K2202" s="3" t="s">
        <v>64</v>
      </c>
    </row>
    <row r="2203" spans="1:11" ht="42" customHeight="1">
      <c r="A2203" s="2" t="s">
        <v>5104</v>
      </c>
      <c r="B2203" s="2" t="s">
        <v>5105</v>
      </c>
      <c r="C2203" s="2" t="s">
        <v>26</v>
      </c>
      <c r="D2203" s="2" t="s">
        <v>27</v>
      </c>
      <c r="E2203" s="5">
        <v>-31171</v>
      </c>
      <c r="F2203" s="3" t="s">
        <v>157</v>
      </c>
      <c r="G2203" s="3" t="s">
        <v>158</v>
      </c>
      <c r="H2203" s="2" t="s">
        <v>62</v>
      </c>
      <c r="I2203" s="2" t="s">
        <v>5107</v>
      </c>
      <c r="J2203" s="3" t="str">
        <f>HYPERLINK("https://www.boe.es/gazeta/dias/1814/08/27/pdfs/GMD-1814-117.pdf#page=7","Abrir facsímil")</f>
        <v>Abrir facsímil</v>
      </c>
      <c r="K2203" s="3" t="s">
        <v>64</v>
      </c>
    </row>
    <row r="2204" spans="1:11" ht="42" customHeight="1">
      <c r="A2204" s="2" t="s">
        <v>5108</v>
      </c>
      <c r="B2204" s="2" t="s">
        <v>5109</v>
      </c>
      <c r="C2204" s="2" t="s">
        <v>45</v>
      </c>
      <c r="D2204" s="2" t="s">
        <v>18</v>
      </c>
      <c r="E2204" s="5">
        <v>-31082</v>
      </c>
      <c r="F2204" s="3" t="s">
        <v>535</v>
      </c>
      <c r="G2204" s="3" t="s">
        <v>2461</v>
      </c>
      <c r="H2204" s="2" t="s">
        <v>62</v>
      </c>
      <c r="I2204" s="2" t="s">
        <v>5110</v>
      </c>
      <c r="J2204" s="3" t="str">
        <f>HYPERLINK("https://www.boe.es/gazeta/dias/1814/11/24/pdfs/GMD-1814-156.pdf#page=7","Abrir facsímil")</f>
        <v>Abrir facsímil</v>
      </c>
      <c r="K2204" s="3" t="s">
        <v>64</v>
      </c>
    </row>
    <row r="2205" spans="1:11" ht="42" customHeight="1">
      <c r="A2205" s="2" t="s">
        <v>5111</v>
      </c>
      <c r="B2205" s="2" t="s">
        <v>5112</v>
      </c>
      <c r="C2205" s="2" t="s">
        <v>26</v>
      </c>
      <c r="D2205" s="2" t="s">
        <v>27</v>
      </c>
      <c r="E2205" s="5">
        <v>-31269</v>
      </c>
      <c r="F2205" s="3" t="s">
        <v>496</v>
      </c>
      <c r="G2205" s="3" t="s">
        <v>41</v>
      </c>
      <c r="H2205" s="2" t="s">
        <v>62</v>
      </c>
      <c r="I2205" s="2" t="s">
        <v>5113</v>
      </c>
      <c r="J2205" s="3" t="str">
        <f>HYPERLINK("https://www.boe.es/gazeta/dias/1814/05/21/pdfs/GMD-1814-75.pdf#page=4","Abrir facsímil")</f>
        <v>Abrir facsímil</v>
      </c>
      <c r="K2205" s="3" t="s">
        <v>64</v>
      </c>
    </row>
    <row r="2206" spans="1:11" ht="42" customHeight="1">
      <c r="A2206" s="2" t="s">
        <v>5114</v>
      </c>
      <c r="B2206" s="2" t="s">
        <v>5115</v>
      </c>
      <c r="C2206" s="2" t="s">
        <v>26</v>
      </c>
      <c r="D2206" s="2" t="s">
        <v>27</v>
      </c>
      <c r="E2206" s="5">
        <v>-31059</v>
      </c>
      <c r="F2206" s="3" t="s">
        <v>263</v>
      </c>
      <c r="G2206" s="3" t="s">
        <v>264</v>
      </c>
      <c r="H2206" s="2" t="s">
        <v>62</v>
      </c>
      <c r="I2206" s="2" t="s">
        <v>5116</v>
      </c>
      <c r="J2206" s="3" t="str">
        <f>HYPERLINK("https://www.boe.es/gazeta/dias/1814/12/17/pdfs/GMD-1814-167.pdf#page=7","Abrir facsímil")</f>
        <v>Abrir facsímil</v>
      </c>
      <c r="K2206" s="3" t="s">
        <v>64</v>
      </c>
    </row>
    <row r="2207" spans="1:11" ht="42" customHeight="1">
      <c r="A2207" s="2" t="s">
        <v>5117</v>
      </c>
      <c r="B2207" s="2" t="s">
        <v>5118</v>
      </c>
      <c r="C2207" s="2" t="s">
        <v>32</v>
      </c>
      <c r="D2207" s="2" t="s">
        <v>18</v>
      </c>
      <c r="E2207" s="5">
        <v>-31066</v>
      </c>
      <c r="F2207" s="3" t="s">
        <v>1323</v>
      </c>
      <c r="G2207" s="3" t="s">
        <v>52</v>
      </c>
      <c r="H2207" s="2" t="s">
        <v>62</v>
      </c>
      <c r="I2207" s="2" t="s">
        <v>5119</v>
      </c>
      <c r="J2207" s="3" t="str">
        <f>HYPERLINK("https://www.boe.es/gazeta/dias/1814/12/10/pdfs/GMD-1814-163.pdf#page=8","Abrir facsímil")</f>
        <v>Abrir facsímil</v>
      </c>
      <c r="K2207" s="3" t="s">
        <v>64</v>
      </c>
    </row>
    <row r="2208" spans="1:11" ht="42" customHeight="1">
      <c r="A2208" s="2" t="s">
        <v>5120</v>
      </c>
      <c r="B2208" s="2" t="s">
        <v>5121</v>
      </c>
      <c r="C2208" s="2" t="s">
        <v>38</v>
      </c>
      <c r="D2208" s="2" t="s">
        <v>39</v>
      </c>
      <c r="E2208" s="5">
        <v>-31292</v>
      </c>
      <c r="F2208" s="3" t="s">
        <v>557</v>
      </c>
      <c r="G2208" s="3" t="s">
        <v>20</v>
      </c>
      <c r="H2208" s="2" t="s">
        <v>62</v>
      </c>
      <c r="I2208" s="2" t="s">
        <v>5122</v>
      </c>
      <c r="J2208" s="3" t="str">
        <f>HYPERLINK("https://www.boe.es/gazeta/dias/1814/04/28/pdfs/GRE-1814-63.pdf#page=7","Abrir facsímil")</f>
        <v>Abrir facsímil</v>
      </c>
      <c r="K2208" s="3" t="s">
        <v>64</v>
      </c>
    </row>
    <row r="2209" spans="1:11" ht="42" customHeight="1">
      <c r="A2209" s="2" t="s">
        <v>5123</v>
      </c>
      <c r="B2209" s="2" t="s">
        <v>5124</v>
      </c>
      <c r="C2209" s="2" t="s">
        <v>38</v>
      </c>
      <c r="D2209" s="2" t="s">
        <v>39</v>
      </c>
      <c r="E2209" s="5">
        <v>-31201</v>
      </c>
      <c r="F2209" s="3" t="s">
        <v>863</v>
      </c>
      <c r="G2209" s="3" t="s">
        <v>20</v>
      </c>
      <c r="H2209" s="2" t="s">
        <v>21</v>
      </c>
      <c r="I2209" s="2" t="s">
        <v>5125</v>
      </c>
      <c r="J2209" s="3" t="str">
        <f>HYPERLINK("https://www.boe.es/gazeta/dias/1814/07/28/pdfs/GMD-1814-104.pdf#page=7","Abrir facsímil")</f>
        <v>Abrir facsímil</v>
      </c>
      <c r="K2209" s="3" t="s">
        <v>23</v>
      </c>
    </row>
    <row r="2210" spans="1:11" ht="42" customHeight="1">
      <c r="A2210" s="2" t="s">
        <v>5126</v>
      </c>
      <c r="B2210" s="2" t="s">
        <v>5127</v>
      </c>
      <c r="C2210" s="2" t="s">
        <v>26</v>
      </c>
      <c r="D2210" s="2" t="s">
        <v>27</v>
      </c>
      <c r="E2210" s="5">
        <v>-31364</v>
      </c>
      <c r="F2210" s="3" t="s">
        <v>594</v>
      </c>
      <c r="G2210" s="3" t="s">
        <v>57</v>
      </c>
      <c r="H2210" s="2" t="s">
        <v>62</v>
      </c>
      <c r="I2210" s="2" t="s">
        <v>5128</v>
      </c>
      <c r="J2210" s="3" t="str">
        <f>HYPERLINK("https://www.boe.es/gazeta/dias/1814/02/15/pdfs/GRE-1814-21.pdf#page=6","Abrir facsímil")</f>
        <v>Abrir facsímil</v>
      </c>
      <c r="K2210" s="3" t="s">
        <v>64</v>
      </c>
    </row>
    <row r="2211" spans="1:11" ht="42" customHeight="1">
      <c r="A2211" s="2" t="s">
        <v>5126</v>
      </c>
      <c r="B2211" s="2" t="s">
        <v>5127</v>
      </c>
      <c r="C2211" s="2" t="s">
        <v>26</v>
      </c>
      <c r="D2211" s="2" t="s">
        <v>27</v>
      </c>
      <c r="E2211" s="5">
        <v>-31213</v>
      </c>
      <c r="F2211" s="3" t="s">
        <v>276</v>
      </c>
      <c r="G2211" s="3" t="s">
        <v>57</v>
      </c>
      <c r="H2211" s="2" t="s">
        <v>62</v>
      </c>
      <c r="I2211" s="2" t="s">
        <v>5129</v>
      </c>
      <c r="J2211" s="3" t="str">
        <f>HYPERLINK("https://www.boe.es/gazeta/dias/1814/07/16/pdfs/GMD-1814-99.pdf#page=6","Abrir facsímil")</f>
        <v>Abrir facsímil</v>
      </c>
      <c r="K2211" s="3" t="s">
        <v>64</v>
      </c>
    </row>
    <row r="2212" spans="1:11" ht="42" customHeight="1">
      <c r="A2212" s="2" t="s">
        <v>5130</v>
      </c>
      <c r="B2212" s="2" t="s">
        <v>5131</v>
      </c>
      <c r="C2212" s="2" t="s">
        <v>38</v>
      </c>
      <c r="D2212" s="2" t="s">
        <v>39</v>
      </c>
      <c r="E2212" s="5">
        <v>-31350</v>
      </c>
      <c r="F2212" s="3" t="s">
        <v>377</v>
      </c>
      <c r="G2212" s="3" t="s">
        <v>20</v>
      </c>
      <c r="H2212" s="2" t="s">
        <v>62</v>
      </c>
      <c r="I2212" s="2" t="s">
        <v>5132</v>
      </c>
      <c r="J2212" s="3" t="str">
        <f>HYPERLINK("https://www.boe.es/gazeta/dias/1814/03/01/pdfs/GRE-1814-28.pdf#page=7","Abrir facsímil")</f>
        <v>Abrir facsímil</v>
      </c>
      <c r="K2212" s="3" t="s">
        <v>64</v>
      </c>
    </row>
    <row r="2213" spans="1:11" ht="42" customHeight="1">
      <c r="A2213" s="2" t="s">
        <v>5133</v>
      </c>
      <c r="B2213" s="2" t="s">
        <v>5134</v>
      </c>
      <c r="C2213" s="2" t="s">
        <v>38</v>
      </c>
      <c r="D2213" s="2" t="s">
        <v>39</v>
      </c>
      <c r="E2213" s="5">
        <v>-31122</v>
      </c>
      <c r="F2213" s="3" t="s">
        <v>28</v>
      </c>
      <c r="G2213" s="3" t="s">
        <v>52</v>
      </c>
      <c r="H2213" s="2" t="s">
        <v>62</v>
      </c>
      <c r="I2213" s="2" t="s">
        <v>5135</v>
      </c>
      <c r="J2213" s="3" t="str">
        <f>HYPERLINK("https://www.boe.es/gazeta/dias/1814/10/15/pdfs/GMD-1814-139.pdf#page=8","Abrir facsímil")</f>
        <v>Abrir facsímil</v>
      </c>
      <c r="K2213" s="3" t="s">
        <v>64</v>
      </c>
    </row>
    <row r="2214" spans="1:11" ht="42" customHeight="1">
      <c r="A2214" s="2" t="s">
        <v>5136</v>
      </c>
      <c r="B2214" s="2" t="s">
        <v>5137</v>
      </c>
      <c r="C2214" s="2" t="s">
        <v>38</v>
      </c>
      <c r="D2214" s="2" t="s">
        <v>39</v>
      </c>
      <c r="E2214" s="5">
        <v>-31129</v>
      </c>
      <c r="F2214" s="3" t="s">
        <v>418</v>
      </c>
      <c r="G2214" s="3" t="s">
        <v>20</v>
      </c>
      <c r="H2214" s="2" t="s">
        <v>62</v>
      </c>
      <c r="I2214" s="2" t="s">
        <v>5138</v>
      </c>
      <c r="J2214" s="3" t="str">
        <f>HYPERLINK("https://www.boe.es/gazeta/dias/1814/10/08/pdfs/GMD-1814-136.pdf#page=7","Abrir facsímil")</f>
        <v>Abrir facsímil</v>
      </c>
      <c r="K2214" s="3" t="s">
        <v>64</v>
      </c>
    </row>
    <row r="2215" spans="1:11" ht="42" customHeight="1">
      <c r="A2215" s="2" t="s">
        <v>5139</v>
      </c>
      <c r="B2215" s="2" t="s">
        <v>5140</v>
      </c>
      <c r="C2215" s="2" t="s">
        <v>38</v>
      </c>
      <c r="D2215" s="2" t="s">
        <v>39</v>
      </c>
      <c r="E2215" s="5">
        <v>-31122</v>
      </c>
      <c r="F2215" s="3" t="s">
        <v>28</v>
      </c>
      <c r="G2215" s="3" t="s">
        <v>20</v>
      </c>
      <c r="H2215" s="2" t="s">
        <v>21</v>
      </c>
      <c r="I2215" s="2" t="s">
        <v>5141</v>
      </c>
      <c r="J2215" s="3" t="str">
        <f>HYPERLINK("https://www.boe.es/gazeta/dias/1814/10/15/pdfs/GMD-1814-139.pdf#page=7","Abrir facsímil")</f>
        <v>Abrir facsímil</v>
      </c>
      <c r="K2215" s="3" t="s">
        <v>23</v>
      </c>
    </row>
    <row r="2216" spans="1:11" ht="42" customHeight="1">
      <c r="A2216" s="2" t="s">
        <v>5142</v>
      </c>
      <c r="B2216" s="2" t="s">
        <v>5143</v>
      </c>
      <c r="C2216" s="2" t="s">
        <v>45</v>
      </c>
      <c r="D2216" s="2" t="s">
        <v>18</v>
      </c>
      <c r="E2216" s="5">
        <v>-31131</v>
      </c>
      <c r="F2216" s="3" t="s">
        <v>132</v>
      </c>
      <c r="G2216" s="3" t="s">
        <v>4347</v>
      </c>
      <c r="H2216" s="2" t="s">
        <v>62</v>
      </c>
      <c r="I2216" s="2" t="s">
        <v>5144</v>
      </c>
      <c r="J2216" s="3" t="str">
        <f>HYPERLINK("https://www.boe.es/gazeta/dias/1814/10/06/pdfs/GMD-1814-135.pdf#page=8","Abrir facsímil")</f>
        <v>Abrir facsímil</v>
      </c>
      <c r="K2216" s="3" t="s">
        <v>64</v>
      </c>
    </row>
    <row r="2217" spans="1:11" ht="42" customHeight="1">
      <c r="A2217" s="2" t="s">
        <v>5145</v>
      </c>
      <c r="B2217" s="2" t="s">
        <v>5146</v>
      </c>
      <c r="C2217" s="2" t="s">
        <v>38</v>
      </c>
      <c r="D2217" s="2" t="s">
        <v>39</v>
      </c>
      <c r="E2217" s="5">
        <v>-31332</v>
      </c>
      <c r="F2217" s="3" t="s">
        <v>343</v>
      </c>
      <c r="G2217" s="3" t="s">
        <v>82</v>
      </c>
      <c r="H2217" s="2" t="s">
        <v>62</v>
      </c>
      <c r="I2217" s="2" t="s">
        <v>5147</v>
      </c>
      <c r="J2217" s="3" t="str">
        <f>HYPERLINK("https://www.boe.es/gazeta/dias/1814/03/19/pdfs/GRE-1814-38.pdf#page=3","Abrir facsímil")</f>
        <v>Abrir facsímil</v>
      </c>
      <c r="K2217" s="3" t="s">
        <v>64</v>
      </c>
    </row>
    <row r="2218" spans="1:11" ht="42" customHeight="1">
      <c r="A2218" s="2" t="s">
        <v>5148</v>
      </c>
      <c r="B2218" s="2" t="s">
        <v>5149</v>
      </c>
      <c r="C2218" s="2" t="s">
        <v>38</v>
      </c>
      <c r="D2218" s="2" t="s">
        <v>314</v>
      </c>
      <c r="E2218" s="5">
        <v>-31296</v>
      </c>
      <c r="F2218" s="3" t="s">
        <v>315</v>
      </c>
      <c r="G2218" s="3" t="s">
        <v>52</v>
      </c>
      <c r="H2218" s="2" t="s">
        <v>62</v>
      </c>
      <c r="I2218" s="2" t="s">
        <v>5150</v>
      </c>
      <c r="J2218" s="3" t="str">
        <f>HYPERLINK("https://www.boe.es/gazeta/dias/1814/04/24/pdfs/GRE-1814-60E.pdf#page=8","Abrir facsímil")</f>
        <v>Abrir facsímil</v>
      </c>
      <c r="K2218" s="3" t="s">
        <v>64</v>
      </c>
    </row>
    <row r="2219" spans="1:11" ht="42" customHeight="1">
      <c r="A2219" s="2" t="s">
        <v>5151</v>
      </c>
      <c r="B2219" s="2" t="s">
        <v>5152</v>
      </c>
      <c r="C2219" s="2" t="s">
        <v>26</v>
      </c>
      <c r="D2219" s="2" t="s">
        <v>27</v>
      </c>
      <c r="E2219" s="5">
        <v>-31178</v>
      </c>
      <c r="F2219" s="3" t="s">
        <v>1390</v>
      </c>
      <c r="G2219" s="3" t="s">
        <v>99</v>
      </c>
      <c r="H2219" s="2" t="s">
        <v>62</v>
      </c>
      <c r="I2219" s="2" t="s">
        <v>5153</v>
      </c>
      <c r="J2219" s="3" t="str">
        <f>HYPERLINK("https://www.boe.es/gazeta/dias/1814/08/20/pdfs/GMD-1814-114.pdf#page=5","Abrir facsímil")</f>
        <v>Abrir facsímil</v>
      </c>
      <c r="K2219" s="3" t="s">
        <v>64</v>
      </c>
    </row>
    <row r="2220" spans="1:11" ht="42" customHeight="1">
      <c r="A2220" s="2" t="s">
        <v>5154</v>
      </c>
      <c r="B2220" s="2" t="s">
        <v>5155</v>
      </c>
      <c r="C2220" s="2" t="s">
        <v>32</v>
      </c>
      <c r="D2220" s="2" t="s">
        <v>18</v>
      </c>
      <c r="E2220" s="5">
        <v>-31157</v>
      </c>
      <c r="F2220" s="3" t="s">
        <v>206</v>
      </c>
      <c r="G2220" s="3" t="s">
        <v>57</v>
      </c>
      <c r="H2220" s="2" t="s">
        <v>21</v>
      </c>
      <c r="I2220" s="2" t="s">
        <v>5156</v>
      </c>
      <c r="J2220" s="3" t="str">
        <f>HYPERLINK("https://www.boe.es/gazeta/dias/1814/09/10/pdfs/GMD-1814-124.pdf#page=6","Abrir facsímil")</f>
        <v>Abrir facsímil</v>
      </c>
      <c r="K2220" s="3" t="s">
        <v>23</v>
      </c>
    </row>
    <row r="2221" spans="1:11" ht="42" customHeight="1">
      <c r="A2221" s="2" t="s">
        <v>5157</v>
      </c>
      <c r="B2221" s="2" t="s">
        <v>5158</v>
      </c>
      <c r="C2221" s="2" t="s">
        <v>38</v>
      </c>
      <c r="D2221" s="2" t="s">
        <v>39</v>
      </c>
      <c r="E2221" s="5">
        <v>-31252</v>
      </c>
      <c r="F2221" s="3" t="s">
        <v>364</v>
      </c>
      <c r="G2221" s="3" t="s">
        <v>57</v>
      </c>
      <c r="H2221" s="2" t="s">
        <v>62</v>
      </c>
      <c r="I2221" s="2" t="s">
        <v>5159</v>
      </c>
      <c r="J2221" s="3" t="str">
        <f>HYPERLINK("https://www.boe.es/gazeta/dias/1814/06/07/pdfs/GMD-1814-82.pdf#page=6","Abrir facsímil")</f>
        <v>Abrir facsímil</v>
      </c>
      <c r="K2221" s="3" t="s">
        <v>64</v>
      </c>
    </row>
    <row r="2222" spans="1:11" ht="42" customHeight="1">
      <c r="A2222" s="2" t="s">
        <v>5160</v>
      </c>
      <c r="B2222" s="2" t="s">
        <v>5161</v>
      </c>
      <c r="C2222" s="2" t="s">
        <v>26</v>
      </c>
      <c r="D2222" s="2" t="s">
        <v>27</v>
      </c>
      <c r="E2222" s="5">
        <v>-31252</v>
      </c>
      <c r="F2222" s="3" t="s">
        <v>364</v>
      </c>
      <c r="G2222" s="3" t="s">
        <v>20</v>
      </c>
      <c r="H2222" s="2" t="s">
        <v>62</v>
      </c>
      <c r="I2222" s="2" t="s">
        <v>5162</v>
      </c>
      <c r="J2222" s="3" t="str">
        <f>HYPERLINK("https://www.boe.es/gazeta/dias/1814/06/07/pdfs/GMD-1814-82.pdf#page=7","Abrir facsímil")</f>
        <v>Abrir facsímil</v>
      </c>
      <c r="K2222" s="3" t="s">
        <v>64</v>
      </c>
    </row>
    <row r="2223" spans="1:11" ht="42" customHeight="1">
      <c r="A2223" s="2" t="s">
        <v>5163</v>
      </c>
      <c r="B2223" s="2" t="s">
        <v>5164</v>
      </c>
      <c r="C2223" s="2" t="s">
        <v>26</v>
      </c>
      <c r="D2223" s="2" t="s">
        <v>27</v>
      </c>
      <c r="E2223" s="5">
        <v>-31315</v>
      </c>
      <c r="F2223" s="3" t="s">
        <v>645</v>
      </c>
      <c r="G2223" s="3" t="s">
        <v>52</v>
      </c>
      <c r="H2223" s="2" t="s">
        <v>62</v>
      </c>
      <c r="I2223" s="2" t="s">
        <v>5165</v>
      </c>
      <c r="J2223" s="3" t="str">
        <f>HYPERLINK("https://www.boe.es/gazeta/dias/1814/04/05/pdfs/GRE-1814-49.pdf#page=8","Abrir facsímil")</f>
        <v>Abrir facsímil</v>
      </c>
      <c r="K2223" s="3" t="s">
        <v>64</v>
      </c>
    </row>
    <row r="2224" spans="1:11" ht="42" customHeight="1">
      <c r="A2224" s="2" t="s">
        <v>5163</v>
      </c>
      <c r="B2224" s="2" t="s">
        <v>5164</v>
      </c>
      <c r="C2224" s="2" t="s">
        <v>26</v>
      </c>
      <c r="D2224" s="2" t="s">
        <v>27</v>
      </c>
      <c r="E2224" s="5">
        <v>-31269</v>
      </c>
      <c r="F2224" s="3" t="s">
        <v>496</v>
      </c>
      <c r="G2224" s="3" t="s">
        <v>41</v>
      </c>
      <c r="H2224" s="2" t="s">
        <v>62</v>
      </c>
      <c r="I2224" s="2" t="s">
        <v>5166</v>
      </c>
      <c r="J2224" s="3" t="str">
        <f>HYPERLINK("https://www.boe.es/gazeta/dias/1814/05/21/pdfs/GMD-1814-75.pdf#page=4","Abrir facsímil")</f>
        <v>Abrir facsímil</v>
      </c>
      <c r="K2224" s="3" t="s">
        <v>64</v>
      </c>
    </row>
    <row r="2225" spans="1:11" ht="42" customHeight="1">
      <c r="A2225" s="2" t="s">
        <v>5163</v>
      </c>
      <c r="B2225" s="2" t="s">
        <v>5164</v>
      </c>
      <c r="C2225" s="2" t="s">
        <v>26</v>
      </c>
      <c r="D2225" s="2" t="s">
        <v>27</v>
      </c>
      <c r="E2225" s="5">
        <v>-31250</v>
      </c>
      <c r="F2225" s="3" t="s">
        <v>177</v>
      </c>
      <c r="G2225" s="3" t="s">
        <v>52</v>
      </c>
      <c r="H2225" s="2" t="s">
        <v>62</v>
      </c>
      <c r="I2225" s="2" t="s">
        <v>5167</v>
      </c>
      <c r="J2225" s="3" t="str">
        <f>HYPERLINK("https://www.boe.es/gazeta/dias/1814/06/09/pdfs/GMD-1814-83.pdf#page=8","Abrir facsímil")</f>
        <v>Abrir facsímil</v>
      </c>
      <c r="K2225" s="3" t="s">
        <v>64</v>
      </c>
    </row>
    <row r="2226" spans="1:11" ht="42" customHeight="1">
      <c r="A2226" s="2" t="s">
        <v>5163</v>
      </c>
      <c r="B2226" s="2" t="s">
        <v>5164</v>
      </c>
      <c r="C2226" s="2" t="s">
        <v>26</v>
      </c>
      <c r="D2226" s="2" t="s">
        <v>27</v>
      </c>
      <c r="E2226" s="5">
        <v>-31152</v>
      </c>
      <c r="F2226" s="3" t="s">
        <v>199</v>
      </c>
      <c r="G2226" s="3" t="s">
        <v>52</v>
      </c>
      <c r="H2226" s="2" t="s">
        <v>62</v>
      </c>
      <c r="I2226" s="2" t="s">
        <v>5168</v>
      </c>
      <c r="J2226" s="3" t="str">
        <f>HYPERLINK("https://www.boe.es/gazeta/dias/1814/09/15/pdfs/GMD-1814-126.pdf#page=8","Abrir facsímil")</f>
        <v>Abrir facsímil</v>
      </c>
      <c r="K2226" s="3" t="s">
        <v>64</v>
      </c>
    </row>
    <row r="2227" spans="1:11" ht="42" customHeight="1">
      <c r="A2227" s="2" t="s">
        <v>5169</v>
      </c>
      <c r="B2227" s="2" t="s">
        <v>5170</v>
      </c>
      <c r="C2227" s="2" t="s">
        <v>38</v>
      </c>
      <c r="D2227" s="2" t="s">
        <v>39</v>
      </c>
      <c r="E2227" s="5">
        <v>-31329</v>
      </c>
      <c r="F2227" s="3" t="s">
        <v>621</v>
      </c>
      <c r="G2227" s="3" t="s">
        <v>2755</v>
      </c>
      <c r="H2227" s="2" t="s">
        <v>62</v>
      </c>
      <c r="I2227" s="2" t="s">
        <v>5171</v>
      </c>
      <c r="J2227" s="3" t="str">
        <f>HYPERLINK("https://www.boe.es/gazeta/dias/1814/03/22/pdfs/GRE-1814-39.pdf#page=8","Abrir facsímil")</f>
        <v>Abrir facsímil</v>
      </c>
      <c r="K2227" s="3" t="s">
        <v>64</v>
      </c>
    </row>
    <row r="2228" spans="1:11" ht="42" customHeight="1">
      <c r="A2228" s="2" t="s">
        <v>5169</v>
      </c>
      <c r="B2228" s="2" t="s">
        <v>5170</v>
      </c>
      <c r="C2228" s="2" t="s">
        <v>26</v>
      </c>
      <c r="D2228" s="2" t="s">
        <v>27</v>
      </c>
      <c r="E2228" s="5">
        <v>-31157</v>
      </c>
      <c r="F2228" s="3" t="s">
        <v>206</v>
      </c>
      <c r="G2228" s="3" t="s">
        <v>57</v>
      </c>
      <c r="H2228" s="2" t="s">
        <v>62</v>
      </c>
      <c r="I2228" s="2" t="s">
        <v>5172</v>
      </c>
      <c r="J2228" s="3" t="str">
        <f>HYPERLINK("https://www.boe.es/gazeta/dias/1814/09/10/pdfs/GMD-1814-124.pdf#page=6","Abrir facsímil")</f>
        <v>Abrir facsímil</v>
      </c>
      <c r="K2228" s="3" t="s">
        <v>64</v>
      </c>
    </row>
    <row r="2229" spans="1:11" ht="42" customHeight="1">
      <c r="A2229" s="2" t="s">
        <v>5173</v>
      </c>
      <c r="B2229" s="2" t="s">
        <v>5174</v>
      </c>
      <c r="C2229" s="2" t="s">
        <v>38</v>
      </c>
      <c r="D2229" s="2" t="s">
        <v>39</v>
      </c>
      <c r="E2229" s="5">
        <v>-31229</v>
      </c>
      <c r="F2229" s="3" t="s">
        <v>502</v>
      </c>
      <c r="G2229" s="3" t="s">
        <v>99</v>
      </c>
      <c r="H2229" s="2" t="s">
        <v>62</v>
      </c>
      <c r="I2229" s="2" t="s">
        <v>5175</v>
      </c>
      <c r="J2229" s="3" t="str">
        <f>HYPERLINK("https://www.boe.es/gazeta/dias/1814/06/30/pdfs/GMD-1814-92.pdf#page=5","Abrir facsímil")</f>
        <v>Abrir facsímil</v>
      </c>
      <c r="K2229" s="3" t="s">
        <v>64</v>
      </c>
    </row>
    <row r="2230" spans="1:11" ht="42" customHeight="1">
      <c r="A2230" s="2" t="s">
        <v>5176</v>
      </c>
      <c r="B2230" s="2" t="s">
        <v>5177</v>
      </c>
      <c r="C2230" s="2" t="s">
        <v>38</v>
      </c>
      <c r="D2230" s="2" t="s">
        <v>39</v>
      </c>
      <c r="E2230" s="5">
        <v>-31357</v>
      </c>
      <c r="F2230" s="3" t="s">
        <v>1460</v>
      </c>
      <c r="G2230" s="3" t="s">
        <v>57</v>
      </c>
      <c r="H2230" s="2" t="s">
        <v>62</v>
      </c>
      <c r="I2230" s="2" t="s">
        <v>5178</v>
      </c>
      <c r="J2230" s="3" t="str">
        <f>HYPERLINK("https://www.boe.es/gazeta/dias/1814/02/22/pdfs/GRE-1814-25.pdf#page=6","Abrir facsímil")</f>
        <v>Abrir facsímil</v>
      </c>
      <c r="K2230" s="3" t="s">
        <v>64</v>
      </c>
    </row>
    <row r="2231" spans="1:11" ht="42" customHeight="1">
      <c r="A2231" s="2" t="s">
        <v>5176</v>
      </c>
      <c r="B2231" s="2" t="s">
        <v>5177</v>
      </c>
      <c r="C2231" s="2" t="s">
        <v>26</v>
      </c>
      <c r="D2231" s="2" t="s">
        <v>27</v>
      </c>
      <c r="E2231" s="5">
        <v>-31229</v>
      </c>
      <c r="F2231" s="3" t="s">
        <v>502</v>
      </c>
      <c r="G2231" s="3" t="s">
        <v>57</v>
      </c>
      <c r="H2231" s="2" t="s">
        <v>62</v>
      </c>
      <c r="I2231" s="2" t="s">
        <v>5179</v>
      </c>
      <c r="J2231" s="3" t="str">
        <f>HYPERLINK("https://www.boe.es/gazeta/dias/1814/06/30/pdfs/GMD-1814-92.pdf#page=6","Abrir facsímil")</f>
        <v>Abrir facsímil</v>
      </c>
      <c r="K2231" s="3" t="s">
        <v>64</v>
      </c>
    </row>
    <row r="2232" spans="1:11" ht="42" customHeight="1">
      <c r="A2232" s="2" t="s">
        <v>5176</v>
      </c>
      <c r="B2232" s="2" t="s">
        <v>5177</v>
      </c>
      <c r="C2232" s="2" t="s">
        <v>26</v>
      </c>
      <c r="D2232" s="2" t="s">
        <v>27</v>
      </c>
      <c r="E2232" s="5">
        <v>-31224</v>
      </c>
      <c r="F2232" s="3" t="s">
        <v>609</v>
      </c>
      <c r="G2232" s="3" t="s">
        <v>20</v>
      </c>
      <c r="H2232" s="2" t="s">
        <v>62</v>
      </c>
      <c r="I2232" s="2" t="s">
        <v>5180</v>
      </c>
      <c r="J2232" s="3" t="str">
        <f>HYPERLINK("https://www.boe.es/gazeta/dias/1814/07/05/pdfs/GMD-1814-94.pdf#page=7","Abrir facsímil")</f>
        <v>Abrir facsímil</v>
      </c>
      <c r="K2232" s="3" t="s">
        <v>64</v>
      </c>
    </row>
    <row r="2233" spans="1:11" ht="42" customHeight="1">
      <c r="A2233" s="2" t="s">
        <v>5176</v>
      </c>
      <c r="B2233" s="2" t="s">
        <v>5177</v>
      </c>
      <c r="C2233" s="2" t="s">
        <v>38</v>
      </c>
      <c r="D2233" s="2" t="s">
        <v>39</v>
      </c>
      <c r="E2233" s="5">
        <v>-31152</v>
      </c>
      <c r="F2233" s="3" t="s">
        <v>199</v>
      </c>
      <c r="G2233" s="3" t="s">
        <v>41</v>
      </c>
      <c r="H2233" s="2" t="s">
        <v>62</v>
      </c>
      <c r="I2233" s="2" t="s">
        <v>5181</v>
      </c>
      <c r="J2233" s="3" t="str">
        <f>HYPERLINK("https://www.boe.es/gazeta/dias/1814/09/15/pdfs/GMD-1814-126.pdf#page=4","Abrir facsímil")</f>
        <v>Abrir facsímil</v>
      </c>
      <c r="K2233" s="3" t="s">
        <v>64</v>
      </c>
    </row>
    <row r="2234" spans="1:11" ht="42" customHeight="1">
      <c r="A2234" s="2" t="s">
        <v>5176</v>
      </c>
      <c r="B2234" s="2" t="s">
        <v>5177</v>
      </c>
      <c r="C2234" s="2" t="s">
        <v>17</v>
      </c>
      <c r="D2234" s="2" t="s">
        <v>18</v>
      </c>
      <c r="E2234" s="5">
        <v>-31136</v>
      </c>
      <c r="F2234" s="3" t="s">
        <v>956</v>
      </c>
      <c r="G2234" s="3" t="s">
        <v>1254</v>
      </c>
      <c r="H2234" s="2" t="s">
        <v>62</v>
      </c>
      <c r="I2234" s="2" t="s">
        <v>5182</v>
      </c>
      <c r="J2234" s="3" t="str">
        <f>HYPERLINK("https://www.boe.es/gazeta/dias/1814/10/01/pdfs/GMD-1814-133.pdf#page=9","Abrir facsímil")</f>
        <v>Abrir facsímil</v>
      </c>
      <c r="K2234" s="3" t="s">
        <v>64</v>
      </c>
    </row>
    <row r="2235" spans="1:11" ht="42" customHeight="1">
      <c r="A2235" s="2" t="s">
        <v>5176</v>
      </c>
      <c r="B2235" s="2" t="s">
        <v>5177</v>
      </c>
      <c r="C2235" s="2" t="s">
        <v>17</v>
      </c>
      <c r="D2235" s="2" t="s">
        <v>18</v>
      </c>
      <c r="E2235" s="5">
        <v>-31122</v>
      </c>
      <c r="F2235" s="3" t="s">
        <v>28</v>
      </c>
      <c r="G2235" s="3" t="s">
        <v>20</v>
      </c>
      <c r="H2235" s="2" t="s">
        <v>62</v>
      </c>
      <c r="I2235" s="2" t="s">
        <v>5183</v>
      </c>
      <c r="J2235" s="3" t="str">
        <f>HYPERLINK("https://www.boe.es/gazeta/dias/1814/10/15/pdfs/GMD-1814-139.pdf#page=7","Abrir facsímil")</f>
        <v>Abrir facsímil</v>
      </c>
      <c r="K2235" s="3" t="s">
        <v>64</v>
      </c>
    </row>
    <row r="2236" spans="1:11" ht="42" customHeight="1">
      <c r="A2236" s="2" t="s">
        <v>5184</v>
      </c>
      <c r="B2236" s="2" t="s">
        <v>5185</v>
      </c>
      <c r="C2236" s="2" t="s">
        <v>38</v>
      </c>
      <c r="D2236" s="2" t="s">
        <v>39</v>
      </c>
      <c r="E2236" s="5">
        <v>-31178</v>
      </c>
      <c r="F2236" s="3" t="s">
        <v>1390</v>
      </c>
      <c r="G2236" s="3" t="s">
        <v>20</v>
      </c>
      <c r="H2236" s="2" t="s">
        <v>62</v>
      </c>
      <c r="I2236" s="2" t="s">
        <v>5186</v>
      </c>
      <c r="J2236" s="3" t="str">
        <f>HYPERLINK("https://www.boe.es/gazeta/dias/1814/08/20/pdfs/GMD-1814-114.pdf#page=7","Abrir facsímil")</f>
        <v>Abrir facsímil</v>
      </c>
      <c r="K2236" s="3" t="s">
        <v>64</v>
      </c>
    </row>
    <row r="2237" spans="1:11" ht="42" customHeight="1">
      <c r="A2237" s="2" t="s">
        <v>5187</v>
      </c>
      <c r="B2237" s="2" t="s">
        <v>5188</v>
      </c>
      <c r="C2237" s="2" t="s">
        <v>38</v>
      </c>
      <c r="D2237" s="2" t="s">
        <v>39</v>
      </c>
      <c r="E2237" s="5">
        <v>-31133</v>
      </c>
      <c r="F2237" s="3" t="s">
        <v>184</v>
      </c>
      <c r="G2237" s="3" t="s">
        <v>20</v>
      </c>
      <c r="H2237" s="2" t="s">
        <v>62</v>
      </c>
      <c r="I2237" s="2" t="s">
        <v>5189</v>
      </c>
      <c r="J2237" s="3" t="str">
        <f>HYPERLINK("https://www.boe.es/gazeta/dias/1814/10/04/pdfs/GMD-1814-134.pdf#page=7","Abrir facsímil")</f>
        <v>Abrir facsímil</v>
      </c>
      <c r="K2237" s="3" t="s">
        <v>64</v>
      </c>
    </row>
    <row r="2238" spans="1:11" ht="42" customHeight="1">
      <c r="A2238" s="2" t="s">
        <v>5190</v>
      </c>
      <c r="B2238" s="2" t="s">
        <v>5191</v>
      </c>
      <c r="C2238" s="2" t="s">
        <v>309</v>
      </c>
      <c r="D2238" s="2" t="s">
        <v>18</v>
      </c>
      <c r="E2238" s="5">
        <v>-31068</v>
      </c>
      <c r="F2238" s="3" t="s">
        <v>548</v>
      </c>
      <c r="G2238" s="3" t="s">
        <v>20</v>
      </c>
      <c r="H2238" s="2" t="s">
        <v>62</v>
      </c>
      <c r="I2238" s="2" t="s">
        <v>5192</v>
      </c>
      <c r="J2238" s="3" t="str">
        <f>HYPERLINK("https://www.boe.es/gazeta/dias/1814/12/08/pdfs/GMD-1814-162.pdf#page=7","Abrir facsímil")</f>
        <v>Abrir facsímil</v>
      </c>
      <c r="K2238" s="3" t="s">
        <v>64</v>
      </c>
    </row>
    <row r="2239" spans="1:11" ht="42" customHeight="1">
      <c r="A2239" s="2" t="s">
        <v>5193</v>
      </c>
      <c r="B2239" s="2" t="s">
        <v>5194</v>
      </c>
      <c r="C2239" s="2" t="s">
        <v>38</v>
      </c>
      <c r="D2239" s="2" t="s">
        <v>39</v>
      </c>
      <c r="E2239" s="5">
        <v>-31049</v>
      </c>
      <c r="F2239" s="3" t="s">
        <v>542</v>
      </c>
      <c r="G2239" s="3" t="s">
        <v>1035</v>
      </c>
      <c r="H2239" s="2" t="s">
        <v>62</v>
      </c>
      <c r="I2239" s="2" t="s">
        <v>5195</v>
      </c>
      <c r="J2239" s="3" t="str">
        <f>HYPERLINK("https://www.boe.es/gazeta/dias/1814/12/27/pdfs/GMD-1814-171.pdf#page=6","Abrir facsímil")</f>
        <v>Abrir facsímil</v>
      </c>
      <c r="K2239" s="3" t="s">
        <v>64</v>
      </c>
    </row>
    <row r="2240" spans="1:11" ht="42" customHeight="1">
      <c r="A2240" s="2" t="s">
        <v>5196</v>
      </c>
      <c r="B2240" s="2" t="s">
        <v>5197</v>
      </c>
      <c r="C2240" s="2" t="s">
        <v>38</v>
      </c>
      <c r="D2240" s="2" t="s">
        <v>39</v>
      </c>
      <c r="E2240" s="5">
        <v>-31115</v>
      </c>
      <c r="F2240" s="3" t="s">
        <v>805</v>
      </c>
      <c r="G2240" s="3" t="s">
        <v>99</v>
      </c>
      <c r="H2240" s="2" t="s">
        <v>62</v>
      </c>
      <c r="I2240" s="2" t="s">
        <v>5198</v>
      </c>
      <c r="J2240" s="3" t="str">
        <f>HYPERLINK("https://www.boe.es/gazeta/dias/1814/10/22/pdfs/GMD-1814-142.pdf#page=5","Abrir facsímil")</f>
        <v>Abrir facsímil</v>
      </c>
      <c r="K2240" s="3" t="s">
        <v>64</v>
      </c>
    </row>
    <row r="2241" spans="1:11" ht="42" customHeight="1">
      <c r="A2241" s="2" t="s">
        <v>5199</v>
      </c>
      <c r="B2241" s="2" t="s">
        <v>5200</v>
      </c>
      <c r="C2241" s="2" t="s">
        <v>26</v>
      </c>
      <c r="D2241" s="2" t="s">
        <v>27</v>
      </c>
      <c r="E2241" s="5">
        <v>-31045</v>
      </c>
      <c r="F2241" s="3" t="s">
        <v>165</v>
      </c>
      <c r="G2241" s="3" t="s">
        <v>52</v>
      </c>
      <c r="H2241" s="2" t="s">
        <v>21</v>
      </c>
      <c r="I2241" s="2" t="s">
        <v>5201</v>
      </c>
      <c r="J2241" s="3" t="str">
        <f>HYPERLINK("https://www.boe.es/gazeta/dias/1814/12/31/pdfs/GMD-1814-173.pdf#page=8","Abrir facsímil")</f>
        <v>Abrir facsímil</v>
      </c>
      <c r="K2241" s="3" t="s">
        <v>23</v>
      </c>
    </row>
    <row r="2242" spans="1:11" ht="42" customHeight="1">
      <c r="A2242" s="2" t="s">
        <v>5202</v>
      </c>
      <c r="B2242" s="2" t="s">
        <v>5203</v>
      </c>
      <c r="C2242" s="2" t="s">
        <v>17</v>
      </c>
      <c r="D2242" s="2" t="s">
        <v>18</v>
      </c>
      <c r="E2242" s="5">
        <v>-31117</v>
      </c>
      <c r="F2242" s="3" t="s">
        <v>172</v>
      </c>
      <c r="G2242" s="3" t="s">
        <v>173</v>
      </c>
      <c r="H2242" s="2" t="s">
        <v>62</v>
      </c>
      <c r="I2242" s="2" t="s">
        <v>5204</v>
      </c>
      <c r="J2242" s="3" t="str">
        <f>HYPERLINK("https://www.boe.es/gazeta/dias/1814/10/20/pdfs/GMD-1814-141.pdf#page=7","Abrir facsímil")</f>
        <v>Abrir facsímil</v>
      </c>
      <c r="K2242" s="3" t="s">
        <v>64</v>
      </c>
    </row>
    <row r="2243" spans="1:11" ht="42" customHeight="1">
      <c r="A2243" s="2" t="s">
        <v>5205</v>
      </c>
      <c r="B2243" s="2" t="s">
        <v>5205</v>
      </c>
      <c r="C2243" s="2" t="s">
        <v>26</v>
      </c>
      <c r="D2243" s="2" t="s">
        <v>27</v>
      </c>
      <c r="E2243" s="5">
        <v>-31385</v>
      </c>
      <c r="F2243" s="3" t="s">
        <v>783</v>
      </c>
      <c r="G2243" s="3" t="s">
        <v>1117</v>
      </c>
      <c r="H2243" s="2" t="s">
        <v>62</v>
      </c>
      <c r="I2243" s="2" t="s">
        <v>5206</v>
      </c>
      <c r="J2243" s="3" t="str">
        <f>HYPERLINK("https://www.boe.es/gazeta/dias/1814/01/25/pdfs/GRE-1814-12.pdf#page=7","Abrir facsímil")</f>
        <v>Abrir facsímil</v>
      </c>
      <c r="K2243" s="3" t="s">
        <v>64</v>
      </c>
    </row>
    <row r="2244" spans="1:11" ht="42" customHeight="1">
      <c r="A2244" s="2" t="s">
        <v>5207</v>
      </c>
      <c r="B2244" s="2" t="s">
        <v>5207</v>
      </c>
      <c r="C2244" s="2" t="s">
        <v>38</v>
      </c>
      <c r="D2244" s="2" t="s">
        <v>314</v>
      </c>
      <c r="E2244" s="5">
        <v>-31296</v>
      </c>
      <c r="F2244" s="3" t="s">
        <v>315</v>
      </c>
      <c r="G2244" s="3" t="s">
        <v>87</v>
      </c>
      <c r="H2244" s="2" t="s">
        <v>62</v>
      </c>
      <c r="I2244" s="2" t="s">
        <v>5208</v>
      </c>
      <c r="J2244" s="3" t="str">
        <f>HYPERLINK("https://www.boe.es/gazeta/dias/1814/04/24/pdfs/GRE-1814-60E.pdf#page=2","Abrir facsímil")</f>
        <v>Abrir facsímil</v>
      </c>
      <c r="K2244" s="3" t="s">
        <v>64</v>
      </c>
    </row>
    <row r="2245" spans="1:11" ht="42" customHeight="1">
      <c r="A2245" s="2" t="s">
        <v>5209</v>
      </c>
      <c r="B2245" s="2" t="s">
        <v>5210</v>
      </c>
      <c r="C2245" s="2" t="s">
        <v>45</v>
      </c>
      <c r="D2245" s="2" t="s">
        <v>18</v>
      </c>
      <c r="E2245" s="5">
        <v>-31185</v>
      </c>
      <c r="F2245" s="3" t="s">
        <v>1238</v>
      </c>
      <c r="G2245" s="3" t="s">
        <v>3166</v>
      </c>
      <c r="H2245" s="2" t="s">
        <v>62</v>
      </c>
      <c r="I2245" s="2" t="s">
        <v>5211</v>
      </c>
      <c r="J2245" s="3" t="str">
        <f>HYPERLINK("https://www.boe.es/gazeta/dias/1814/08/13/pdfs/GMD-1814-111.pdf#page=7","Abrir facsímil")</f>
        <v>Abrir facsímil</v>
      </c>
      <c r="K2245" s="3" t="s">
        <v>64</v>
      </c>
    </row>
    <row r="2246" spans="1:11" ht="42" customHeight="1">
      <c r="A2246" s="2" t="s">
        <v>5212</v>
      </c>
      <c r="B2246" s="2" t="s">
        <v>5213</v>
      </c>
      <c r="C2246" s="2" t="s">
        <v>32</v>
      </c>
      <c r="D2246" s="2" t="s">
        <v>18</v>
      </c>
      <c r="E2246" s="5">
        <v>-31217</v>
      </c>
      <c r="F2246" s="3" t="s">
        <v>506</v>
      </c>
      <c r="G2246" s="3" t="s">
        <v>322</v>
      </c>
      <c r="H2246" s="2" t="s">
        <v>62</v>
      </c>
      <c r="I2246" s="2" t="s">
        <v>5214</v>
      </c>
      <c r="J2246" s="3" t="str">
        <f>HYPERLINK("https://www.boe.es/gazeta/dias/1814/07/12/pdfs/GMD-1814-97.pdf#page=12","Abrir facsímil")</f>
        <v>Abrir facsímil</v>
      </c>
      <c r="K2246" s="3" t="s">
        <v>64</v>
      </c>
    </row>
    <row r="2247" spans="1:11" ht="42" customHeight="1">
      <c r="A2247" s="2" t="s">
        <v>5215</v>
      </c>
      <c r="B2247" s="2" t="s">
        <v>5216</v>
      </c>
      <c r="C2247" s="2" t="s">
        <v>45</v>
      </c>
      <c r="D2247" s="2" t="s">
        <v>18</v>
      </c>
      <c r="E2247" s="5">
        <v>-31311</v>
      </c>
      <c r="F2247" s="3" t="s">
        <v>3144</v>
      </c>
      <c r="G2247" s="3" t="s">
        <v>52</v>
      </c>
      <c r="H2247" s="2" t="s">
        <v>62</v>
      </c>
      <c r="I2247" s="2" t="s">
        <v>5217</v>
      </c>
      <c r="J2247" s="3" t="str">
        <f>HYPERLINK("https://www.boe.es/gazeta/dias/1814/04/09/pdfs/GRE-1814-51.pdf#page=8","Abrir facsímil")</f>
        <v>Abrir facsímil</v>
      </c>
      <c r="K2247" s="3" t="s">
        <v>64</v>
      </c>
    </row>
    <row r="2248" spans="1:11" ht="42" customHeight="1">
      <c r="A2248" s="2" t="s">
        <v>5218</v>
      </c>
      <c r="B2248" s="2" t="s">
        <v>5219</v>
      </c>
      <c r="C2248" s="2" t="s">
        <v>38</v>
      </c>
      <c r="D2248" s="2" t="s">
        <v>39</v>
      </c>
      <c r="E2248" s="5">
        <v>-31049</v>
      </c>
      <c r="F2248" s="3" t="s">
        <v>542</v>
      </c>
      <c r="G2248" s="3" t="s">
        <v>1035</v>
      </c>
      <c r="H2248" s="2" t="s">
        <v>62</v>
      </c>
      <c r="I2248" s="2" t="s">
        <v>5220</v>
      </c>
      <c r="J2248" s="3" t="str">
        <f>HYPERLINK("https://www.boe.es/gazeta/dias/1814/12/27/pdfs/GMD-1814-171.pdf#page=6","Abrir facsímil")</f>
        <v>Abrir facsímil</v>
      </c>
      <c r="K2248" s="3" t="s">
        <v>64</v>
      </c>
    </row>
    <row r="2249" spans="1:11" ht="42" customHeight="1">
      <c r="A2249" s="2" t="s">
        <v>5221</v>
      </c>
      <c r="B2249" s="2" t="s">
        <v>5222</v>
      </c>
      <c r="C2249" s="2" t="s">
        <v>38</v>
      </c>
      <c r="D2249" s="2" t="s">
        <v>39</v>
      </c>
      <c r="E2249" s="5">
        <v>-31061</v>
      </c>
      <c r="F2249" s="3" t="s">
        <v>329</v>
      </c>
      <c r="G2249" s="3" t="s">
        <v>52</v>
      </c>
      <c r="H2249" s="2" t="s">
        <v>62</v>
      </c>
      <c r="I2249" s="2" t="s">
        <v>5223</v>
      </c>
      <c r="J2249" s="3" t="str">
        <f>HYPERLINK("https://www.boe.es/gazeta/dias/1814/12/15/pdfs/GMD-1814-165.pdf#page=8","Abrir facsímil")</f>
        <v>Abrir facsímil</v>
      </c>
      <c r="K2249" s="3" t="s">
        <v>64</v>
      </c>
    </row>
    <row r="2250" spans="1:11" ht="42" customHeight="1">
      <c r="A2250" s="2" t="s">
        <v>5224</v>
      </c>
      <c r="B2250" s="2" t="s">
        <v>5225</v>
      </c>
      <c r="C2250" s="2" t="s">
        <v>26</v>
      </c>
      <c r="D2250" s="2" t="s">
        <v>27</v>
      </c>
      <c r="E2250" s="5">
        <v>-31182</v>
      </c>
      <c r="F2250" s="3" t="s">
        <v>19</v>
      </c>
      <c r="G2250" s="3" t="s">
        <v>57</v>
      </c>
      <c r="H2250" s="2" t="s">
        <v>62</v>
      </c>
      <c r="I2250" s="2" t="s">
        <v>5226</v>
      </c>
      <c r="J2250" s="3" t="str">
        <f>HYPERLINK("https://www.boe.es/gazeta/dias/1814/08/16/pdfs/GMD-1814-112.pdf#page=6","Abrir facsímil")</f>
        <v>Abrir facsímil</v>
      </c>
      <c r="K2250" s="3" t="s">
        <v>64</v>
      </c>
    </row>
    <row r="2251" spans="1:11" ht="42" customHeight="1">
      <c r="A2251" s="2" t="s">
        <v>5227</v>
      </c>
      <c r="B2251" s="2" t="s">
        <v>5228</v>
      </c>
      <c r="C2251" s="2" t="s">
        <v>17</v>
      </c>
      <c r="D2251" s="2" t="s">
        <v>18</v>
      </c>
      <c r="E2251" s="5">
        <v>-31399</v>
      </c>
      <c r="F2251" s="3" t="s">
        <v>218</v>
      </c>
      <c r="G2251" s="3" t="s">
        <v>219</v>
      </c>
      <c r="H2251" s="2" t="s">
        <v>62</v>
      </c>
      <c r="I2251" s="2" t="s">
        <v>5229</v>
      </c>
      <c r="J2251" s="3" t="str">
        <f>HYPERLINK("https://www.boe.es/gazeta/dias/1814/01/11/pdfs/GRE-1814-6.pdf#page=8","Abrir facsímil")</f>
        <v>Abrir facsímil</v>
      </c>
      <c r="K2251" s="3" t="s">
        <v>64</v>
      </c>
    </row>
    <row r="2252" spans="1:11" ht="42" customHeight="1">
      <c r="A2252" s="2" t="s">
        <v>5230</v>
      </c>
      <c r="B2252" s="2" t="s">
        <v>5231</v>
      </c>
      <c r="C2252" s="2" t="s">
        <v>38</v>
      </c>
      <c r="D2252" s="2" t="s">
        <v>39</v>
      </c>
      <c r="E2252" s="5">
        <v>-31115</v>
      </c>
      <c r="F2252" s="3" t="s">
        <v>805</v>
      </c>
      <c r="G2252" s="3" t="s">
        <v>52</v>
      </c>
      <c r="H2252" s="2" t="s">
        <v>62</v>
      </c>
      <c r="I2252" s="2" t="s">
        <v>5232</v>
      </c>
      <c r="J2252" s="3" t="str">
        <f>HYPERLINK("https://www.boe.es/gazeta/dias/1814/10/22/pdfs/GMD-1814-142.pdf#page=8","Abrir facsímil")</f>
        <v>Abrir facsímil</v>
      </c>
      <c r="K2252" s="3" t="s">
        <v>64</v>
      </c>
    </row>
    <row r="2253" spans="1:11" ht="42" customHeight="1">
      <c r="A2253" s="2" t="s">
        <v>5233</v>
      </c>
      <c r="B2253" s="2" t="s">
        <v>5234</v>
      </c>
      <c r="C2253" s="2" t="s">
        <v>26</v>
      </c>
      <c r="D2253" s="2" t="s">
        <v>27</v>
      </c>
      <c r="E2253" s="5">
        <v>-31297</v>
      </c>
      <c r="F2253" s="3" t="s">
        <v>737</v>
      </c>
      <c r="G2253" s="3" t="s">
        <v>52</v>
      </c>
      <c r="H2253" s="2" t="s">
        <v>62</v>
      </c>
      <c r="I2253" s="2" t="s">
        <v>5235</v>
      </c>
      <c r="J2253" s="3" t="str">
        <f>HYPERLINK("https://www.boe.es/gazeta/dias/1814/04/23/pdfs/GRE-1814-59.pdf#page=8","Abrir facsímil")</f>
        <v>Abrir facsímil</v>
      </c>
      <c r="K2253" s="3" t="s">
        <v>64</v>
      </c>
    </row>
    <row r="2254" spans="1:11" ht="42" customHeight="1">
      <c r="A2254" s="2" t="s">
        <v>5236</v>
      </c>
      <c r="B2254" s="2" t="s">
        <v>5237</v>
      </c>
      <c r="C2254" s="2" t="s">
        <v>26</v>
      </c>
      <c r="D2254" s="2" t="s">
        <v>27</v>
      </c>
      <c r="E2254" s="5">
        <v>-31136</v>
      </c>
      <c r="F2254" s="3" t="s">
        <v>956</v>
      </c>
      <c r="G2254" s="3" t="s">
        <v>957</v>
      </c>
      <c r="H2254" s="2" t="s">
        <v>62</v>
      </c>
      <c r="I2254" s="2" t="s">
        <v>5238</v>
      </c>
      <c r="J2254" s="3" t="str">
        <f>HYPERLINK("https://www.boe.es/gazeta/dias/1814/10/01/pdfs/GMD-1814-133.pdf#page=8","Abrir facsímil")</f>
        <v>Abrir facsímil</v>
      </c>
      <c r="K2254" s="3" t="s">
        <v>64</v>
      </c>
    </row>
    <row r="2255" spans="1:11" ht="42" customHeight="1">
      <c r="A2255" s="2" t="s">
        <v>5239</v>
      </c>
      <c r="B2255" s="2" t="s">
        <v>5240</v>
      </c>
      <c r="C2255" s="2" t="s">
        <v>38</v>
      </c>
      <c r="D2255" s="2" t="s">
        <v>314</v>
      </c>
      <c r="E2255" s="5">
        <v>-31296</v>
      </c>
      <c r="F2255" s="3" t="s">
        <v>315</v>
      </c>
      <c r="G2255" s="3" t="s">
        <v>52</v>
      </c>
      <c r="H2255" s="2" t="s">
        <v>62</v>
      </c>
      <c r="I2255" s="2" t="s">
        <v>5241</v>
      </c>
      <c r="J2255" s="3" t="str">
        <f>HYPERLINK("https://www.boe.es/gazeta/dias/1814/04/24/pdfs/GRE-1814-60E.pdf#page=8","Abrir facsímil")</f>
        <v>Abrir facsímil</v>
      </c>
      <c r="K2255" s="3" t="s">
        <v>64</v>
      </c>
    </row>
    <row r="2256" spans="1:11" ht="42" customHeight="1">
      <c r="A2256" s="2" t="s">
        <v>5242</v>
      </c>
      <c r="B2256" s="2" t="s">
        <v>5243</v>
      </c>
      <c r="C2256" s="2" t="s">
        <v>17</v>
      </c>
      <c r="D2256" s="2" t="s">
        <v>18</v>
      </c>
      <c r="E2256" s="5">
        <v>-31117</v>
      </c>
      <c r="F2256" s="3" t="s">
        <v>172</v>
      </c>
      <c r="G2256" s="3" t="s">
        <v>173</v>
      </c>
      <c r="H2256" s="2" t="s">
        <v>62</v>
      </c>
      <c r="I2256" s="2" t="s">
        <v>5244</v>
      </c>
      <c r="J2256" s="3" t="str">
        <f>HYPERLINK("https://www.boe.es/gazeta/dias/1814/10/20/pdfs/GMD-1814-141.pdf#page=7","Abrir facsímil")</f>
        <v>Abrir facsímil</v>
      </c>
      <c r="K2256" s="3" t="s">
        <v>64</v>
      </c>
    </row>
    <row r="2257" spans="1:11" ht="42" customHeight="1">
      <c r="A2257" s="2" t="s">
        <v>5245</v>
      </c>
      <c r="B2257" s="2" t="s">
        <v>5246</v>
      </c>
      <c r="C2257" s="2" t="s">
        <v>32</v>
      </c>
      <c r="D2257" s="2" t="s">
        <v>18</v>
      </c>
      <c r="E2257" s="5">
        <v>-31070</v>
      </c>
      <c r="F2257" s="3" t="s">
        <v>92</v>
      </c>
      <c r="G2257" s="3" t="s">
        <v>41</v>
      </c>
      <c r="H2257" s="2" t="s">
        <v>62</v>
      </c>
      <c r="I2257" s="2" t="s">
        <v>5247</v>
      </c>
      <c r="J2257" s="3" t="str">
        <f>HYPERLINK("https://www.boe.es/gazeta/dias/1814/12/06/pdfs/GMD-1814-161.pdf#page=4","Abrir facsímil")</f>
        <v>Abrir facsímil</v>
      </c>
      <c r="K2257" s="3" t="s">
        <v>64</v>
      </c>
    </row>
    <row r="2258" spans="1:11" ht="42" customHeight="1">
      <c r="A2258" s="2" t="s">
        <v>5248</v>
      </c>
      <c r="B2258" s="2" t="s">
        <v>5248</v>
      </c>
      <c r="C2258" s="2" t="s">
        <v>38</v>
      </c>
      <c r="D2258" s="2" t="s">
        <v>39</v>
      </c>
      <c r="E2258" s="5">
        <v>-31073</v>
      </c>
      <c r="F2258" s="3" t="s">
        <v>3052</v>
      </c>
      <c r="G2258" s="3" t="s">
        <v>82</v>
      </c>
      <c r="H2258" s="2" t="s">
        <v>62</v>
      </c>
      <c r="I2258" s="2" t="s">
        <v>5249</v>
      </c>
      <c r="J2258" s="3" t="str">
        <f>HYPERLINK("https://www.boe.es/gazeta/dias/1814/12/03/pdfs/GMD-1814-160.pdf#page=3","Abrir facsímil")</f>
        <v>Abrir facsímil</v>
      </c>
      <c r="K2258" s="3" t="s">
        <v>64</v>
      </c>
    </row>
    <row r="2259" spans="1:11" ht="42" customHeight="1">
      <c r="A2259" s="2" t="s">
        <v>5250</v>
      </c>
      <c r="B2259" s="2" t="s">
        <v>5251</v>
      </c>
      <c r="C2259" s="2" t="s">
        <v>38</v>
      </c>
      <c r="D2259" s="2" t="s">
        <v>39</v>
      </c>
      <c r="E2259" s="5">
        <v>-31161</v>
      </c>
      <c r="F2259" s="3" t="s">
        <v>407</v>
      </c>
      <c r="G2259" s="3" t="s">
        <v>1361</v>
      </c>
      <c r="H2259" s="2" t="s">
        <v>62</v>
      </c>
      <c r="I2259" s="2" t="s">
        <v>5252</v>
      </c>
      <c r="J2259" s="3" t="str">
        <f>HYPERLINK("https://www.boe.es/gazeta/dias/1814/09/06/pdfs/GMD-1814-122.pdf#page=7","Abrir facsímil")</f>
        <v>Abrir facsímil</v>
      </c>
      <c r="K2259" s="3" t="s">
        <v>64</v>
      </c>
    </row>
    <row r="2260" spans="1:11" ht="42" customHeight="1">
      <c r="A2260" s="2" t="s">
        <v>5253</v>
      </c>
      <c r="B2260" s="2" t="s">
        <v>5254</v>
      </c>
      <c r="C2260" s="2" t="s">
        <v>17</v>
      </c>
      <c r="D2260" s="2" t="s">
        <v>18</v>
      </c>
      <c r="E2260" s="5">
        <v>-31115</v>
      </c>
      <c r="F2260" s="3" t="s">
        <v>805</v>
      </c>
      <c r="G2260" s="3" t="s">
        <v>20</v>
      </c>
      <c r="H2260" s="2" t="s">
        <v>62</v>
      </c>
      <c r="I2260" s="2" t="s">
        <v>5255</v>
      </c>
      <c r="J2260" s="3" t="str">
        <f>HYPERLINK("https://www.boe.es/gazeta/dias/1814/10/22/pdfs/GMD-1814-142.pdf#page=7","Abrir facsímil")</f>
        <v>Abrir facsímil</v>
      </c>
      <c r="K2260" s="3" t="s">
        <v>64</v>
      </c>
    </row>
    <row r="2261" spans="1:11" ht="42" customHeight="1">
      <c r="A2261" s="2" t="s">
        <v>5256</v>
      </c>
      <c r="B2261" s="2" t="s">
        <v>5257</v>
      </c>
      <c r="C2261" s="2" t="s">
        <v>687</v>
      </c>
      <c r="D2261" s="2" t="s">
        <v>27</v>
      </c>
      <c r="E2261" s="5">
        <v>-31073</v>
      </c>
      <c r="F2261" s="3" t="s">
        <v>3052</v>
      </c>
      <c r="G2261" s="3" t="s">
        <v>20</v>
      </c>
      <c r="H2261" s="2" t="s">
        <v>62</v>
      </c>
      <c r="I2261" s="2" t="s">
        <v>5258</v>
      </c>
      <c r="J2261" s="3" t="str">
        <f>HYPERLINK("https://www.boe.es/gazeta/dias/1814/12/03/pdfs/GMD-1814-160.pdf#page=7","Abrir facsímil")</f>
        <v>Abrir facsímil</v>
      </c>
      <c r="K2261" s="3" t="s">
        <v>64</v>
      </c>
    </row>
    <row r="2262" spans="1:11" ht="42" customHeight="1">
      <c r="A2262" s="2" t="s">
        <v>5259</v>
      </c>
      <c r="B2262" s="2" t="s">
        <v>5260</v>
      </c>
      <c r="C2262" s="2" t="s">
        <v>45</v>
      </c>
      <c r="D2262" s="2" t="s">
        <v>18</v>
      </c>
      <c r="E2262" s="5">
        <v>-31082</v>
      </c>
      <c r="F2262" s="3" t="s">
        <v>535</v>
      </c>
      <c r="G2262" s="3" t="s">
        <v>2461</v>
      </c>
      <c r="H2262" s="2" t="s">
        <v>62</v>
      </c>
      <c r="I2262" s="2" t="s">
        <v>5261</v>
      </c>
      <c r="J2262" s="3" t="str">
        <f>HYPERLINK("https://www.boe.es/gazeta/dias/1814/11/24/pdfs/GMD-1814-156.pdf#page=7","Abrir facsímil")</f>
        <v>Abrir facsímil</v>
      </c>
      <c r="K2262" s="3" t="s">
        <v>64</v>
      </c>
    </row>
    <row r="2263" spans="1:11" ht="42" customHeight="1">
      <c r="A2263" s="2" t="s">
        <v>5262</v>
      </c>
      <c r="B2263" s="2" t="s">
        <v>5263</v>
      </c>
      <c r="C2263" s="2" t="s">
        <v>17</v>
      </c>
      <c r="D2263" s="2" t="s">
        <v>18</v>
      </c>
      <c r="E2263" s="5">
        <v>-31119</v>
      </c>
      <c r="F2263" s="3" t="s">
        <v>136</v>
      </c>
      <c r="G2263" s="3" t="s">
        <v>322</v>
      </c>
      <c r="H2263" s="2" t="s">
        <v>62</v>
      </c>
      <c r="I2263" s="2" t="s">
        <v>5264</v>
      </c>
      <c r="J2263" s="3" t="str">
        <f>HYPERLINK("https://www.boe.es/gazeta/dias/1814/10/18/pdfs/GMD-1814-140.pdf#page=12","Abrir facsímil")</f>
        <v>Abrir facsímil</v>
      </c>
      <c r="K2263" s="3" t="s">
        <v>64</v>
      </c>
    </row>
    <row r="2264" spans="1:11" ht="42" customHeight="1">
      <c r="A2264" s="2" t="s">
        <v>5262</v>
      </c>
      <c r="B2264" s="2" t="s">
        <v>5263</v>
      </c>
      <c r="C2264" s="2" t="s">
        <v>17</v>
      </c>
      <c r="D2264" s="2" t="s">
        <v>18</v>
      </c>
      <c r="E2264" s="5">
        <v>-31110</v>
      </c>
      <c r="F2264" s="3" t="s">
        <v>149</v>
      </c>
      <c r="G2264" s="3" t="s">
        <v>20</v>
      </c>
      <c r="H2264" s="2" t="s">
        <v>62</v>
      </c>
      <c r="I2264" s="2" t="s">
        <v>5265</v>
      </c>
      <c r="J2264" s="3" t="str">
        <f>HYPERLINK("https://www.boe.es/gazeta/dias/1814/10/27/pdfs/GMD-1814-144.pdf#page=7","Abrir facsímil")</f>
        <v>Abrir facsímil</v>
      </c>
      <c r="K2264" s="3" t="s">
        <v>64</v>
      </c>
    </row>
    <row r="2265" spans="1:11" ht="42" customHeight="1">
      <c r="A2265" s="2" t="s">
        <v>5266</v>
      </c>
      <c r="B2265" s="2" t="s">
        <v>5266</v>
      </c>
      <c r="C2265" s="2" t="s">
        <v>38</v>
      </c>
      <c r="D2265" s="2" t="s">
        <v>314</v>
      </c>
      <c r="E2265" s="5">
        <v>-31294</v>
      </c>
      <c r="F2265" s="3" t="s">
        <v>2505</v>
      </c>
      <c r="G2265" s="3" t="s">
        <v>107</v>
      </c>
      <c r="H2265" s="2" t="s">
        <v>62</v>
      </c>
      <c r="I2265" s="2" t="s">
        <v>5267</v>
      </c>
      <c r="J2265" s="3" t="str">
        <f>HYPERLINK("https://www.boe.es/gazeta/dias/1814/04/26/pdfs/GRE-1814-62E.pdf#page=1","Abrir facsímil")</f>
        <v>Abrir facsímil</v>
      </c>
      <c r="K2265" s="3" t="s">
        <v>64</v>
      </c>
    </row>
    <row r="2266" spans="1:11" ht="42" customHeight="1">
      <c r="A2266" s="2" t="s">
        <v>5268</v>
      </c>
      <c r="B2266" s="2" t="s">
        <v>5269</v>
      </c>
      <c r="C2266" s="2" t="s">
        <v>26</v>
      </c>
      <c r="D2266" s="2" t="s">
        <v>27</v>
      </c>
      <c r="E2266" s="5">
        <v>-31077</v>
      </c>
      <c r="F2266" s="3" t="s">
        <v>414</v>
      </c>
      <c r="G2266" s="3" t="s">
        <v>52</v>
      </c>
      <c r="H2266" s="2" t="s">
        <v>62</v>
      </c>
      <c r="I2266" s="2" t="s">
        <v>5270</v>
      </c>
      <c r="J2266" s="3" t="str">
        <f>HYPERLINK("https://www.boe.es/gazeta/dias/1814/11/29/pdfs/GMD-1814-158.pdf#page=8","Abrir facsímil")</f>
        <v>Abrir facsímil</v>
      </c>
      <c r="K2266" s="3" t="s">
        <v>64</v>
      </c>
    </row>
    <row r="2267" spans="1:11" ht="42" customHeight="1">
      <c r="A2267" s="2" t="s">
        <v>5271</v>
      </c>
      <c r="B2267" s="2" t="s">
        <v>5272</v>
      </c>
      <c r="C2267" s="2" t="s">
        <v>38</v>
      </c>
      <c r="D2267" s="2" t="s">
        <v>39</v>
      </c>
      <c r="E2267" s="5">
        <v>-31126</v>
      </c>
      <c r="F2267" s="3" t="s">
        <v>56</v>
      </c>
      <c r="G2267" s="3" t="s">
        <v>52</v>
      </c>
      <c r="H2267" s="2" t="s">
        <v>62</v>
      </c>
      <c r="I2267" s="2" t="s">
        <v>5273</v>
      </c>
      <c r="J2267" s="3" t="str">
        <f>HYPERLINK("https://www.boe.es/gazeta/dias/1814/10/11/pdfs/GMD-1814-137.pdf#page=8","Abrir facsímil")</f>
        <v>Abrir facsímil</v>
      </c>
      <c r="K2267" s="3" t="s">
        <v>64</v>
      </c>
    </row>
    <row r="2268" spans="1:11" ht="42" customHeight="1">
      <c r="A2268" s="2" t="s">
        <v>5274</v>
      </c>
      <c r="B2268" s="2" t="s">
        <v>5274</v>
      </c>
      <c r="C2268" s="2" t="s">
        <v>38</v>
      </c>
      <c r="D2268" s="2" t="s">
        <v>39</v>
      </c>
      <c r="E2268" s="5">
        <v>-31208</v>
      </c>
      <c r="F2268" s="3" t="s">
        <v>509</v>
      </c>
      <c r="G2268" s="3" t="s">
        <v>107</v>
      </c>
      <c r="H2268" s="2" t="s">
        <v>62</v>
      </c>
      <c r="I2268" s="2" t="s">
        <v>5275</v>
      </c>
      <c r="J2268" s="3" t="str">
        <f>HYPERLINK("https://www.boe.es/gazeta/dias/1814/07/21/pdfs/GMD-1814-101.pdf#page=1","Abrir facsímil")</f>
        <v>Abrir facsímil</v>
      </c>
      <c r="K2268" s="3" t="s">
        <v>64</v>
      </c>
    </row>
    <row r="2269" spans="1:11" ht="42" customHeight="1">
      <c r="A2269" s="2" t="s">
        <v>5276</v>
      </c>
      <c r="B2269" s="2" t="s">
        <v>5277</v>
      </c>
      <c r="C2269" s="2" t="s">
        <v>38</v>
      </c>
      <c r="D2269" s="2" t="s">
        <v>39</v>
      </c>
      <c r="E2269" s="5">
        <v>-31112</v>
      </c>
      <c r="F2269" s="3" t="s">
        <v>707</v>
      </c>
      <c r="G2269" s="3" t="s">
        <v>41</v>
      </c>
      <c r="H2269" s="2" t="s">
        <v>62</v>
      </c>
      <c r="I2269" s="2" t="s">
        <v>5278</v>
      </c>
      <c r="J2269" s="3" t="str">
        <f>HYPERLINK("https://www.boe.es/gazeta/dias/1814/10/25/pdfs/GMD-1814-143.pdf#page=4","Abrir facsímil")</f>
        <v>Abrir facsímil</v>
      </c>
      <c r="K2269" s="3" t="s">
        <v>64</v>
      </c>
    </row>
    <row r="2270" spans="1:11" ht="42" customHeight="1">
      <c r="A2270" s="2" t="s">
        <v>5279</v>
      </c>
      <c r="B2270" s="2" t="s">
        <v>5280</v>
      </c>
      <c r="C2270" s="2" t="s">
        <v>38</v>
      </c>
      <c r="D2270" s="2" t="s">
        <v>314</v>
      </c>
      <c r="E2270" s="5">
        <v>-31296</v>
      </c>
      <c r="F2270" s="3" t="s">
        <v>315</v>
      </c>
      <c r="G2270" s="3" t="s">
        <v>57</v>
      </c>
      <c r="H2270" s="2" t="s">
        <v>62</v>
      </c>
      <c r="I2270" s="2" t="s">
        <v>5281</v>
      </c>
      <c r="J2270" s="3" t="str">
        <f>HYPERLINK("https://www.boe.es/gazeta/dias/1814/04/24/pdfs/GRE-1814-60E.pdf#page=6","Abrir facsímil")</f>
        <v>Abrir facsímil</v>
      </c>
      <c r="K2270" s="3" t="s">
        <v>64</v>
      </c>
    </row>
    <row r="2271" spans="1:11" ht="42" customHeight="1">
      <c r="A2271" s="2" t="s">
        <v>5282</v>
      </c>
      <c r="B2271" s="2" t="s">
        <v>5283</v>
      </c>
      <c r="C2271" s="2" t="s">
        <v>38</v>
      </c>
      <c r="D2271" s="2" t="s">
        <v>39</v>
      </c>
      <c r="E2271" s="5">
        <v>-31133</v>
      </c>
      <c r="F2271" s="3" t="s">
        <v>184</v>
      </c>
      <c r="G2271" s="3" t="s">
        <v>4127</v>
      </c>
      <c r="H2271" s="2" t="s">
        <v>62</v>
      </c>
      <c r="I2271" s="2" t="s">
        <v>5284</v>
      </c>
      <c r="J2271" s="3" t="str">
        <f>HYPERLINK("https://www.boe.es/gazeta/dias/1814/10/04/pdfs/GMD-1814-134.pdf#page=5","Abrir facsímil")</f>
        <v>Abrir facsímil</v>
      </c>
      <c r="K2271" s="3" t="s">
        <v>64</v>
      </c>
    </row>
    <row r="2272" spans="1:11" ht="42" customHeight="1">
      <c r="A2272" s="2" t="s">
        <v>5285</v>
      </c>
      <c r="B2272" s="2" t="s">
        <v>5286</v>
      </c>
      <c r="C2272" s="2" t="s">
        <v>26</v>
      </c>
      <c r="D2272" s="2" t="s">
        <v>27</v>
      </c>
      <c r="E2272" s="5">
        <v>-31061</v>
      </c>
      <c r="F2272" s="3" t="s">
        <v>329</v>
      </c>
      <c r="G2272" s="3" t="s">
        <v>99</v>
      </c>
      <c r="H2272" s="2" t="s">
        <v>62</v>
      </c>
      <c r="I2272" s="2" t="s">
        <v>5287</v>
      </c>
      <c r="J2272" s="3" t="str">
        <f>HYPERLINK("https://www.boe.es/gazeta/dias/1814/12/15/pdfs/GMD-1814-165.pdf#page=5","Abrir facsímil")</f>
        <v>Abrir facsímil</v>
      </c>
      <c r="K2272" s="3" t="s">
        <v>64</v>
      </c>
    </row>
    <row r="2273" spans="1:11" ht="42" customHeight="1">
      <c r="A2273" s="2" t="s">
        <v>5288</v>
      </c>
      <c r="B2273" s="2" t="s">
        <v>5289</v>
      </c>
      <c r="C2273" s="2" t="s">
        <v>17</v>
      </c>
      <c r="D2273" s="2" t="s">
        <v>18</v>
      </c>
      <c r="E2273" s="5">
        <v>-31119</v>
      </c>
      <c r="F2273" s="3" t="s">
        <v>136</v>
      </c>
      <c r="G2273" s="3" t="s">
        <v>137</v>
      </c>
      <c r="H2273" s="2" t="s">
        <v>62</v>
      </c>
      <c r="I2273" s="2" t="s">
        <v>5290</v>
      </c>
      <c r="J2273" s="3" t="str">
        <f>HYPERLINK("https://www.boe.es/gazeta/dias/1814/10/18/pdfs/GMD-1814-140.pdf#page=9","Abrir facsímil")</f>
        <v>Abrir facsímil</v>
      </c>
      <c r="K2273" s="3" t="s">
        <v>64</v>
      </c>
    </row>
    <row r="2274" spans="1:11" ht="42" customHeight="1">
      <c r="A2274" s="2" t="s">
        <v>5291</v>
      </c>
      <c r="B2274" s="2" t="s">
        <v>5292</v>
      </c>
      <c r="C2274" s="2" t="s">
        <v>17</v>
      </c>
      <c r="D2274" s="2" t="s">
        <v>18</v>
      </c>
      <c r="E2274" s="5">
        <v>-31306</v>
      </c>
      <c r="F2274" s="3" t="s">
        <v>670</v>
      </c>
      <c r="G2274" s="3" t="s">
        <v>52</v>
      </c>
      <c r="H2274" s="2" t="s">
        <v>62</v>
      </c>
      <c r="I2274" s="2" t="s">
        <v>5293</v>
      </c>
      <c r="J2274" s="3" t="str">
        <f>HYPERLINK("https://www.boe.es/gazeta/dias/1814/04/14/pdfs/GRE-1814-53.pdf#page=8","Abrir facsímil")</f>
        <v>Abrir facsímil</v>
      </c>
      <c r="K2274" s="3" t="s">
        <v>64</v>
      </c>
    </row>
    <row r="2275" spans="1:11" ht="42" customHeight="1">
      <c r="A2275" s="2" t="s">
        <v>5294</v>
      </c>
      <c r="B2275" s="2" t="s">
        <v>5294</v>
      </c>
      <c r="C2275" s="2" t="s">
        <v>38</v>
      </c>
      <c r="D2275" s="2" t="s">
        <v>39</v>
      </c>
      <c r="E2275" s="5">
        <v>-31353</v>
      </c>
      <c r="F2275" s="3" t="s">
        <v>247</v>
      </c>
      <c r="G2275" s="3" t="s">
        <v>1617</v>
      </c>
      <c r="H2275" s="2" t="s">
        <v>62</v>
      </c>
      <c r="I2275" s="2" t="s">
        <v>5295</v>
      </c>
      <c r="J2275" s="3" t="str">
        <f>HYPERLINK("https://www.boe.es/gazeta/dias/1814/02/26/pdfs/GRE-1814-27.pdf#page=3","Abrir facsímil")</f>
        <v>Abrir facsímil</v>
      </c>
      <c r="K2275" s="3" t="s">
        <v>64</v>
      </c>
    </row>
    <row r="2276" spans="1:11" ht="42" customHeight="1">
      <c r="A2276" s="2" t="s">
        <v>5294</v>
      </c>
      <c r="B2276" s="2" t="s">
        <v>5294</v>
      </c>
      <c r="C2276" s="2" t="s">
        <v>38</v>
      </c>
      <c r="D2276" s="2" t="s">
        <v>39</v>
      </c>
      <c r="E2276" s="5">
        <v>-31297</v>
      </c>
      <c r="F2276" s="3" t="s">
        <v>737</v>
      </c>
      <c r="G2276" s="3" t="s">
        <v>87</v>
      </c>
      <c r="H2276" s="2" t="s">
        <v>62</v>
      </c>
      <c r="I2276" s="2" t="s">
        <v>5296</v>
      </c>
      <c r="J2276" s="3" t="str">
        <f>HYPERLINK("https://www.boe.es/gazeta/dias/1814/04/23/pdfs/GRE-1814-59.pdf#page=2","Abrir facsímil")</f>
        <v>Abrir facsímil</v>
      </c>
      <c r="K2276" s="3" t="s">
        <v>64</v>
      </c>
    </row>
    <row r="2277" spans="1:11" ht="42" customHeight="1">
      <c r="A2277" s="2" t="s">
        <v>5294</v>
      </c>
      <c r="B2277" s="2" t="s">
        <v>5294</v>
      </c>
      <c r="C2277" s="2" t="s">
        <v>38</v>
      </c>
      <c r="D2277" s="2" t="s">
        <v>39</v>
      </c>
      <c r="E2277" s="5">
        <v>-31248</v>
      </c>
      <c r="F2277" s="3" t="s">
        <v>1123</v>
      </c>
      <c r="G2277" s="3" t="s">
        <v>82</v>
      </c>
      <c r="H2277" s="2" t="s">
        <v>62</v>
      </c>
      <c r="I2277" s="2" t="s">
        <v>5297</v>
      </c>
      <c r="J2277" s="3" t="str">
        <f>HYPERLINK("https://www.boe.es/gazeta/dias/1814/06/11/pdfs/GMD-1814-84.pdf#page=3","Abrir facsímil")</f>
        <v>Abrir facsímil</v>
      </c>
      <c r="K2277" s="3" t="s">
        <v>64</v>
      </c>
    </row>
    <row r="2278" spans="1:11" ht="42" customHeight="1">
      <c r="A2278" s="2" t="s">
        <v>5298</v>
      </c>
      <c r="B2278" s="2" t="s">
        <v>5299</v>
      </c>
      <c r="C2278" s="2" t="s">
        <v>26</v>
      </c>
      <c r="D2278" s="2" t="s">
        <v>27</v>
      </c>
      <c r="E2278" s="5">
        <v>-31339</v>
      </c>
      <c r="F2278" s="3" t="s">
        <v>641</v>
      </c>
      <c r="G2278" s="3" t="s">
        <v>52</v>
      </c>
      <c r="H2278" s="2" t="s">
        <v>62</v>
      </c>
      <c r="I2278" s="2" t="s">
        <v>5300</v>
      </c>
      <c r="J2278" s="3" t="str">
        <f>HYPERLINK("https://www.boe.es/gazeta/dias/1814/03/12/pdfs/GRE-1814-35.pdf#page=8","Abrir facsímil")</f>
        <v>Abrir facsímil</v>
      </c>
      <c r="K2278" s="3" t="s">
        <v>64</v>
      </c>
    </row>
    <row r="2279" spans="1:11" ht="42" customHeight="1">
      <c r="A2279" s="2" t="s">
        <v>5301</v>
      </c>
      <c r="B2279" s="2" t="s">
        <v>5301</v>
      </c>
      <c r="C2279" s="2" t="s">
        <v>38</v>
      </c>
      <c r="D2279" s="2" t="s">
        <v>39</v>
      </c>
      <c r="E2279" s="5">
        <v>-31371</v>
      </c>
      <c r="F2279" s="3" t="s">
        <v>476</v>
      </c>
      <c r="G2279" s="3" t="s">
        <v>82</v>
      </c>
      <c r="H2279" s="2" t="s">
        <v>62</v>
      </c>
      <c r="I2279" s="2" t="s">
        <v>5302</v>
      </c>
      <c r="J2279" s="3" t="str">
        <f>HYPERLINK("https://www.boe.es/gazeta/dias/1814/02/08/pdfs/GRE-1814-31.pdf#page=3","Abrir facsímil")</f>
        <v>Abrir facsímil</v>
      </c>
      <c r="K2279" s="3" t="s">
        <v>64</v>
      </c>
    </row>
    <row r="2280" spans="1:11" ht="42" customHeight="1">
      <c r="A2280" s="2" t="s">
        <v>5301</v>
      </c>
      <c r="B2280" s="2" t="s">
        <v>5301</v>
      </c>
      <c r="C2280" s="2" t="s">
        <v>38</v>
      </c>
      <c r="D2280" s="2" t="s">
        <v>39</v>
      </c>
      <c r="E2280" s="5">
        <v>-31343</v>
      </c>
      <c r="F2280" s="3" t="s">
        <v>476</v>
      </c>
      <c r="G2280" s="3" t="s">
        <v>82</v>
      </c>
      <c r="H2280" s="2" t="s">
        <v>62</v>
      </c>
      <c r="I2280" s="2" t="s">
        <v>5302</v>
      </c>
      <c r="J2280" s="3" t="str">
        <f>HYPERLINK("https://www.boe.es/gazeta/dias/1814/03/08/pdfs/GRE-1814-31.pdf#page=3","Abrir facsímil")</f>
        <v>Abrir facsímil</v>
      </c>
      <c r="K2280" s="3" t="s">
        <v>64</v>
      </c>
    </row>
    <row r="2281" spans="1:11" ht="42" customHeight="1">
      <c r="A2281" s="2" t="s">
        <v>5301</v>
      </c>
      <c r="B2281" s="2" t="s">
        <v>5301</v>
      </c>
      <c r="C2281" s="2" t="s">
        <v>38</v>
      </c>
      <c r="D2281" s="2" t="s">
        <v>39</v>
      </c>
      <c r="E2281" s="5">
        <v>-31341</v>
      </c>
      <c r="F2281" s="3" t="s">
        <v>360</v>
      </c>
      <c r="G2281" s="3" t="s">
        <v>41</v>
      </c>
      <c r="H2281" s="2" t="s">
        <v>62</v>
      </c>
      <c r="I2281" s="2" t="s">
        <v>5303</v>
      </c>
      <c r="J2281" s="3" t="str">
        <f>HYPERLINK("https://www.boe.es/gazeta/dias/1814/03/10/pdfs/GRE-1814-33.pdf#page=4","Abrir facsímil")</f>
        <v>Abrir facsímil</v>
      </c>
      <c r="K2281" s="3" t="s">
        <v>64</v>
      </c>
    </row>
    <row r="2282" spans="1:11" ht="42" customHeight="1">
      <c r="A2282" s="2" t="s">
        <v>5301</v>
      </c>
      <c r="B2282" s="2" t="s">
        <v>5301</v>
      </c>
      <c r="C2282" s="2" t="s">
        <v>38</v>
      </c>
      <c r="D2282" s="2" t="s">
        <v>39</v>
      </c>
      <c r="E2282" s="5">
        <v>-31084</v>
      </c>
      <c r="F2282" s="3" t="s">
        <v>282</v>
      </c>
      <c r="G2282" s="3" t="s">
        <v>3050</v>
      </c>
      <c r="H2282" s="2" t="s">
        <v>62</v>
      </c>
      <c r="I2282" s="2" t="s">
        <v>5304</v>
      </c>
      <c r="J2282" s="3" t="str">
        <f>HYPERLINK("https://www.boe.es/gazeta/dias/1814/11/22/pdfs/GMD-1814-155.pdf#page=4","Abrir facsímil")</f>
        <v>Abrir facsímil</v>
      </c>
      <c r="K2282" s="3" t="s">
        <v>64</v>
      </c>
    </row>
    <row r="2283" spans="1:11" ht="42" customHeight="1">
      <c r="A2283" s="2" t="s">
        <v>5305</v>
      </c>
      <c r="B2283" s="2" t="s">
        <v>5306</v>
      </c>
      <c r="C2283" s="2" t="s">
        <v>17</v>
      </c>
      <c r="D2283" s="2" t="s">
        <v>18</v>
      </c>
      <c r="E2283" s="5">
        <v>-31119</v>
      </c>
      <c r="F2283" s="3" t="s">
        <v>136</v>
      </c>
      <c r="G2283" s="3" t="s">
        <v>322</v>
      </c>
      <c r="H2283" s="2" t="s">
        <v>62</v>
      </c>
      <c r="I2283" s="2" t="s">
        <v>5307</v>
      </c>
      <c r="J2283" s="3" t="str">
        <f>HYPERLINK("https://www.boe.es/gazeta/dias/1814/10/18/pdfs/GMD-1814-140.pdf#page=12","Abrir facsímil")</f>
        <v>Abrir facsímil</v>
      </c>
      <c r="K2283" s="3" t="s">
        <v>64</v>
      </c>
    </row>
    <row r="2284" spans="1:11" ht="42" customHeight="1">
      <c r="A2284" s="2" t="s">
        <v>5305</v>
      </c>
      <c r="B2284" s="2" t="s">
        <v>5306</v>
      </c>
      <c r="C2284" s="2" t="s">
        <v>17</v>
      </c>
      <c r="D2284" s="2" t="s">
        <v>18</v>
      </c>
      <c r="E2284" s="5">
        <v>-31115</v>
      </c>
      <c r="F2284" s="3" t="s">
        <v>805</v>
      </c>
      <c r="G2284" s="3" t="s">
        <v>20</v>
      </c>
      <c r="H2284" s="2" t="s">
        <v>62</v>
      </c>
      <c r="I2284" s="2" t="s">
        <v>5308</v>
      </c>
      <c r="J2284" s="3" t="str">
        <f>HYPERLINK("https://www.boe.es/gazeta/dias/1814/10/22/pdfs/GMD-1814-142.pdf#page=7","Abrir facsímil")</f>
        <v>Abrir facsímil</v>
      </c>
      <c r="K2284" s="3" t="s">
        <v>64</v>
      </c>
    </row>
    <row r="2285" spans="1:11" ht="42" customHeight="1">
      <c r="A2285" s="2" t="s">
        <v>5305</v>
      </c>
      <c r="B2285" s="2" t="s">
        <v>5306</v>
      </c>
      <c r="C2285" s="2" t="s">
        <v>17</v>
      </c>
      <c r="D2285" s="2" t="s">
        <v>18</v>
      </c>
      <c r="E2285" s="5">
        <v>-31110</v>
      </c>
      <c r="F2285" s="3" t="s">
        <v>149</v>
      </c>
      <c r="G2285" s="3" t="s">
        <v>20</v>
      </c>
      <c r="H2285" s="2" t="s">
        <v>62</v>
      </c>
      <c r="I2285" s="2" t="s">
        <v>5309</v>
      </c>
      <c r="J2285" s="3" t="str">
        <f>HYPERLINK("https://www.boe.es/gazeta/dias/1814/10/27/pdfs/GMD-1814-144.pdf#page=7","Abrir facsímil")</f>
        <v>Abrir facsímil</v>
      </c>
      <c r="K2285" s="3" t="s">
        <v>64</v>
      </c>
    </row>
    <row r="2286" spans="1:11" ht="42" customHeight="1">
      <c r="A2286" s="2" t="s">
        <v>5310</v>
      </c>
      <c r="B2286" s="2" t="s">
        <v>5310</v>
      </c>
      <c r="C2286" s="2" t="s">
        <v>38</v>
      </c>
      <c r="D2286" s="2" t="s">
        <v>39</v>
      </c>
      <c r="E2286" s="5">
        <v>-31364</v>
      </c>
      <c r="F2286" s="3" t="s">
        <v>594</v>
      </c>
      <c r="G2286" s="3" t="s">
        <v>107</v>
      </c>
      <c r="H2286" s="2" t="s">
        <v>62</v>
      </c>
      <c r="I2286" s="2" t="s">
        <v>5311</v>
      </c>
      <c r="J2286" s="3" t="str">
        <f>HYPERLINK("https://www.boe.es/gazeta/dias/1814/02/15/pdfs/GRE-1814-21.pdf#page=1","Abrir facsímil")</f>
        <v>Abrir facsímil</v>
      </c>
      <c r="K2286" s="3" t="s">
        <v>64</v>
      </c>
    </row>
    <row r="2287" spans="1:11" ht="42" customHeight="1">
      <c r="A2287" s="2" t="s">
        <v>5312</v>
      </c>
      <c r="B2287" s="2" t="s">
        <v>5313</v>
      </c>
      <c r="C2287" s="2" t="s">
        <v>17</v>
      </c>
      <c r="D2287" s="2" t="s">
        <v>18</v>
      </c>
      <c r="E2287" s="5">
        <v>-31180</v>
      </c>
      <c r="F2287" s="3" t="s">
        <v>520</v>
      </c>
      <c r="G2287" s="3" t="s">
        <v>99</v>
      </c>
      <c r="H2287" s="2" t="s">
        <v>62</v>
      </c>
      <c r="I2287" s="2" t="s">
        <v>5314</v>
      </c>
      <c r="J2287" s="3" t="str">
        <f>HYPERLINK("https://www.boe.es/gazeta/dias/1814/08/18/pdfs/GMD-1814-113.pdf#page=5","Abrir facsímil")</f>
        <v>Abrir facsímil</v>
      </c>
      <c r="K2287" s="3" t="s">
        <v>64</v>
      </c>
    </row>
    <row r="2288" spans="1:11" ht="42" customHeight="1">
      <c r="A2288" s="2" t="s">
        <v>5315</v>
      </c>
      <c r="B2288" s="2" t="s">
        <v>5316</v>
      </c>
      <c r="C2288" s="2" t="s">
        <v>38</v>
      </c>
      <c r="D2288" s="2" t="s">
        <v>39</v>
      </c>
      <c r="E2288" s="5">
        <v>-31283</v>
      </c>
      <c r="F2288" s="3" t="s">
        <v>701</v>
      </c>
      <c r="G2288" s="3" t="s">
        <v>52</v>
      </c>
      <c r="H2288" s="2" t="s">
        <v>62</v>
      </c>
      <c r="I2288" s="2" t="s">
        <v>5317</v>
      </c>
      <c r="J2288" s="3" t="str">
        <f>HYPERLINK("https://www.boe.es/gazeta/dias/1814/05/07/pdfs/GRE-1814-67.pdf#page=8","Abrir facsímil")</f>
        <v>Abrir facsímil</v>
      </c>
      <c r="K2288" s="3" t="s">
        <v>64</v>
      </c>
    </row>
    <row r="2289" spans="1:11" ht="42" customHeight="1">
      <c r="A2289" s="2" t="s">
        <v>5318</v>
      </c>
      <c r="B2289" s="2" t="s">
        <v>5319</v>
      </c>
      <c r="C2289" s="2" t="s">
        <v>26</v>
      </c>
      <c r="D2289" s="2" t="s">
        <v>27</v>
      </c>
      <c r="E2289" s="5">
        <v>-31315</v>
      </c>
      <c r="F2289" s="3" t="s">
        <v>645</v>
      </c>
      <c r="G2289" s="3" t="s">
        <v>82</v>
      </c>
      <c r="H2289" s="2" t="s">
        <v>62</v>
      </c>
      <c r="I2289" s="2" t="s">
        <v>5320</v>
      </c>
      <c r="J2289" s="3" t="str">
        <f>HYPERLINK("https://www.boe.es/gazeta/dias/1814/04/05/pdfs/GRE-1814-49.pdf#page=3","Abrir facsímil")</f>
        <v>Abrir facsímil</v>
      </c>
      <c r="K2289" s="3" t="s">
        <v>64</v>
      </c>
    </row>
    <row r="2290" spans="1:11" ht="42" customHeight="1">
      <c r="A2290" s="2" t="s">
        <v>5321</v>
      </c>
      <c r="B2290" s="2" t="s">
        <v>5322</v>
      </c>
      <c r="C2290" s="2" t="s">
        <v>105</v>
      </c>
      <c r="D2290" s="2" t="s">
        <v>18</v>
      </c>
      <c r="E2290" s="5">
        <v>-31089</v>
      </c>
      <c r="F2290" s="3" t="s">
        <v>531</v>
      </c>
      <c r="G2290" s="3" t="s">
        <v>794</v>
      </c>
      <c r="H2290" s="2" t="s">
        <v>62</v>
      </c>
      <c r="I2290" s="2" t="s">
        <v>5323</v>
      </c>
      <c r="J2290" s="3" t="str">
        <f>HYPERLINK("https://www.boe.es/gazeta/dias/1814/11/17/pdfs/GMD-1814-153.pdf#page=8","Abrir facsímil")</f>
        <v>Abrir facsímil</v>
      </c>
      <c r="K2290" s="3" t="s">
        <v>64</v>
      </c>
    </row>
    <row r="2291" spans="1:11" ht="42" customHeight="1">
      <c r="A2291" s="2" t="s">
        <v>5324</v>
      </c>
      <c r="B2291" s="2" t="s">
        <v>5325</v>
      </c>
      <c r="C2291" s="2" t="s">
        <v>26</v>
      </c>
      <c r="D2291" s="2" t="s">
        <v>27</v>
      </c>
      <c r="E2291" s="5">
        <v>-31292</v>
      </c>
      <c r="F2291" s="3" t="s">
        <v>557</v>
      </c>
      <c r="G2291" s="3" t="s">
        <v>52</v>
      </c>
      <c r="H2291" s="2" t="s">
        <v>62</v>
      </c>
      <c r="I2291" s="2" t="s">
        <v>5326</v>
      </c>
      <c r="J2291" s="3" t="str">
        <f>HYPERLINK("https://www.boe.es/gazeta/dias/1814/04/28/pdfs/GRE-1814-63.pdf#page=8","Abrir facsímil")</f>
        <v>Abrir facsímil</v>
      </c>
      <c r="K2291" s="3" t="s">
        <v>64</v>
      </c>
    </row>
    <row r="2292" spans="1:11" ht="42" customHeight="1">
      <c r="A2292" s="2" t="s">
        <v>5327</v>
      </c>
      <c r="B2292" s="2" t="s">
        <v>5327</v>
      </c>
      <c r="C2292" s="2" t="s">
        <v>38</v>
      </c>
      <c r="D2292" s="2" t="s">
        <v>39</v>
      </c>
      <c r="E2292" s="5">
        <v>-31334</v>
      </c>
      <c r="F2292" s="3" t="s">
        <v>482</v>
      </c>
      <c r="G2292" s="3" t="s">
        <v>107</v>
      </c>
      <c r="H2292" s="2" t="s">
        <v>62</v>
      </c>
      <c r="I2292" s="2" t="s">
        <v>5328</v>
      </c>
      <c r="J2292" s="3" t="str">
        <f>HYPERLINK("https://www.boe.es/gazeta/dias/1814/03/17/pdfs/GRE-1814-37.pdf#page=1","Abrir facsímil")</f>
        <v>Abrir facsímil</v>
      </c>
      <c r="K2292" s="3" t="s">
        <v>64</v>
      </c>
    </row>
    <row r="2293" spans="1:11" ht="42" customHeight="1">
      <c r="A2293" s="2" t="s">
        <v>5327</v>
      </c>
      <c r="B2293" s="2" t="s">
        <v>5327</v>
      </c>
      <c r="C2293" s="2" t="s">
        <v>38</v>
      </c>
      <c r="D2293" s="2" t="s">
        <v>39</v>
      </c>
      <c r="E2293" s="5">
        <v>-31329</v>
      </c>
      <c r="F2293" s="3" t="s">
        <v>621</v>
      </c>
      <c r="G2293" s="3" t="s">
        <v>57</v>
      </c>
      <c r="H2293" s="2" t="s">
        <v>62</v>
      </c>
      <c r="I2293" s="2" t="s">
        <v>5329</v>
      </c>
      <c r="J2293" s="3" t="str">
        <f>HYPERLINK("https://www.boe.es/gazeta/dias/1814/03/22/pdfs/GRE-1814-39.pdf#page=6","Abrir facsímil")</f>
        <v>Abrir facsímil</v>
      </c>
      <c r="K2293" s="3" t="s">
        <v>64</v>
      </c>
    </row>
    <row r="2294" spans="1:11" ht="42" customHeight="1">
      <c r="A2294" s="2" t="s">
        <v>5327</v>
      </c>
      <c r="B2294" s="2" t="s">
        <v>5327</v>
      </c>
      <c r="C2294" s="2" t="s">
        <v>38</v>
      </c>
      <c r="D2294" s="2" t="s">
        <v>39</v>
      </c>
      <c r="E2294" s="5">
        <v>-31318</v>
      </c>
      <c r="F2294" s="3" t="s">
        <v>400</v>
      </c>
      <c r="G2294" s="3" t="s">
        <v>87</v>
      </c>
      <c r="H2294" s="2" t="s">
        <v>62</v>
      </c>
      <c r="I2294" s="2" t="s">
        <v>5330</v>
      </c>
      <c r="J2294" s="3" t="str">
        <f>HYPERLINK("https://www.boe.es/gazeta/dias/1814/04/02/pdfs/GRE-1814-47.pdf#page=2","Abrir facsímil")</f>
        <v>Abrir facsímil</v>
      </c>
      <c r="K2294" s="3" t="s">
        <v>64</v>
      </c>
    </row>
    <row r="2295" spans="1:11" ht="42" customHeight="1">
      <c r="A2295" s="2" t="s">
        <v>5327</v>
      </c>
      <c r="B2295" s="2" t="s">
        <v>5327</v>
      </c>
      <c r="C2295" s="2" t="s">
        <v>38</v>
      </c>
      <c r="D2295" s="2" t="s">
        <v>39</v>
      </c>
      <c r="E2295" s="5">
        <v>-31220</v>
      </c>
      <c r="F2295" s="3" t="s">
        <v>122</v>
      </c>
      <c r="G2295" s="3" t="s">
        <v>87</v>
      </c>
      <c r="H2295" s="2" t="s">
        <v>62</v>
      </c>
      <c r="I2295" s="2" t="s">
        <v>5331</v>
      </c>
      <c r="J2295" s="3" t="str">
        <f>HYPERLINK("https://www.boe.es/gazeta/dias/1814/07/09/pdfs/GMD-1814-96.pdf#page=2","Abrir facsímil")</f>
        <v>Abrir facsímil</v>
      </c>
      <c r="K2295" s="3" t="s">
        <v>64</v>
      </c>
    </row>
    <row r="2296" spans="1:11" ht="42" customHeight="1">
      <c r="A2296" s="2" t="s">
        <v>5332</v>
      </c>
      <c r="B2296" s="2" t="s">
        <v>5333</v>
      </c>
      <c r="C2296" s="2" t="s">
        <v>26</v>
      </c>
      <c r="D2296" s="2" t="s">
        <v>27</v>
      </c>
      <c r="E2296" s="5">
        <v>-31087</v>
      </c>
      <c r="F2296" s="3" t="s">
        <v>118</v>
      </c>
      <c r="G2296" s="3" t="s">
        <v>52</v>
      </c>
      <c r="H2296" s="2" t="s">
        <v>62</v>
      </c>
      <c r="I2296" s="2" t="s">
        <v>5334</v>
      </c>
      <c r="J2296" s="3" t="str">
        <f>HYPERLINK("https://www.boe.es/gazeta/dias/1814/11/19/pdfs/GMD-1814-154.pdf#page=8","Abrir facsímil")</f>
        <v>Abrir facsímil</v>
      </c>
      <c r="K2296" s="3" t="s">
        <v>64</v>
      </c>
    </row>
    <row r="2297" spans="1:11" ht="42" customHeight="1">
      <c r="A2297" s="2" t="s">
        <v>5335</v>
      </c>
      <c r="B2297" s="2" t="s">
        <v>5336</v>
      </c>
      <c r="C2297" s="2" t="s">
        <v>105</v>
      </c>
      <c r="D2297" s="2" t="s">
        <v>18</v>
      </c>
      <c r="E2297" s="5">
        <v>-31353</v>
      </c>
      <c r="F2297" s="3" t="s">
        <v>247</v>
      </c>
      <c r="G2297" s="3" t="s">
        <v>52</v>
      </c>
      <c r="H2297" s="2" t="s">
        <v>62</v>
      </c>
      <c r="I2297" s="2" t="s">
        <v>5337</v>
      </c>
      <c r="J2297" s="3" t="str">
        <f>HYPERLINK("https://www.boe.es/gazeta/dias/1814/02/26/pdfs/GRE-1814-27.pdf#page=8","Abrir facsímil")</f>
        <v>Abrir facsímil</v>
      </c>
      <c r="K2297" s="3" t="s">
        <v>64</v>
      </c>
    </row>
    <row r="2298" spans="1:11" ht="42" customHeight="1">
      <c r="A2298" s="2" t="s">
        <v>5338</v>
      </c>
      <c r="B2298" s="2" t="s">
        <v>5339</v>
      </c>
      <c r="C2298" s="2" t="s">
        <v>38</v>
      </c>
      <c r="D2298" s="2" t="s">
        <v>39</v>
      </c>
      <c r="E2298" s="5">
        <v>-31336</v>
      </c>
      <c r="F2298" s="3" t="s">
        <v>1789</v>
      </c>
      <c r="G2298" s="3" t="s">
        <v>52</v>
      </c>
      <c r="H2298" s="2" t="s">
        <v>62</v>
      </c>
      <c r="I2298" s="2" t="s">
        <v>5340</v>
      </c>
      <c r="J2298" s="3" t="str">
        <f>HYPERLINK("https://www.boe.es/gazeta/dias/1814/03/15/pdfs/GRE-1814-36.pdf#page=8","Abrir facsímil")</f>
        <v>Abrir facsímil</v>
      </c>
      <c r="K2298" s="3" t="s">
        <v>64</v>
      </c>
    </row>
    <row r="2299" spans="1:11" ht="42" customHeight="1">
      <c r="A2299" s="2" t="s">
        <v>5341</v>
      </c>
      <c r="B2299" s="2" t="s">
        <v>5342</v>
      </c>
      <c r="C2299" s="2" t="s">
        <v>38</v>
      </c>
      <c r="D2299" s="2" t="s">
        <v>39</v>
      </c>
      <c r="E2299" s="5">
        <v>-31173</v>
      </c>
      <c r="F2299" s="3" t="s">
        <v>46</v>
      </c>
      <c r="G2299" s="3" t="s">
        <v>82</v>
      </c>
      <c r="H2299" s="2" t="s">
        <v>62</v>
      </c>
      <c r="I2299" s="2" t="s">
        <v>5343</v>
      </c>
      <c r="J2299" s="3" t="str">
        <f>HYPERLINK("https://www.boe.es/gazeta/dias/1814/08/25/pdfs/GMD-1814-116.pdf#page=3","Abrir facsímil")</f>
        <v>Abrir facsímil</v>
      </c>
      <c r="K2299" s="3" t="s">
        <v>64</v>
      </c>
    </row>
    <row r="2300" spans="1:11" ht="42" customHeight="1">
      <c r="A2300" s="2" t="s">
        <v>5344</v>
      </c>
      <c r="B2300" s="2" t="s">
        <v>5345</v>
      </c>
      <c r="C2300" s="2" t="s">
        <v>17</v>
      </c>
      <c r="D2300" s="2" t="s">
        <v>18</v>
      </c>
      <c r="E2300" s="5">
        <v>-31399</v>
      </c>
      <c r="F2300" s="3" t="s">
        <v>218</v>
      </c>
      <c r="G2300" s="3" t="s">
        <v>219</v>
      </c>
      <c r="H2300" s="2" t="s">
        <v>62</v>
      </c>
      <c r="I2300" s="2" t="s">
        <v>5346</v>
      </c>
      <c r="J2300" s="3" t="str">
        <f>HYPERLINK("https://www.boe.es/gazeta/dias/1814/01/11/pdfs/GRE-1814-6.pdf#page=8","Abrir facsímil")</f>
        <v>Abrir facsímil</v>
      </c>
      <c r="K2300" s="3" t="s">
        <v>64</v>
      </c>
    </row>
    <row r="2301" spans="1:11" ht="42" customHeight="1">
      <c r="A2301" s="2" t="s">
        <v>5347</v>
      </c>
      <c r="B2301" s="2" t="s">
        <v>5347</v>
      </c>
      <c r="C2301" s="2" t="s">
        <v>38</v>
      </c>
      <c r="D2301" s="2" t="s">
        <v>39</v>
      </c>
      <c r="E2301" s="5">
        <v>-31371</v>
      </c>
      <c r="F2301" s="3" t="s">
        <v>476</v>
      </c>
      <c r="G2301" s="3" t="s">
        <v>99</v>
      </c>
      <c r="H2301" s="2" t="s">
        <v>62</v>
      </c>
      <c r="I2301" s="2" t="s">
        <v>5348</v>
      </c>
      <c r="J2301" s="3" t="str">
        <f>HYPERLINK("https://www.boe.es/gazeta/dias/1814/02/08/pdfs/GRE-1814-31.pdf#page=5","Abrir facsímil")</f>
        <v>Abrir facsímil</v>
      </c>
      <c r="K2301" s="3" t="s">
        <v>64</v>
      </c>
    </row>
    <row r="2302" spans="1:11" ht="42" customHeight="1">
      <c r="A2302" s="2" t="s">
        <v>5347</v>
      </c>
      <c r="B2302" s="2" t="s">
        <v>5347</v>
      </c>
      <c r="C2302" s="2" t="s">
        <v>38</v>
      </c>
      <c r="D2302" s="2" t="s">
        <v>39</v>
      </c>
      <c r="E2302" s="5">
        <v>-31362</v>
      </c>
      <c r="F2302" s="3" t="s">
        <v>302</v>
      </c>
      <c r="G2302" s="3" t="s">
        <v>41</v>
      </c>
      <c r="H2302" s="2" t="s">
        <v>62</v>
      </c>
      <c r="I2302" s="2" t="s">
        <v>5349</v>
      </c>
      <c r="J2302" s="3" t="str">
        <f>HYPERLINK("https://www.boe.es/gazeta/dias/1814/02/17/pdfs/GRE-1814-22.pdf#page=4","Abrir facsímil")</f>
        <v>Abrir facsímil</v>
      </c>
      <c r="K2302" s="3" t="s">
        <v>64</v>
      </c>
    </row>
    <row r="2303" spans="1:11" ht="42" customHeight="1">
      <c r="A2303" s="2" t="s">
        <v>5350</v>
      </c>
      <c r="B2303" s="2" t="s">
        <v>5350</v>
      </c>
      <c r="C2303" s="2" t="s">
        <v>38</v>
      </c>
      <c r="D2303" s="2" t="s">
        <v>39</v>
      </c>
      <c r="E2303" s="5">
        <v>-31353</v>
      </c>
      <c r="F2303" s="3" t="s">
        <v>247</v>
      </c>
      <c r="G2303" s="3" t="s">
        <v>1617</v>
      </c>
      <c r="H2303" s="2" t="s">
        <v>62</v>
      </c>
      <c r="I2303" s="2" t="s">
        <v>5351</v>
      </c>
      <c r="J2303" s="3" t="str">
        <f>HYPERLINK("https://www.boe.es/gazeta/dias/1814/02/26/pdfs/GRE-1814-27.pdf#page=3","Abrir facsímil")</f>
        <v>Abrir facsímil</v>
      </c>
      <c r="K2303" s="3" t="s">
        <v>64</v>
      </c>
    </row>
    <row r="2304" spans="1:11" ht="42" customHeight="1">
      <c r="A2304" s="2" t="s">
        <v>5347</v>
      </c>
      <c r="B2304" s="2" t="s">
        <v>5347</v>
      </c>
      <c r="C2304" s="2" t="s">
        <v>38</v>
      </c>
      <c r="D2304" s="2" t="s">
        <v>39</v>
      </c>
      <c r="E2304" s="5">
        <v>-31346</v>
      </c>
      <c r="F2304" s="3" t="s">
        <v>78</v>
      </c>
      <c r="G2304" s="3" t="s">
        <v>87</v>
      </c>
      <c r="H2304" s="2" t="s">
        <v>62</v>
      </c>
      <c r="I2304" s="2" t="s">
        <v>5352</v>
      </c>
      <c r="J2304" s="3" t="str">
        <f>HYPERLINK("https://www.boe.es/gazeta/dias/1814/03/05/pdfs/GRE-1814-30.pdf#page=2","Abrir facsímil")</f>
        <v>Abrir facsímil</v>
      </c>
      <c r="K2304" s="3" t="s">
        <v>64</v>
      </c>
    </row>
    <row r="2305" spans="1:11" ht="42" customHeight="1">
      <c r="A2305" s="2" t="s">
        <v>5347</v>
      </c>
      <c r="B2305" s="2" t="s">
        <v>5347</v>
      </c>
      <c r="C2305" s="2" t="s">
        <v>38</v>
      </c>
      <c r="D2305" s="2" t="s">
        <v>39</v>
      </c>
      <c r="E2305" s="5">
        <v>-31343</v>
      </c>
      <c r="F2305" s="3" t="s">
        <v>476</v>
      </c>
      <c r="G2305" s="3" t="s">
        <v>99</v>
      </c>
      <c r="H2305" s="2" t="s">
        <v>62</v>
      </c>
      <c r="I2305" s="2" t="s">
        <v>5348</v>
      </c>
      <c r="J2305" s="3" t="str">
        <f>HYPERLINK("https://www.boe.es/gazeta/dias/1814/03/08/pdfs/GRE-1814-31.pdf#page=5","Abrir facsímil")</f>
        <v>Abrir facsímil</v>
      </c>
      <c r="K2305" s="3" t="s">
        <v>64</v>
      </c>
    </row>
    <row r="2306" spans="1:11" ht="42" customHeight="1">
      <c r="A2306" s="2" t="s">
        <v>5347</v>
      </c>
      <c r="B2306" s="2" t="s">
        <v>5347</v>
      </c>
      <c r="C2306" s="2" t="s">
        <v>38</v>
      </c>
      <c r="D2306" s="2" t="s">
        <v>39</v>
      </c>
      <c r="E2306" s="5">
        <v>-31329</v>
      </c>
      <c r="F2306" s="3" t="s">
        <v>621</v>
      </c>
      <c r="G2306" s="3" t="s">
        <v>99</v>
      </c>
      <c r="H2306" s="2" t="s">
        <v>62</v>
      </c>
      <c r="I2306" s="2" t="s">
        <v>5353</v>
      </c>
      <c r="J2306" s="3" t="str">
        <f>HYPERLINK("https://www.boe.es/gazeta/dias/1814/03/22/pdfs/GRE-1814-39.pdf#page=5","Abrir facsímil")</f>
        <v>Abrir facsímil</v>
      </c>
      <c r="K2306" s="3" t="s">
        <v>64</v>
      </c>
    </row>
    <row r="2307" spans="1:11" ht="42" customHeight="1">
      <c r="A2307" s="2" t="s">
        <v>5347</v>
      </c>
      <c r="B2307" s="2" t="s">
        <v>5347</v>
      </c>
      <c r="C2307" s="2" t="s">
        <v>38</v>
      </c>
      <c r="D2307" s="2" t="s">
        <v>39</v>
      </c>
      <c r="E2307" s="5">
        <v>-31320</v>
      </c>
      <c r="F2307" s="3" t="s">
        <v>40</v>
      </c>
      <c r="G2307" s="3" t="s">
        <v>87</v>
      </c>
      <c r="H2307" s="2" t="s">
        <v>62</v>
      </c>
      <c r="I2307" s="2" t="s">
        <v>5354</v>
      </c>
      <c r="J2307" s="3" t="str">
        <f>HYPERLINK("https://www.boe.es/gazeta/dias/1814/03/31/pdfs/GRE-1814-46.pdf#page=2","Abrir facsímil")</f>
        <v>Abrir facsímil</v>
      </c>
      <c r="K2307" s="3" t="s">
        <v>64</v>
      </c>
    </row>
    <row r="2308" spans="1:11" ht="42" customHeight="1">
      <c r="A2308" s="2" t="s">
        <v>5347</v>
      </c>
      <c r="B2308" s="2" t="s">
        <v>5347</v>
      </c>
      <c r="C2308" s="2" t="s">
        <v>38</v>
      </c>
      <c r="D2308" s="2" t="s">
        <v>39</v>
      </c>
      <c r="E2308" s="5">
        <v>-31320</v>
      </c>
      <c r="F2308" s="3" t="s">
        <v>40</v>
      </c>
      <c r="G2308" s="3" t="s">
        <v>82</v>
      </c>
      <c r="H2308" s="2" t="s">
        <v>62</v>
      </c>
      <c r="I2308" s="2" t="s">
        <v>5355</v>
      </c>
      <c r="J2308" s="3" t="str">
        <f>HYPERLINK("https://www.boe.es/gazeta/dias/1814/03/31/pdfs/GRE-1814-46.pdf#page=3","Abrir facsímil")</f>
        <v>Abrir facsímil</v>
      </c>
      <c r="K2308" s="3" t="s">
        <v>64</v>
      </c>
    </row>
    <row r="2309" spans="1:11" ht="42" customHeight="1">
      <c r="A2309" s="2" t="s">
        <v>5347</v>
      </c>
      <c r="B2309" s="2" t="s">
        <v>5347</v>
      </c>
      <c r="C2309" s="2" t="s">
        <v>38</v>
      </c>
      <c r="D2309" s="2" t="s">
        <v>39</v>
      </c>
      <c r="E2309" s="5">
        <v>-31318</v>
      </c>
      <c r="F2309" s="3" t="s">
        <v>400</v>
      </c>
      <c r="G2309" s="3" t="s">
        <v>107</v>
      </c>
      <c r="H2309" s="2" t="s">
        <v>62</v>
      </c>
      <c r="I2309" s="2" t="s">
        <v>5356</v>
      </c>
      <c r="J2309" s="3" t="str">
        <f>HYPERLINK("https://www.boe.es/gazeta/dias/1814/04/02/pdfs/GRE-1814-47.pdf#page=1","Abrir facsímil")</f>
        <v>Abrir facsímil</v>
      </c>
      <c r="K2309" s="3" t="s">
        <v>64</v>
      </c>
    </row>
    <row r="2310" spans="1:11" ht="42" customHeight="1">
      <c r="A2310" s="2" t="s">
        <v>5347</v>
      </c>
      <c r="B2310" s="2" t="s">
        <v>5347</v>
      </c>
      <c r="C2310" s="2" t="s">
        <v>38</v>
      </c>
      <c r="D2310" s="2" t="s">
        <v>39</v>
      </c>
      <c r="E2310" s="5">
        <v>-31318</v>
      </c>
      <c r="F2310" s="3" t="s">
        <v>400</v>
      </c>
      <c r="G2310" s="3" t="s">
        <v>87</v>
      </c>
      <c r="H2310" s="2" t="s">
        <v>62</v>
      </c>
      <c r="I2310" s="2" t="s">
        <v>5357</v>
      </c>
      <c r="J2310" s="3" t="str">
        <f>HYPERLINK("https://www.boe.es/gazeta/dias/1814/04/02/pdfs/GRE-1814-47.pdf#page=2","Abrir facsímil")</f>
        <v>Abrir facsímil</v>
      </c>
      <c r="K2310" s="3" t="s">
        <v>64</v>
      </c>
    </row>
    <row r="2311" spans="1:11" ht="42" customHeight="1">
      <c r="A2311" s="2" t="s">
        <v>5358</v>
      </c>
      <c r="B2311" s="2" t="s">
        <v>5358</v>
      </c>
      <c r="C2311" s="2" t="s">
        <v>38</v>
      </c>
      <c r="D2311" s="2" t="s">
        <v>39</v>
      </c>
      <c r="E2311" s="5">
        <v>-31063</v>
      </c>
      <c r="F2311" s="3" t="s">
        <v>649</v>
      </c>
      <c r="G2311" s="3" t="s">
        <v>87</v>
      </c>
      <c r="H2311" s="2" t="s">
        <v>62</v>
      </c>
      <c r="I2311" s="2" t="s">
        <v>5359</v>
      </c>
      <c r="J2311" s="3" t="str">
        <f>HYPERLINK("https://www.boe.es/gazeta/dias/1814/12/13/pdfs/GMD-1814-164.pdf#page=2","Abrir facsímil")</f>
        <v>Abrir facsímil</v>
      </c>
      <c r="K2311" s="3" t="s">
        <v>64</v>
      </c>
    </row>
    <row r="2312" spans="1:11" ht="42" customHeight="1">
      <c r="A2312" s="2" t="s">
        <v>5360</v>
      </c>
      <c r="B2312" s="2" t="s">
        <v>5360</v>
      </c>
      <c r="C2312" s="2" t="s">
        <v>38</v>
      </c>
      <c r="D2312" s="2" t="s">
        <v>39</v>
      </c>
      <c r="E2312" s="5">
        <v>-31325</v>
      </c>
      <c r="F2312" s="3" t="s">
        <v>67</v>
      </c>
      <c r="G2312" s="3" t="s">
        <v>82</v>
      </c>
      <c r="H2312" s="2" t="s">
        <v>62</v>
      </c>
      <c r="I2312" s="2" t="s">
        <v>5361</v>
      </c>
      <c r="J2312" s="3" t="str">
        <f>HYPERLINK("https://www.boe.es/gazeta/dias/1814/03/26/pdfs/GRE-1814-43.pdf#page=3","Abrir facsímil")</f>
        <v>Abrir facsímil</v>
      </c>
      <c r="K2312" s="3" t="s">
        <v>64</v>
      </c>
    </row>
    <row r="2313" spans="1:11" ht="42" customHeight="1">
      <c r="A2313" s="2" t="s">
        <v>5362</v>
      </c>
      <c r="B2313" s="2" t="s">
        <v>5362</v>
      </c>
      <c r="C2313" s="2" t="s">
        <v>38</v>
      </c>
      <c r="D2313" s="2" t="s">
        <v>39</v>
      </c>
      <c r="E2313" s="5">
        <v>-31327</v>
      </c>
      <c r="F2313" s="3" t="s">
        <v>180</v>
      </c>
      <c r="G2313" s="3" t="s">
        <v>41</v>
      </c>
      <c r="H2313" s="2" t="s">
        <v>62</v>
      </c>
      <c r="I2313" s="2" t="s">
        <v>5363</v>
      </c>
      <c r="J2313" s="3" t="str">
        <f>HYPERLINK("https://www.boe.es/gazeta/dias/1814/03/24/pdfs/GRE-1814-41.pdf#page=4","Abrir facsímil")</f>
        <v>Abrir facsímil</v>
      </c>
      <c r="K2313" s="3" t="s">
        <v>64</v>
      </c>
    </row>
    <row r="2314" spans="1:11" ht="42" customHeight="1">
      <c r="A2314" s="2" t="s">
        <v>5364</v>
      </c>
      <c r="B2314" s="2" t="s">
        <v>5365</v>
      </c>
      <c r="C2314" s="2" t="s">
        <v>38</v>
      </c>
      <c r="D2314" s="2" t="s">
        <v>39</v>
      </c>
      <c r="E2314" s="5">
        <v>-31224</v>
      </c>
      <c r="F2314" s="3" t="s">
        <v>609</v>
      </c>
      <c r="G2314" s="3" t="s">
        <v>322</v>
      </c>
      <c r="H2314" s="2" t="s">
        <v>62</v>
      </c>
      <c r="I2314" s="2" t="s">
        <v>5366</v>
      </c>
      <c r="J2314" s="3" t="str">
        <f>HYPERLINK("https://www.boe.es/gazeta/dias/1814/07/05/pdfs/GMD-1814-94.pdf#page=12","Abrir facsímil")</f>
        <v>Abrir facsímil</v>
      </c>
      <c r="K2314" s="3" t="s">
        <v>64</v>
      </c>
    </row>
    <row r="2315" spans="1:11" ht="42" customHeight="1">
      <c r="A2315" s="2" t="s">
        <v>5367</v>
      </c>
      <c r="B2315" s="2" t="s">
        <v>5368</v>
      </c>
      <c r="C2315" s="2" t="s">
        <v>32</v>
      </c>
      <c r="D2315" s="2" t="s">
        <v>18</v>
      </c>
      <c r="E2315" s="5">
        <v>-31112</v>
      </c>
      <c r="F2315" s="3" t="s">
        <v>707</v>
      </c>
      <c r="G2315" s="3" t="s">
        <v>708</v>
      </c>
      <c r="H2315" s="2" t="s">
        <v>62</v>
      </c>
      <c r="I2315" s="2" t="s">
        <v>5369</v>
      </c>
      <c r="J2315" s="3" t="str">
        <f>HYPERLINK("https://www.boe.es/gazeta/dias/1814/10/25/pdfs/GMD-1814-143.pdf#page=8","Abrir facsímil")</f>
        <v>Abrir facsímil</v>
      </c>
      <c r="K2315" s="3" t="s">
        <v>64</v>
      </c>
    </row>
    <row r="2316" spans="1:11" ht="42" customHeight="1">
      <c r="A2316" s="2" t="s">
        <v>5370</v>
      </c>
      <c r="B2316" s="2" t="s">
        <v>5371</v>
      </c>
      <c r="C2316" s="2" t="s">
        <v>38</v>
      </c>
      <c r="D2316" s="2" t="s">
        <v>39</v>
      </c>
      <c r="E2316" s="5">
        <v>-31129</v>
      </c>
      <c r="F2316" s="3" t="s">
        <v>418</v>
      </c>
      <c r="G2316" s="3" t="s">
        <v>20</v>
      </c>
      <c r="H2316" s="2" t="s">
        <v>62</v>
      </c>
      <c r="I2316" s="2" t="s">
        <v>5372</v>
      </c>
      <c r="J2316" s="3" t="str">
        <f>HYPERLINK("https://www.boe.es/gazeta/dias/1814/10/08/pdfs/GMD-1814-136.pdf#page=7","Abrir facsímil")</f>
        <v>Abrir facsímil</v>
      </c>
      <c r="K2316" s="3" t="s">
        <v>64</v>
      </c>
    </row>
    <row r="2317" spans="1:11" ht="42" customHeight="1">
      <c r="A2317" s="2" t="s">
        <v>5373</v>
      </c>
      <c r="B2317" s="2" t="s">
        <v>5374</v>
      </c>
      <c r="C2317" s="2" t="s">
        <v>38</v>
      </c>
      <c r="D2317" s="2" t="s">
        <v>39</v>
      </c>
      <c r="E2317" s="5">
        <v>-31399</v>
      </c>
      <c r="F2317" s="3" t="s">
        <v>218</v>
      </c>
      <c r="G2317" s="3" t="s">
        <v>219</v>
      </c>
      <c r="H2317" s="2" t="s">
        <v>62</v>
      </c>
      <c r="I2317" s="2" t="s">
        <v>5375</v>
      </c>
      <c r="J2317" s="3" t="str">
        <f>HYPERLINK("https://www.boe.es/gazeta/dias/1814/01/11/pdfs/GRE-1814-6.pdf#page=8","Abrir facsímil")</f>
        <v>Abrir facsímil</v>
      </c>
      <c r="K2317" s="3" t="s">
        <v>64</v>
      </c>
    </row>
    <row r="2318" spans="1:11" ht="42" customHeight="1">
      <c r="A2318" s="2" t="s">
        <v>5376</v>
      </c>
      <c r="B2318" s="2" t="s">
        <v>5377</v>
      </c>
      <c r="C2318" s="2" t="s">
        <v>17</v>
      </c>
      <c r="D2318" s="2" t="s">
        <v>18</v>
      </c>
      <c r="E2318" s="5">
        <v>-31061</v>
      </c>
      <c r="F2318" s="3" t="s">
        <v>329</v>
      </c>
      <c r="G2318" s="3" t="s">
        <v>873</v>
      </c>
      <c r="H2318" s="2" t="s">
        <v>62</v>
      </c>
      <c r="I2318" s="2" t="s">
        <v>5378</v>
      </c>
      <c r="J2318" s="3" t="str">
        <f>HYPERLINK("https://www.boe.es/gazeta/dias/1814/12/15/pdfs/GMD-1814-165.pdf#page=6","Abrir facsímil")</f>
        <v>Abrir facsímil</v>
      </c>
      <c r="K2318" s="3" t="s">
        <v>64</v>
      </c>
    </row>
    <row r="2319" spans="1:11" ht="42" customHeight="1">
      <c r="A2319" s="2" t="s">
        <v>5379</v>
      </c>
      <c r="B2319" s="2" t="s">
        <v>5379</v>
      </c>
      <c r="C2319" s="2" t="s">
        <v>38</v>
      </c>
      <c r="D2319" s="2" t="s">
        <v>39</v>
      </c>
      <c r="E2319" s="5">
        <v>-31404</v>
      </c>
      <c r="F2319" s="3" t="s">
        <v>630</v>
      </c>
      <c r="G2319" s="3" t="s">
        <v>57</v>
      </c>
      <c r="H2319" s="2" t="s">
        <v>62</v>
      </c>
      <c r="I2319" s="2" t="s">
        <v>5380</v>
      </c>
      <c r="J2319" s="3" t="str">
        <f>HYPERLINK("https://www.boe.es/gazeta/dias/1814/01/06/pdfs/GRE-1814-3.pdf#page=6","Abrir facsímil")</f>
        <v>Abrir facsímil</v>
      </c>
      <c r="K2319" s="3" t="s">
        <v>64</v>
      </c>
    </row>
    <row r="2320" spans="1:11" ht="42" customHeight="1">
      <c r="A2320" s="2" t="s">
        <v>5381</v>
      </c>
      <c r="B2320" s="2" t="s">
        <v>5382</v>
      </c>
      <c r="C2320" s="2" t="s">
        <v>17</v>
      </c>
      <c r="D2320" s="2" t="s">
        <v>18</v>
      </c>
      <c r="E2320" s="5">
        <v>-31383</v>
      </c>
      <c r="F2320" s="3" t="s">
        <v>715</v>
      </c>
      <c r="G2320" s="3" t="s">
        <v>57</v>
      </c>
      <c r="H2320" s="2" t="s">
        <v>62</v>
      </c>
      <c r="I2320" s="2" t="s">
        <v>5383</v>
      </c>
      <c r="J2320" s="3" t="str">
        <f>HYPERLINK("https://www.boe.es/gazeta/dias/1814/01/27/pdfs/GRE-1814-13.pdf#page=6","Abrir facsímil")</f>
        <v>Abrir facsímil</v>
      </c>
      <c r="K2320" s="3" t="s">
        <v>64</v>
      </c>
    </row>
    <row r="2321" spans="1:11" ht="42" customHeight="1">
      <c r="A2321" s="2" t="s">
        <v>5384</v>
      </c>
      <c r="B2321" s="2" t="s">
        <v>5385</v>
      </c>
      <c r="C2321" s="2" t="s">
        <v>45</v>
      </c>
      <c r="D2321" s="2" t="s">
        <v>18</v>
      </c>
      <c r="E2321" s="5">
        <v>-31129</v>
      </c>
      <c r="F2321" s="3" t="s">
        <v>418</v>
      </c>
      <c r="G2321" s="3" t="s">
        <v>20</v>
      </c>
      <c r="H2321" s="2" t="s">
        <v>62</v>
      </c>
      <c r="I2321" s="2" t="s">
        <v>5386</v>
      </c>
      <c r="J2321" s="3" t="str">
        <f>HYPERLINK("https://www.boe.es/gazeta/dias/1814/10/08/pdfs/GMD-1814-136.pdf#page=7","Abrir facsímil")</f>
        <v>Abrir facsímil</v>
      </c>
      <c r="K2321" s="3" t="s">
        <v>64</v>
      </c>
    </row>
    <row r="2322" spans="1:11" ht="42" customHeight="1">
      <c r="A2322" s="2" t="s">
        <v>5387</v>
      </c>
      <c r="B2322" s="2" t="s">
        <v>5388</v>
      </c>
      <c r="C2322" s="2" t="s">
        <v>26</v>
      </c>
      <c r="D2322" s="2" t="s">
        <v>27</v>
      </c>
      <c r="E2322" s="5">
        <v>-31138</v>
      </c>
      <c r="F2322" s="3" t="s">
        <v>1363</v>
      </c>
      <c r="G2322" s="3" t="s">
        <v>1364</v>
      </c>
      <c r="H2322" s="2" t="s">
        <v>21</v>
      </c>
      <c r="I2322" s="2" t="s">
        <v>5389</v>
      </c>
      <c r="J2322" s="3" t="str">
        <f>HYPERLINK("https://www.boe.es/gazeta/dias/1814/09/29/pdfs/GMD-1814-132.pdf#page=7","Abrir facsímil")</f>
        <v>Abrir facsímil</v>
      </c>
      <c r="K2322" s="3" t="s">
        <v>23</v>
      </c>
    </row>
    <row r="2323" spans="1:11" ht="42" customHeight="1">
      <c r="A2323" s="2" t="s">
        <v>5390</v>
      </c>
      <c r="B2323" s="2" t="s">
        <v>5391</v>
      </c>
      <c r="C2323" s="2" t="s">
        <v>38</v>
      </c>
      <c r="D2323" s="2" t="s">
        <v>39</v>
      </c>
      <c r="E2323" s="5">
        <v>-31112</v>
      </c>
      <c r="F2323" s="3" t="s">
        <v>707</v>
      </c>
      <c r="G2323" s="3" t="s">
        <v>20</v>
      </c>
      <c r="H2323" s="2" t="s">
        <v>62</v>
      </c>
      <c r="I2323" s="2" t="s">
        <v>5392</v>
      </c>
      <c r="J2323" s="3" t="str">
        <f>HYPERLINK("https://www.boe.es/gazeta/dias/1814/10/25/pdfs/GMD-1814-143.pdf#page=7","Abrir facsímil")</f>
        <v>Abrir facsímil</v>
      </c>
      <c r="K2323" s="3" t="s">
        <v>64</v>
      </c>
    </row>
    <row r="2324" spans="1:11" ht="42" customHeight="1">
      <c r="A2324" s="2" t="s">
        <v>5393</v>
      </c>
      <c r="B2324" s="2" t="s">
        <v>5394</v>
      </c>
      <c r="C2324" s="2" t="s">
        <v>38</v>
      </c>
      <c r="D2324" s="2" t="s">
        <v>39</v>
      </c>
      <c r="E2324" s="5">
        <v>-31231</v>
      </c>
      <c r="F2324" s="3" t="s">
        <v>861</v>
      </c>
      <c r="G2324" s="3" t="s">
        <v>322</v>
      </c>
      <c r="H2324" s="2" t="s">
        <v>62</v>
      </c>
      <c r="I2324" s="2" t="s">
        <v>5395</v>
      </c>
      <c r="J2324" s="3" t="str">
        <f>HYPERLINK("https://www.boe.es/gazeta/dias/1814/06/28/pdfs/GMD-1814-91.pdf#page=12","Abrir facsímil")</f>
        <v>Abrir facsímil</v>
      </c>
      <c r="K2324" s="3" t="s">
        <v>64</v>
      </c>
    </row>
    <row r="2325" spans="1:11" ht="42" customHeight="1">
      <c r="A2325" s="2" t="s">
        <v>5396</v>
      </c>
      <c r="B2325" s="2" t="s">
        <v>5397</v>
      </c>
      <c r="C2325" s="2" t="s">
        <v>32</v>
      </c>
      <c r="D2325" s="2" t="s">
        <v>18</v>
      </c>
      <c r="E2325" s="5">
        <v>-31206</v>
      </c>
      <c r="F2325" s="3" t="s">
        <v>1196</v>
      </c>
      <c r="G2325" s="3" t="s">
        <v>20</v>
      </c>
      <c r="H2325" s="2" t="s">
        <v>62</v>
      </c>
      <c r="I2325" s="2" t="s">
        <v>5398</v>
      </c>
      <c r="J2325" s="3" t="str">
        <f>HYPERLINK("https://www.boe.es/gazeta/dias/1814/07/23/pdfs/GMD-1814-102.pdf#page=7","Abrir facsímil")</f>
        <v>Abrir facsímil</v>
      </c>
      <c r="K2325" s="3" t="s">
        <v>64</v>
      </c>
    </row>
    <row r="2326" spans="1:11" ht="42" customHeight="1">
      <c r="A2326" s="2" t="s">
        <v>5399</v>
      </c>
      <c r="B2326" s="2" t="s">
        <v>5400</v>
      </c>
      <c r="C2326" s="2" t="s">
        <v>38</v>
      </c>
      <c r="D2326" s="2" t="s">
        <v>39</v>
      </c>
      <c r="E2326" s="5">
        <v>-31325</v>
      </c>
      <c r="F2326" s="3" t="s">
        <v>67</v>
      </c>
      <c r="G2326" s="3" t="s">
        <v>57</v>
      </c>
      <c r="H2326" s="2" t="s">
        <v>62</v>
      </c>
      <c r="I2326" s="2" t="s">
        <v>5401</v>
      </c>
      <c r="J2326" s="3" t="str">
        <f>HYPERLINK("https://www.boe.es/gazeta/dias/1814/03/26/pdfs/GRE-1814-43.pdf#page=6","Abrir facsímil")</f>
        <v>Abrir facsímil</v>
      </c>
      <c r="K2326" s="3" t="s">
        <v>64</v>
      </c>
    </row>
    <row r="2327" spans="1:11" ht="42" customHeight="1">
      <c r="A2327" s="2" t="s">
        <v>5402</v>
      </c>
      <c r="B2327" s="2" t="s">
        <v>5403</v>
      </c>
      <c r="C2327" s="2" t="s">
        <v>38</v>
      </c>
      <c r="D2327" s="2" t="s">
        <v>39</v>
      </c>
      <c r="E2327" s="5">
        <v>-31348</v>
      </c>
      <c r="F2327" s="3" t="s">
        <v>898</v>
      </c>
      <c r="G2327" s="3" t="s">
        <v>57</v>
      </c>
      <c r="H2327" s="2" t="s">
        <v>62</v>
      </c>
      <c r="I2327" s="2" t="s">
        <v>5404</v>
      </c>
      <c r="J2327" s="3" t="str">
        <f>HYPERLINK("https://www.boe.es/gazeta/dias/1814/03/03/pdfs/GRE-1814-29.pdf#page=6","Abrir facsímil")</f>
        <v>Abrir facsímil</v>
      </c>
      <c r="K2327" s="3" t="s">
        <v>64</v>
      </c>
    </row>
    <row r="2328" spans="1:11" ht="42" customHeight="1">
      <c r="A2328" s="2" t="s">
        <v>5405</v>
      </c>
      <c r="B2328" s="2" t="s">
        <v>5406</v>
      </c>
      <c r="C2328" s="2" t="s">
        <v>32</v>
      </c>
      <c r="D2328" s="2" t="s">
        <v>18</v>
      </c>
      <c r="E2328" s="5">
        <v>-31059</v>
      </c>
      <c r="F2328" s="3" t="s">
        <v>263</v>
      </c>
      <c r="G2328" s="3" t="s">
        <v>297</v>
      </c>
      <c r="H2328" s="2" t="s">
        <v>21</v>
      </c>
      <c r="I2328" s="2" t="s">
        <v>5407</v>
      </c>
      <c r="J2328" s="3" t="str">
        <f>HYPERLINK("https://www.boe.es/gazeta/dias/1814/12/17/pdfs/GMD-1814-167.pdf#page=8","Abrir facsímil")</f>
        <v>Abrir facsímil</v>
      </c>
      <c r="K2328" s="3" t="s">
        <v>23</v>
      </c>
    </row>
    <row r="2329" spans="1:11" ht="42" customHeight="1">
      <c r="A2329" s="2" t="s">
        <v>5408</v>
      </c>
      <c r="B2329" s="2" t="s">
        <v>5409</v>
      </c>
      <c r="C2329" s="2" t="s">
        <v>38</v>
      </c>
      <c r="D2329" s="2" t="s">
        <v>314</v>
      </c>
      <c r="E2329" s="5">
        <v>-31296</v>
      </c>
      <c r="F2329" s="3" t="s">
        <v>315</v>
      </c>
      <c r="G2329" s="3" t="s">
        <v>20</v>
      </c>
      <c r="H2329" s="2" t="s">
        <v>62</v>
      </c>
      <c r="I2329" s="2" t="s">
        <v>5410</v>
      </c>
      <c r="J2329" s="3" t="str">
        <f>HYPERLINK("https://www.boe.es/gazeta/dias/1814/04/24/pdfs/GRE-1814-60E.pdf#page=7","Abrir facsímil")</f>
        <v>Abrir facsímil</v>
      </c>
      <c r="K2329" s="3" t="s">
        <v>64</v>
      </c>
    </row>
    <row r="2330" spans="1:11" ht="42" customHeight="1">
      <c r="A2330" s="2" t="s">
        <v>5408</v>
      </c>
      <c r="B2330" s="2" t="s">
        <v>5409</v>
      </c>
      <c r="C2330" s="2" t="s">
        <v>38</v>
      </c>
      <c r="D2330" s="2" t="s">
        <v>314</v>
      </c>
      <c r="E2330" s="5">
        <v>-31296</v>
      </c>
      <c r="F2330" s="3" t="s">
        <v>315</v>
      </c>
      <c r="G2330" s="3" t="s">
        <v>52</v>
      </c>
      <c r="H2330" s="2" t="s">
        <v>62</v>
      </c>
      <c r="I2330" s="2" t="s">
        <v>5411</v>
      </c>
      <c r="J2330" s="3" t="str">
        <f>HYPERLINK("https://www.boe.es/gazeta/dias/1814/04/24/pdfs/GRE-1814-60E.pdf#page=8","Abrir facsímil")</f>
        <v>Abrir facsímil</v>
      </c>
      <c r="K2330" s="3" t="s">
        <v>64</v>
      </c>
    </row>
    <row r="2331" spans="1:11" ht="42" customHeight="1">
      <c r="A2331" s="2" t="s">
        <v>5412</v>
      </c>
      <c r="B2331" s="2" t="s">
        <v>5413</v>
      </c>
      <c r="C2331" s="2" t="s">
        <v>17</v>
      </c>
      <c r="D2331" s="2" t="s">
        <v>18</v>
      </c>
      <c r="E2331" s="5">
        <v>-31063</v>
      </c>
      <c r="F2331" s="3" t="s">
        <v>649</v>
      </c>
      <c r="G2331" s="3" t="s">
        <v>52</v>
      </c>
      <c r="H2331" s="2" t="s">
        <v>62</v>
      </c>
      <c r="I2331" s="2" t="s">
        <v>5414</v>
      </c>
      <c r="J2331" s="3" t="str">
        <f>HYPERLINK("https://www.boe.es/gazeta/dias/1814/12/13/pdfs/GMD-1814-164.pdf#page=8","Abrir facsímil")</f>
        <v>Abrir facsímil</v>
      </c>
      <c r="K2331" s="3" t="s">
        <v>64</v>
      </c>
    </row>
    <row r="2332" spans="1:11" ht="42" customHeight="1">
      <c r="A2332" s="2" t="s">
        <v>5415</v>
      </c>
      <c r="B2332" s="2" t="s">
        <v>5416</v>
      </c>
      <c r="C2332" s="2" t="s">
        <v>38</v>
      </c>
      <c r="D2332" s="2" t="s">
        <v>39</v>
      </c>
      <c r="E2332" s="5">
        <v>-31371</v>
      </c>
      <c r="F2332" s="3" t="s">
        <v>1017</v>
      </c>
      <c r="G2332" s="3" t="s">
        <v>99</v>
      </c>
      <c r="H2332" s="2" t="s">
        <v>62</v>
      </c>
      <c r="I2332" s="2" t="s">
        <v>5417</v>
      </c>
      <c r="J2332" s="3" t="str">
        <f>HYPERLINK("https://www.boe.es/gazeta/dias/1814/02/08/pdfs/GRE-1814-18.pdf#page=5","Abrir facsímil")</f>
        <v>Abrir facsímil</v>
      </c>
      <c r="K2332" s="3" t="s">
        <v>64</v>
      </c>
    </row>
    <row r="2333" spans="1:11" ht="42" customHeight="1">
      <c r="A2333" s="2" t="s">
        <v>5418</v>
      </c>
      <c r="B2333" s="2" t="s">
        <v>5419</v>
      </c>
      <c r="C2333" s="2" t="s">
        <v>45</v>
      </c>
      <c r="D2333" s="2" t="s">
        <v>18</v>
      </c>
      <c r="E2333" s="5">
        <v>-31185</v>
      </c>
      <c r="F2333" s="3" t="s">
        <v>1238</v>
      </c>
      <c r="G2333" s="3" t="s">
        <v>3166</v>
      </c>
      <c r="H2333" s="2" t="s">
        <v>21</v>
      </c>
      <c r="I2333" s="2" t="s">
        <v>5420</v>
      </c>
      <c r="J2333" s="3" t="str">
        <f>HYPERLINK("https://www.boe.es/gazeta/dias/1814/08/13/pdfs/GMD-1814-111.pdf#page=7","Abrir facsímil")</f>
        <v>Abrir facsímil</v>
      </c>
      <c r="K2333" s="3" t="s">
        <v>23</v>
      </c>
    </row>
    <row r="2334" spans="1:11" ht="42" customHeight="1">
      <c r="A2334" s="2" t="s">
        <v>5421</v>
      </c>
      <c r="B2334" s="2" t="s">
        <v>5422</v>
      </c>
      <c r="C2334" s="2" t="s">
        <v>32</v>
      </c>
      <c r="D2334" s="2" t="s">
        <v>18</v>
      </c>
      <c r="E2334" s="5">
        <v>-31140</v>
      </c>
      <c r="F2334" s="3" t="s">
        <v>525</v>
      </c>
      <c r="G2334" s="3" t="s">
        <v>99</v>
      </c>
      <c r="H2334" s="2" t="s">
        <v>62</v>
      </c>
      <c r="I2334" s="2" t="s">
        <v>5423</v>
      </c>
      <c r="J2334" s="3" t="str">
        <f>HYPERLINK("https://www.boe.es/gazeta/dias/1814/09/27/pdfs/GMD-1814-131.pdf#page=5","Abrir facsímil")</f>
        <v>Abrir facsímil</v>
      </c>
      <c r="K2334" s="3" t="s">
        <v>64</v>
      </c>
    </row>
    <row r="2335" spans="1:11" ht="42" customHeight="1">
      <c r="A2335" s="2" t="s">
        <v>5421</v>
      </c>
      <c r="B2335" s="2" t="s">
        <v>5422</v>
      </c>
      <c r="C2335" s="2" t="s">
        <v>26</v>
      </c>
      <c r="D2335" s="2" t="s">
        <v>27</v>
      </c>
      <c r="E2335" s="5">
        <v>-31129</v>
      </c>
      <c r="F2335" s="3" t="s">
        <v>418</v>
      </c>
      <c r="G2335" s="3" t="s">
        <v>20</v>
      </c>
      <c r="H2335" s="2" t="s">
        <v>62</v>
      </c>
      <c r="I2335" s="2" t="s">
        <v>5424</v>
      </c>
      <c r="J2335" s="3" t="str">
        <f>HYPERLINK("https://www.boe.es/gazeta/dias/1814/10/08/pdfs/GMD-1814-136.pdf#page=7","Abrir facsímil")</f>
        <v>Abrir facsímil</v>
      </c>
      <c r="K2335" s="3" t="s">
        <v>64</v>
      </c>
    </row>
    <row r="2336" spans="1:11" ht="42" customHeight="1">
      <c r="A2336" s="2" t="s">
        <v>5425</v>
      </c>
      <c r="B2336" s="2" t="s">
        <v>5426</v>
      </c>
      <c r="C2336" s="2" t="s">
        <v>26</v>
      </c>
      <c r="D2336" s="2" t="s">
        <v>27</v>
      </c>
      <c r="E2336" s="5">
        <v>-31166</v>
      </c>
      <c r="F2336" s="3" t="s">
        <v>2799</v>
      </c>
      <c r="G2336" s="3" t="s">
        <v>5427</v>
      </c>
      <c r="H2336" s="2" t="s">
        <v>62</v>
      </c>
      <c r="I2336" s="2" t="s">
        <v>5428</v>
      </c>
      <c r="J2336" s="3" t="str">
        <f>HYPERLINK("https://www.boe.es/gazeta/dias/1814/09/01/pdfs/GMD-1814-119.pdf#page=14","Abrir facsímil")</f>
        <v>Abrir facsímil</v>
      </c>
      <c r="K2336" s="3" t="s">
        <v>64</v>
      </c>
    </row>
    <row r="2337" spans="1:11" ht="42" customHeight="1">
      <c r="A2337" s="2" t="s">
        <v>5429</v>
      </c>
      <c r="B2337" s="2" t="s">
        <v>5430</v>
      </c>
      <c r="C2337" s="2" t="s">
        <v>38</v>
      </c>
      <c r="D2337" s="2" t="s">
        <v>39</v>
      </c>
      <c r="E2337" s="5">
        <v>-31213</v>
      </c>
      <c r="F2337" s="3" t="s">
        <v>276</v>
      </c>
      <c r="G2337" s="3" t="s">
        <v>99</v>
      </c>
      <c r="H2337" s="2" t="s">
        <v>62</v>
      </c>
      <c r="I2337" s="2" t="s">
        <v>5431</v>
      </c>
      <c r="J2337" s="3" t="str">
        <f>HYPERLINK("https://www.boe.es/gazeta/dias/1814/07/16/pdfs/GMD-1814-99.pdf#page=5","Abrir facsímil")</f>
        <v>Abrir facsímil</v>
      </c>
      <c r="K2337" s="3" t="s">
        <v>64</v>
      </c>
    </row>
    <row r="2338" spans="1:11" ht="42" customHeight="1">
      <c r="A2338" s="2" t="s">
        <v>5432</v>
      </c>
      <c r="B2338" s="2" t="s">
        <v>5433</v>
      </c>
      <c r="C2338" s="2" t="s">
        <v>38</v>
      </c>
      <c r="D2338" s="2" t="s">
        <v>39</v>
      </c>
      <c r="E2338" s="5">
        <v>-31094</v>
      </c>
      <c r="F2338" s="3" t="s">
        <v>761</v>
      </c>
      <c r="G2338" s="3" t="s">
        <v>52</v>
      </c>
      <c r="H2338" s="2" t="s">
        <v>62</v>
      </c>
      <c r="I2338" s="2" t="s">
        <v>5434</v>
      </c>
      <c r="J2338" s="3" t="str">
        <f>HYPERLINK("https://www.boe.es/gazeta/dias/1814/11/12/pdfs/GMD-1814-151.pdf#page=8","Abrir facsímil")</f>
        <v>Abrir facsímil</v>
      </c>
      <c r="K2338" s="3" t="s">
        <v>64</v>
      </c>
    </row>
    <row r="2339" spans="1:11" ht="42" customHeight="1">
      <c r="A2339" s="2" t="s">
        <v>5435</v>
      </c>
      <c r="B2339" s="2" t="s">
        <v>5436</v>
      </c>
      <c r="C2339" s="2" t="s">
        <v>26</v>
      </c>
      <c r="D2339" s="2" t="s">
        <v>27</v>
      </c>
      <c r="E2339" s="5">
        <v>-31222</v>
      </c>
      <c r="F2339" s="3" t="s">
        <v>153</v>
      </c>
      <c r="G2339" s="3" t="s">
        <v>704</v>
      </c>
      <c r="H2339" s="2" t="s">
        <v>62</v>
      </c>
      <c r="I2339" s="2" t="s">
        <v>5437</v>
      </c>
      <c r="J2339" s="3" t="str">
        <f>HYPERLINK("https://www.boe.es/gazeta/dias/1814/07/07/pdfs/GMD-1814-95.pdf#page=10","Abrir facsímil")</f>
        <v>Abrir facsímil</v>
      </c>
      <c r="K2339" s="3" t="s">
        <v>64</v>
      </c>
    </row>
    <row r="2340" spans="1:11" ht="42" customHeight="1">
      <c r="A2340" s="2" t="s">
        <v>5438</v>
      </c>
      <c r="B2340" s="2" t="s">
        <v>5439</v>
      </c>
      <c r="C2340" s="2" t="s">
        <v>26</v>
      </c>
      <c r="D2340" s="2" t="s">
        <v>27</v>
      </c>
      <c r="E2340" s="5">
        <v>-31133</v>
      </c>
      <c r="F2340" s="3" t="s">
        <v>184</v>
      </c>
      <c r="G2340" s="3" t="s">
        <v>1241</v>
      </c>
      <c r="H2340" s="2" t="s">
        <v>62</v>
      </c>
      <c r="I2340" s="2" t="s">
        <v>5440</v>
      </c>
      <c r="J2340" s="3" t="str">
        <f>HYPERLINK("https://www.boe.es/gazeta/dias/1814/10/04/pdfs/GMD-1814-134.pdf#page=3","Abrir facsímil")</f>
        <v>Abrir facsímil</v>
      </c>
      <c r="K2340" s="3" t="s">
        <v>64</v>
      </c>
    </row>
    <row r="2341" spans="1:11" ht="42" customHeight="1">
      <c r="A2341" s="2" t="s">
        <v>5441</v>
      </c>
      <c r="B2341" s="2" t="s">
        <v>5442</v>
      </c>
      <c r="C2341" s="2" t="s">
        <v>26</v>
      </c>
      <c r="D2341" s="2" t="s">
        <v>27</v>
      </c>
      <c r="E2341" s="5">
        <v>-31126</v>
      </c>
      <c r="F2341" s="3" t="s">
        <v>56</v>
      </c>
      <c r="G2341" s="3" t="s">
        <v>52</v>
      </c>
      <c r="H2341" s="2" t="s">
        <v>62</v>
      </c>
      <c r="I2341" s="2" t="s">
        <v>5443</v>
      </c>
      <c r="J2341" s="3" t="str">
        <f>HYPERLINK("https://www.boe.es/gazeta/dias/1814/10/11/pdfs/GMD-1814-137.pdf#page=8","Abrir facsímil")</f>
        <v>Abrir facsímil</v>
      </c>
      <c r="K2341" s="3" t="s">
        <v>64</v>
      </c>
    </row>
    <row r="2342" spans="1:11" ht="42" customHeight="1">
      <c r="A2342" s="2" t="s">
        <v>5444</v>
      </c>
      <c r="B2342" s="2" t="s">
        <v>5444</v>
      </c>
      <c r="C2342" s="2" t="s">
        <v>38</v>
      </c>
      <c r="D2342" s="2" t="s">
        <v>39</v>
      </c>
      <c r="E2342" s="5">
        <v>-31290</v>
      </c>
      <c r="F2342" s="3" t="s">
        <v>488</v>
      </c>
      <c r="G2342" s="3" t="s">
        <v>5445</v>
      </c>
      <c r="H2342" s="2" t="s">
        <v>62</v>
      </c>
      <c r="I2342" s="2" t="s">
        <v>5446</v>
      </c>
      <c r="J2342" s="3" t="str">
        <f>HYPERLINK("https://www.boe.es/gazeta/dias/1814/04/30/pdfs/GRE-1814-64.pdf#page=4","Abrir facsímil")</f>
        <v>Abrir facsímil</v>
      </c>
      <c r="K2342" s="3" t="s">
        <v>64</v>
      </c>
    </row>
    <row r="2343" spans="1:11" ht="42" customHeight="1">
      <c r="A2343" s="2" t="s">
        <v>5447</v>
      </c>
      <c r="B2343" s="2" t="s">
        <v>5448</v>
      </c>
      <c r="C2343" s="2" t="s">
        <v>38</v>
      </c>
      <c r="D2343" s="2" t="s">
        <v>39</v>
      </c>
      <c r="E2343" s="5">
        <v>-31152</v>
      </c>
      <c r="F2343" s="3" t="s">
        <v>199</v>
      </c>
      <c r="G2343" s="3" t="s">
        <v>52</v>
      </c>
      <c r="H2343" s="2" t="s">
        <v>62</v>
      </c>
      <c r="I2343" s="2" t="s">
        <v>5449</v>
      </c>
      <c r="J2343" s="3" t="str">
        <f>HYPERLINK("https://www.boe.es/gazeta/dias/1814/09/15/pdfs/GMD-1814-126.pdf#page=8","Abrir facsímil")</f>
        <v>Abrir facsímil</v>
      </c>
      <c r="K2343" s="3" t="s">
        <v>64</v>
      </c>
    </row>
    <row r="2344" spans="1:11" ht="42" customHeight="1">
      <c r="A2344" s="2" t="s">
        <v>5450</v>
      </c>
      <c r="B2344" s="2" t="s">
        <v>5451</v>
      </c>
      <c r="C2344" s="2" t="s">
        <v>45</v>
      </c>
      <c r="D2344" s="2" t="s">
        <v>18</v>
      </c>
      <c r="E2344" s="5">
        <v>-31077</v>
      </c>
      <c r="F2344" s="3" t="s">
        <v>414</v>
      </c>
      <c r="G2344" s="3" t="s">
        <v>20</v>
      </c>
      <c r="H2344" s="2" t="s">
        <v>62</v>
      </c>
      <c r="I2344" s="2" t="s">
        <v>5452</v>
      </c>
      <c r="J2344" s="3" t="str">
        <f>HYPERLINK("https://www.boe.es/gazeta/dias/1814/11/29/pdfs/GMD-1814-158.pdf#page=7","Abrir facsímil")</f>
        <v>Abrir facsímil</v>
      </c>
      <c r="K2344" s="3" t="s">
        <v>64</v>
      </c>
    </row>
    <row r="2345" spans="1:11" ht="42" customHeight="1">
      <c r="A2345" s="2" t="s">
        <v>5453</v>
      </c>
      <c r="B2345" s="2" t="s">
        <v>5454</v>
      </c>
      <c r="C2345" s="2" t="s">
        <v>17</v>
      </c>
      <c r="D2345" s="2" t="s">
        <v>18</v>
      </c>
      <c r="E2345" s="5">
        <v>-31234</v>
      </c>
      <c r="F2345" s="3" t="s">
        <v>462</v>
      </c>
      <c r="G2345" s="3" t="s">
        <v>82</v>
      </c>
      <c r="H2345" s="2" t="s">
        <v>62</v>
      </c>
      <c r="I2345" s="2" t="s">
        <v>5455</v>
      </c>
      <c r="J2345" s="3" t="str">
        <f>HYPERLINK("https://www.boe.es/gazeta/dias/1814/06/25/pdfs/GMD-1814-90.pdf#page=3","Abrir facsímil")</f>
        <v>Abrir facsímil</v>
      </c>
      <c r="K2345" s="3" t="s">
        <v>64</v>
      </c>
    </row>
    <row r="2346" spans="1:11" ht="42" customHeight="1">
      <c r="A2346" s="2" t="s">
        <v>5456</v>
      </c>
      <c r="B2346" s="2" t="s">
        <v>5457</v>
      </c>
      <c r="C2346" s="2" t="s">
        <v>26</v>
      </c>
      <c r="D2346" s="2" t="s">
        <v>27</v>
      </c>
      <c r="E2346" s="5">
        <v>-31087</v>
      </c>
      <c r="F2346" s="3" t="s">
        <v>118</v>
      </c>
      <c r="G2346" s="3" t="s">
        <v>52</v>
      </c>
      <c r="H2346" s="2" t="s">
        <v>62</v>
      </c>
      <c r="I2346" s="2" t="s">
        <v>5458</v>
      </c>
      <c r="J2346" s="3" t="str">
        <f>HYPERLINK("https://www.boe.es/gazeta/dias/1814/11/19/pdfs/GMD-1814-154.pdf#page=8","Abrir facsímil")</f>
        <v>Abrir facsímil</v>
      </c>
      <c r="K2346" s="3" t="s">
        <v>64</v>
      </c>
    </row>
    <row r="2347" spans="1:11" ht="42" customHeight="1">
      <c r="A2347" s="2" t="s">
        <v>5459</v>
      </c>
      <c r="B2347" s="2" t="s">
        <v>5460</v>
      </c>
      <c r="C2347" s="2" t="s">
        <v>26</v>
      </c>
      <c r="D2347" s="2" t="s">
        <v>27</v>
      </c>
      <c r="E2347" s="5">
        <v>-31061</v>
      </c>
      <c r="F2347" s="3" t="s">
        <v>329</v>
      </c>
      <c r="G2347" s="3" t="s">
        <v>873</v>
      </c>
      <c r="H2347" s="2" t="s">
        <v>62</v>
      </c>
      <c r="I2347" s="2" t="s">
        <v>5461</v>
      </c>
      <c r="J2347" s="3" t="str">
        <f>HYPERLINK("https://www.boe.es/gazeta/dias/1814/12/15/pdfs/GMD-1814-165.pdf#page=6","Abrir facsímil")</f>
        <v>Abrir facsímil</v>
      </c>
      <c r="K2347" s="3" t="s">
        <v>64</v>
      </c>
    </row>
    <row r="2348" spans="1:11" ht="42" customHeight="1">
      <c r="A2348" s="2" t="s">
        <v>5462</v>
      </c>
      <c r="B2348" s="2" t="s">
        <v>5463</v>
      </c>
      <c r="C2348" s="2" t="s">
        <v>17</v>
      </c>
      <c r="D2348" s="2" t="s">
        <v>18</v>
      </c>
      <c r="E2348" s="5">
        <v>-31056</v>
      </c>
      <c r="F2348" s="3" t="s">
        <v>540</v>
      </c>
      <c r="G2348" s="3" t="s">
        <v>99</v>
      </c>
      <c r="H2348" s="2" t="s">
        <v>62</v>
      </c>
      <c r="I2348" s="2" t="s">
        <v>5464</v>
      </c>
      <c r="J2348" s="3" t="str">
        <f>HYPERLINK("https://www.boe.es/gazeta/dias/1814/12/20/pdfs/GMD-1814-168.pdf#page=5","Abrir facsímil")</f>
        <v>Abrir facsímil</v>
      </c>
      <c r="K2348" s="3" t="s">
        <v>64</v>
      </c>
    </row>
    <row r="2349" spans="1:11" ht="42" customHeight="1">
      <c r="A2349" s="2" t="s">
        <v>5465</v>
      </c>
      <c r="B2349" s="2" t="s">
        <v>5466</v>
      </c>
      <c r="C2349" s="2" t="s">
        <v>38</v>
      </c>
      <c r="D2349" s="2" t="s">
        <v>39</v>
      </c>
      <c r="E2349" s="5">
        <v>-31236</v>
      </c>
      <c r="F2349" s="3" t="s">
        <v>33</v>
      </c>
      <c r="G2349" s="3" t="s">
        <v>384</v>
      </c>
      <c r="H2349" s="2" t="s">
        <v>62</v>
      </c>
      <c r="I2349" s="2" t="s">
        <v>5467</v>
      </c>
      <c r="J2349" s="3" t="str">
        <f>HYPERLINK("https://www.boe.es/gazeta/dias/1814/06/23/pdfs/GMD-1814-89.pdf#page=11","Abrir facsímil")</f>
        <v>Abrir facsímil</v>
      </c>
      <c r="K2349" s="3" t="s">
        <v>64</v>
      </c>
    </row>
    <row r="2350" spans="1:11" ht="42" customHeight="1">
      <c r="A2350" s="2" t="s">
        <v>5465</v>
      </c>
      <c r="B2350" s="2" t="s">
        <v>5466</v>
      </c>
      <c r="C2350" s="2" t="s">
        <v>38</v>
      </c>
      <c r="D2350" s="2" t="s">
        <v>39</v>
      </c>
      <c r="E2350" s="5">
        <v>-31215</v>
      </c>
      <c r="F2350" s="3" t="s">
        <v>372</v>
      </c>
      <c r="G2350" s="3" t="s">
        <v>384</v>
      </c>
      <c r="H2350" s="2" t="s">
        <v>62</v>
      </c>
      <c r="I2350" s="2" t="s">
        <v>5468</v>
      </c>
      <c r="J2350" s="3" t="str">
        <f>HYPERLINK("https://www.boe.es/gazeta/dias/1814/07/14/pdfs/GMD-1814-98.pdf#page=11","Abrir facsímil")</f>
        <v>Abrir facsímil</v>
      </c>
      <c r="K2350" s="3" t="s">
        <v>64</v>
      </c>
    </row>
    <row r="2351" spans="1:11" ht="42" customHeight="1">
      <c r="A2351" s="2" t="s">
        <v>5465</v>
      </c>
      <c r="B2351" s="2" t="s">
        <v>5466</v>
      </c>
      <c r="C2351" s="2" t="s">
        <v>17</v>
      </c>
      <c r="D2351" s="2" t="s">
        <v>18</v>
      </c>
      <c r="E2351" s="5">
        <v>-31182</v>
      </c>
      <c r="F2351" s="3" t="s">
        <v>19</v>
      </c>
      <c r="G2351" s="3" t="s">
        <v>99</v>
      </c>
      <c r="H2351" s="2" t="s">
        <v>62</v>
      </c>
      <c r="I2351" s="2" t="s">
        <v>5469</v>
      </c>
      <c r="J2351" s="3" t="str">
        <f>HYPERLINK("https://www.boe.es/gazeta/dias/1814/08/16/pdfs/GMD-1814-112.pdf#page=5","Abrir facsímil")</f>
        <v>Abrir facsímil</v>
      </c>
      <c r="K2351" s="3" t="s">
        <v>64</v>
      </c>
    </row>
    <row r="2352" spans="1:11" ht="42" customHeight="1">
      <c r="A2352" s="2" t="s">
        <v>5465</v>
      </c>
      <c r="B2352" s="2" t="s">
        <v>5466</v>
      </c>
      <c r="C2352" s="2" t="s">
        <v>26</v>
      </c>
      <c r="D2352" s="2" t="s">
        <v>27</v>
      </c>
      <c r="E2352" s="5">
        <v>-31182</v>
      </c>
      <c r="F2352" s="3" t="s">
        <v>19</v>
      </c>
      <c r="G2352" s="3" t="s">
        <v>20</v>
      </c>
      <c r="H2352" s="2" t="s">
        <v>62</v>
      </c>
      <c r="I2352" s="2" t="s">
        <v>5470</v>
      </c>
      <c r="J2352" s="3" t="str">
        <f>HYPERLINK("https://www.boe.es/gazeta/dias/1814/08/16/pdfs/GMD-1814-112.pdf#page=7","Abrir facsímil")</f>
        <v>Abrir facsímil</v>
      </c>
      <c r="K2352" s="3" t="s">
        <v>64</v>
      </c>
    </row>
    <row r="2353" spans="1:11" ht="42" customHeight="1">
      <c r="A2353" s="2" t="s">
        <v>5465</v>
      </c>
      <c r="B2353" s="2" t="s">
        <v>5466</v>
      </c>
      <c r="C2353" s="2" t="s">
        <v>38</v>
      </c>
      <c r="D2353" s="2" t="s">
        <v>39</v>
      </c>
      <c r="E2353" s="5">
        <v>-31171</v>
      </c>
      <c r="F2353" s="3" t="s">
        <v>157</v>
      </c>
      <c r="G2353" s="3" t="s">
        <v>158</v>
      </c>
      <c r="H2353" s="2" t="s">
        <v>62</v>
      </c>
      <c r="I2353" s="2" t="s">
        <v>5471</v>
      </c>
      <c r="J2353" s="3" t="str">
        <f>HYPERLINK("https://www.boe.es/gazeta/dias/1814/08/27/pdfs/GMD-1814-117.pdf#page=7","Abrir facsímil")</f>
        <v>Abrir facsímil</v>
      </c>
      <c r="K2353" s="3" t="s">
        <v>64</v>
      </c>
    </row>
    <row r="2354" spans="1:11" ht="42" customHeight="1">
      <c r="A2354" s="2" t="s">
        <v>5465</v>
      </c>
      <c r="B2354" s="2" t="s">
        <v>5466</v>
      </c>
      <c r="C2354" s="2" t="s">
        <v>26</v>
      </c>
      <c r="D2354" s="2" t="s">
        <v>27</v>
      </c>
      <c r="E2354" s="5">
        <v>-31140</v>
      </c>
      <c r="F2354" s="3" t="s">
        <v>525</v>
      </c>
      <c r="G2354" s="3" t="s">
        <v>99</v>
      </c>
      <c r="H2354" s="2" t="s">
        <v>62</v>
      </c>
      <c r="I2354" s="2" t="s">
        <v>5472</v>
      </c>
      <c r="J2354" s="3" t="str">
        <f>HYPERLINK("https://www.boe.es/gazeta/dias/1814/09/27/pdfs/GMD-1814-131.pdf#page=5","Abrir facsímil")</f>
        <v>Abrir facsímil</v>
      </c>
      <c r="K2354" s="3" t="s">
        <v>64</v>
      </c>
    </row>
    <row r="2355" spans="1:11" ht="42" customHeight="1">
      <c r="A2355" s="2" t="s">
        <v>5473</v>
      </c>
      <c r="B2355" s="2" t="s">
        <v>5474</v>
      </c>
      <c r="C2355" s="2" t="s">
        <v>26</v>
      </c>
      <c r="D2355" s="2" t="s">
        <v>27</v>
      </c>
      <c r="E2355" s="5">
        <v>-31273</v>
      </c>
      <c r="F2355" s="3" t="s">
        <v>2108</v>
      </c>
      <c r="G2355" s="3" t="s">
        <v>20</v>
      </c>
      <c r="H2355" s="2" t="s">
        <v>62</v>
      </c>
      <c r="I2355" s="2" t="s">
        <v>5475</v>
      </c>
      <c r="J2355" s="3" t="str">
        <f>HYPERLINK("https://www.boe.es/gazeta/dias/1814/05/17/pdfs/GMD-1814-72.pdf#page=7","Abrir facsímil")</f>
        <v>Abrir facsímil</v>
      </c>
      <c r="K2355" s="3" t="s">
        <v>64</v>
      </c>
    </row>
    <row r="2356" spans="1:11" ht="42" customHeight="1">
      <c r="A2356" s="2" t="s">
        <v>5476</v>
      </c>
      <c r="B2356" s="2" t="s">
        <v>5477</v>
      </c>
      <c r="C2356" s="2" t="s">
        <v>38</v>
      </c>
      <c r="D2356" s="2" t="s">
        <v>39</v>
      </c>
      <c r="E2356" s="5">
        <v>-31243</v>
      </c>
      <c r="F2356" s="3" t="s">
        <v>500</v>
      </c>
      <c r="G2356" s="3" t="s">
        <v>384</v>
      </c>
      <c r="H2356" s="2" t="s">
        <v>62</v>
      </c>
      <c r="I2356" s="2" t="s">
        <v>5478</v>
      </c>
      <c r="J2356" s="3" t="str">
        <f>HYPERLINK("https://www.boe.es/gazeta/dias/1814/06/16/pdfs/GMD-1814-86.pdf#page=11","Abrir facsímil")</f>
        <v>Abrir facsímil</v>
      </c>
      <c r="K2356" s="3" t="s">
        <v>64</v>
      </c>
    </row>
    <row r="2357" spans="1:11" ht="42" customHeight="1">
      <c r="A2357" s="2" t="s">
        <v>5479</v>
      </c>
      <c r="B2357" s="2" t="s">
        <v>5480</v>
      </c>
      <c r="C2357" s="2" t="s">
        <v>38</v>
      </c>
      <c r="D2357" s="2" t="s">
        <v>39</v>
      </c>
      <c r="E2357" s="5">
        <v>-31399</v>
      </c>
      <c r="F2357" s="3" t="s">
        <v>218</v>
      </c>
      <c r="G2357" s="3" t="s">
        <v>219</v>
      </c>
      <c r="H2357" s="2" t="s">
        <v>21</v>
      </c>
      <c r="I2357" s="2" t="s">
        <v>5481</v>
      </c>
      <c r="J2357" s="3" t="str">
        <f>HYPERLINK("https://www.boe.es/gazeta/dias/1814/01/11/pdfs/GRE-1814-6.pdf#page=8","Abrir facsímil")</f>
        <v>Abrir facsímil</v>
      </c>
      <c r="K2357" s="3" t="s">
        <v>23</v>
      </c>
    </row>
    <row r="2358" spans="1:11" ht="42" customHeight="1">
      <c r="A2358" s="2" t="s">
        <v>5482</v>
      </c>
      <c r="B2358" s="2" t="s">
        <v>5482</v>
      </c>
      <c r="C2358" s="2" t="s">
        <v>309</v>
      </c>
      <c r="D2358" s="2" t="s">
        <v>18</v>
      </c>
      <c r="E2358" s="5">
        <v>-31208</v>
      </c>
      <c r="F2358" s="3" t="s">
        <v>509</v>
      </c>
      <c r="G2358" s="3" t="s">
        <v>82</v>
      </c>
      <c r="H2358" s="2" t="s">
        <v>62</v>
      </c>
      <c r="I2358" s="2" t="s">
        <v>5483</v>
      </c>
      <c r="J2358" s="3" t="str">
        <f>HYPERLINK("https://www.boe.es/gazeta/dias/1814/07/21/pdfs/GMD-1814-101.pdf#page=3","Abrir facsímil")</f>
        <v>Abrir facsímil</v>
      </c>
      <c r="K2358" s="3" t="s">
        <v>64</v>
      </c>
    </row>
    <row r="2359" spans="1:11" ht="42" customHeight="1">
      <c r="A2359" s="2" t="s">
        <v>5482</v>
      </c>
      <c r="B2359" s="2" t="s">
        <v>5482</v>
      </c>
      <c r="C2359" s="2" t="s">
        <v>105</v>
      </c>
      <c r="D2359" s="2" t="s">
        <v>18</v>
      </c>
      <c r="E2359" s="5">
        <v>-31063</v>
      </c>
      <c r="F2359" s="3" t="s">
        <v>649</v>
      </c>
      <c r="G2359" s="3" t="s">
        <v>82</v>
      </c>
      <c r="H2359" s="2" t="s">
        <v>62</v>
      </c>
      <c r="I2359" s="2" t="s">
        <v>5484</v>
      </c>
      <c r="J2359" s="3" t="str">
        <f>HYPERLINK("https://www.boe.es/gazeta/dias/1814/12/13/pdfs/GMD-1814-164.pdf#page=3","Abrir facsímil")</f>
        <v>Abrir facsímil</v>
      </c>
      <c r="K2359" s="3" t="s">
        <v>64</v>
      </c>
    </row>
    <row r="2360" spans="1:11" ht="42" customHeight="1">
      <c r="A2360" s="2" t="s">
        <v>5485</v>
      </c>
      <c r="B2360" s="2" t="s">
        <v>5485</v>
      </c>
      <c r="C2360" s="2" t="s">
        <v>38</v>
      </c>
      <c r="D2360" s="2" t="s">
        <v>39</v>
      </c>
      <c r="E2360" s="5">
        <v>-31224</v>
      </c>
      <c r="F2360" s="3" t="s">
        <v>609</v>
      </c>
      <c r="G2360" s="3" t="s">
        <v>82</v>
      </c>
      <c r="H2360" s="2" t="s">
        <v>62</v>
      </c>
      <c r="I2360" s="2" t="s">
        <v>5486</v>
      </c>
      <c r="J2360" s="3" t="str">
        <f>HYPERLINK("https://www.boe.es/gazeta/dias/1814/07/05/pdfs/GMD-1814-94.pdf#page=3","Abrir facsímil")</f>
        <v>Abrir facsímil</v>
      </c>
      <c r="K2360" s="3" t="s">
        <v>64</v>
      </c>
    </row>
    <row r="2361" spans="1:11" ht="42" customHeight="1">
      <c r="A2361" s="2" t="s">
        <v>5487</v>
      </c>
      <c r="B2361" s="2" t="s">
        <v>5488</v>
      </c>
      <c r="C2361" s="2" t="s">
        <v>17</v>
      </c>
      <c r="D2361" s="2" t="s">
        <v>18</v>
      </c>
      <c r="E2361" s="5">
        <v>-31131</v>
      </c>
      <c r="F2361" s="3" t="s">
        <v>132</v>
      </c>
      <c r="G2361" s="3" t="s">
        <v>20</v>
      </c>
      <c r="H2361" s="2" t="s">
        <v>62</v>
      </c>
      <c r="I2361" s="2" t="s">
        <v>5489</v>
      </c>
      <c r="J2361" s="3" t="str">
        <f>HYPERLINK("https://www.boe.es/gazeta/dias/1814/10/06/pdfs/GMD-1814-135.pdf#page=7","Abrir facsímil")</f>
        <v>Abrir facsímil</v>
      </c>
      <c r="K2361" s="3" t="s">
        <v>64</v>
      </c>
    </row>
    <row r="2362" spans="1:11" ht="42" customHeight="1">
      <c r="A2362" s="2" t="s">
        <v>5490</v>
      </c>
      <c r="B2362" s="2" t="s">
        <v>5491</v>
      </c>
      <c r="C2362" s="2" t="s">
        <v>38</v>
      </c>
      <c r="D2362" s="2" t="s">
        <v>39</v>
      </c>
      <c r="E2362" s="5">
        <v>-31080</v>
      </c>
      <c r="F2362" s="3" t="s">
        <v>286</v>
      </c>
      <c r="G2362" s="3" t="s">
        <v>677</v>
      </c>
      <c r="H2362" s="2" t="s">
        <v>62</v>
      </c>
      <c r="I2362" s="2" t="s">
        <v>5492</v>
      </c>
      <c r="J2362" s="3" t="str">
        <f>HYPERLINK("https://www.boe.es/gazeta/dias/1814/11/26/pdfs/GMD-1814-157.pdf#page=7","Abrir facsímil")</f>
        <v>Abrir facsímil</v>
      </c>
      <c r="K2362" s="3" t="s">
        <v>64</v>
      </c>
    </row>
    <row r="2363" spans="1:11" ht="42" customHeight="1">
      <c r="A2363" s="2" t="s">
        <v>5493</v>
      </c>
      <c r="B2363" s="2" t="s">
        <v>5494</v>
      </c>
      <c r="C2363" s="2" t="s">
        <v>26</v>
      </c>
      <c r="D2363" s="2" t="s">
        <v>27</v>
      </c>
      <c r="E2363" s="5">
        <v>-31327</v>
      </c>
      <c r="F2363" s="3" t="s">
        <v>180</v>
      </c>
      <c r="G2363" s="3" t="s">
        <v>233</v>
      </c>
      <c r="H2363" s="2" t="s">
        <v>62</v>
      </c>
      <c r="I2363" s="2" t="s">
        <v>5495</v>
      </c>
      <c r="J2363" s="3" t="str">
        <f>HYPERLINK("https://www.boe.es/gazeta/dias/1814/03/24/pdfs/GRE-1814-41.pdf#page=8","Abrir facsímil")</f>
        <v>Abrir facsímil</v>
      </c>
      <c r="K2363" s="3" t="s">
        <v>64</v>
      </c>
    </row>
    <row r="2364" spans="1:11" ht="42" customHeight="1">
      <c r="A2364" s="2" t="s">
        <v>5496</v>
      </c>
      <c r="B2364" s="2" t="s">
        <v>5497</v>
      </c>
      <c r="C2364" s="2" t="s">
        <v>17</v>
      </c>
      <c r="D2364" s="2" t="s">
        <v>18</v>
      </c>
      <c r="E2364" s="5">
        <v>-31159</v>
      </c>
      <c r="F2364" s="3" t="s">
        <v>1175</v>
      </c>
      <c r="G2364" s="3" t="s">
        <v>20</v>
      </c>
      <c r="H2364" s="2" t="s">
        <v>62</v>
      </c>
      <c r="I2364" s="2" t="s">
        <v>5498</v>
      </c>
      <c r="J2364" s="3" t="str">
        <f>HYPERLINK("https://www.boe.es/gazeta/dias/1814/09/08/pdfs/GMD-1814-123.pdf#page=7","Abrir facsímil")</f>
        <v>Abrir facsímil</v>
      </c>
      <c r="K2364" s="3" t="s">
        <v>64</v>
      </c>
    </row>
    <row r="2365" spans="1:11" ht="42" customHeight="1">
      <c r="A2365" s="2" t="s">
        <v>5499</v>
      </c>
      <c r="B2365" s="2" t="s">
        <v>5500</v>
      </c>
      <c r="C2365" s="2" t="s">
        <v>26</v>
      </c>
      <c r="D2365" s="2" t="s">
        <v>27</v>
      </c>
      <c r="E2365" s="5">
        <v>-31217</v>
      </c>
      <c r="F2365" s="3" t="s">
        <v>506</v>
      </c>
      <c r="G2365" s="3" t="s">
        <v>322</v>
      </c>
      <c r="H2365" s="2" t="s">
        <v>62</v>
      </c>
      <c r="I2365" s="2" t="s">
        <v>5501</v>
      </c>
      <c r="J2365" s="3" t="str">
        <f>HYPERLINK("https://www.boe.es/gazeta/dias/1814/07/12/pdfs/GMD-1814-97.pdf#page=12","Abrir facsímil")</f>
        <v>Abrir facsímil</v>
      </c>
      <c r="K2365" s="3" t="s">
        <v>64</v>
      </c>
    </row>
    <row r="2366" spans="1:11" ht="42" customHeight="1">
      <c r="A2366" s="2" t="s">
        <v>5502</v>
      </c>
      <c r="B2366" s="2" t="s">
        <v>5503</v>
      </c>
      <c r="C2366" s="2" t="s">
        <v>105</v>
      </c>
      <c r="D2366" s="2" t="s">
        <v>18</v>
      </c>
      <c r="E2366" s="5">
        <v>-31322</v>
      </c>
      <c r="F2366" s="3" t="s">
        <v>114</v>
      </c>
      <c r="G2366" s="3" t="s">
        <v>52</v>
      </c>
      <c r="H2366" s="2" t="s">
        <v>62</v>
      </c>
      <c r="I2366" s="2" t="s">
        <v>5504</v>
      </c>
      <c r="J2366" s="3" t="str">
        <f>HYPERLINK("https://www.boe.es/gazeta/dias/1814/03/29/pdfs/GRE-1814-44.pdf#page=8","Abrir facsímil")</f>
        <v>Abrir facsímil</v>
      </c>
      <c r="K2366" s="3" t="s">
        <v>64</v>
      </c>
    </row>
    <row r="2367" spans="1:11" ht="42" customHeight="1">
      <c r="A2367" s="2" t="s">
        <v>5505</v>
      </c>
      <c r="B2367" s="2" t="s">
        <v>5506</v>
      </c>
      <c r="C2367" s="2" t="s">
        <v>32</v>
      </c>
      <c r="D2367" s="2" t="s">
        <v>18</v>
      </c>
      <c r="E2367" s="5">
        <v>-31059</v>
      </c>
      <c r="F2367" s="3" t="s">
        <v>263</v>
      </c>
      <c r="G2367" s="3" t="s">
        <v>711</v>
      </c>
      <c r="H2367" s="2" t="s">
        <v>62</v>
      </c>
      <c r="I2367" s="2" t="s">
        <v>5507</v>
      </c>
      <c r="J2367" s="3" t="str">
        <f>HYPERLINK("https://www.boe.es/gazeta/dias/1814/12/17/pdfs/GMD-1814-167.pdf#page=4","Abrir facsímil")</f>
        <v>Abrir facsímil</v>
      </c>
      <c r="K2367" s="3" t="s">
        <v>64</v>
      </c>
    </row>
    <row r="2368" spans="1:11" ht="42" customHeight="1">
      <c r="A2368" s="2" t="s">
        <v>5508</v>
      </c>
      <c r="B2368" s="2" t="s">
        <v>5509</v>
      </c>
      <c r="C2368" s="2" t="s">
        <v>17</v>
      </c>
      <c r="D2368" s="2" t="s">
        <v>18</v>
      </c>
      <c r="E2368" s="5">
        <v>-31054</v>
      </c>
      <c r="F2368" s="3" t="s">
        <v>952</v>
      </c>
      <c r="G2368" s="3" t="s">
        <v>99</v>
      </c>
      <c r="H2368" s="2" t="s">
        <v>62</v>
      </c>
      <c r="I2368" s="2" t="s">
        <v>5510</v>
      </c>
      <c r="J2368" s="3" t="str">
        <f>HYPERLINK("https://www.boe.es/gazeta/dias/1814/12/22/pdfs/GMD-1814-169.pdf#page=5","Abrir facsímil")</f>
        <v>Abrir facsímil</v>
      </c>
      <c r="K2368" s="3" t="s">
        <v>64</v>
      </c>
    </row>
    <row r="2369" spans="1:11" ht="42" customHeight="1">
      <c r="A2369" s="2" t="s">
        <v>5511</v>
      </c>
      <c r="B2369" s="2" t="s">
        <v>5512</v>
      </c>
      <c r="C2369" s="2" t="s">
        <v>38</v>
      </c>
      <c r="D2369" s="2" t="s">
        <v>39</v>
      </c>
      <c r="E2369" s="5">
        <v>-31378</v>
      </c>
      <c r="F2369" s="3" t="s">
        <v>98</v>
      </c>
      <c r="G2369" s="3" t="s">
        <v>52</v>
      </c>
      <c r="H2369" s="2" t="s">
        <v>62</v>
      </c>
      <c r="I2369" s="2" t="s">
        <v>5513</v>
      </c>
      <c r="J2369" s="3" t="str">
        <f>HYPERLINK("https://www.boe.es/gazeta/dias/1814/02/01/pdfs/GRE-1814-15.pdf#page=8","Abrir facsímil")</f>
        <v>Abrir facsímil</v>
      </c>
      <c r="K2369" s="3" t="s">
        <v>64</v>
      </c>
    </row>
    <row r="2370" spans="1:11" ht="42" customHeight="1">
      <c r="A2370" s="2" t="s">
        <v>5514</v>
      </c>
      <c r="B2370" s="2" t="s">
        <v>5515</v>
      </c>
      <c r="C2370" s="2" t="s">
        <v>38</v>
      </c>
      <c r="D2370" s="2" t="s">
        <v>39</v>
      </c>
      <c r="E2370" s="5">
        <v>-31133</v>
      </c>
      <c r="F2370" s="3" t="s">
        <v>184</v>
      </c>
      <c r="G2370" s="3" t="s">
        <v>20</v>
      </c>
      <c r="H2370" s="2" t="s">
        <v>62</v>
      </c>
      <c r="I2370" s="2" t="s">
        <v>5516</v>
      </c>
      <c r="J2370" s="3" t="str">
        <f>HYPERLINK("https://www.boe.es/gazeta/dias/1814/10/04/pdfs/GMD-1814-134.pdf#page=7","Abrir facsímil")</f>
        <v>Abrir facsímil</v>
      </c>
      <c r="K2370" s="3" t="s">
        <v>64</v>
      </c>
    </row>
    <row r="2371" spans="1:11" ht="42" customHeight="1">
      <c r="A2371" s="2" t="s">
        <v>5517</v>
      </c>
      <c r="B2371" s="2" t="s">
        <v>5518</v>
      </c>
      <c r="C2371" s="2" t="s">
        <v>105</v>
      </c>
      <c r="D2371" s="2" t="s">
        <v>18</v>
      </c>
      <c r="E2371" s="5">
        <v>-31220</v>
      </c>
      <c r="F2371" s="3" t="s">
        <v>122</v>
      </c>
      <c r="G2371" s="3" t="s">
        <v>57</v>
      </c>
      <c r="H2371" s="2" t="s">
        <v>62</v>
      </c>
      <c r="I2371" s="2" t="s">
        <v>5519</v>
      </c>
      <c r="J2371" s="3" t="str">
        <f>HYPERLINK("https://www.boe.es/gazeta/dias/1814/07/09/pdfs/GMD-1814-96.pdf#page=6","Abrir facsímil")</f>
        <v>Abrir facsímil</v>
      </c>
      <c r="K2371" s="3" t="s">
        <v>64</v>
      </c>
    </row>
    <row r="2372" spans="1:11" ht="42" customHeight="1">
      <c r="A2372" s="2" t="s">
        <v>5520</v>
      </c>
      <c r="B2372" s="2" t="s">
        <v>5521</v>
      </c>
      <c r="C2372" s="2" t="s">
        <v>26</v>
      </c>
      <c r="D2372" s="2" t="s">
        <v>27</v>
      </c>
      <c r="E2372" s="5">
        <v>-31182</v>
      </c>
      <c r="F2372" s="3" t="s">
        <v>19</v>
      </c>
      <c r="G2372" s="3" t="s">
        <v>3827</v>
      </c>
      <c r="H2372" s="2" t="s">
        <v>62</v>
      </c>
      <c r="I2372" s="2" t="s">
        <v>5522</v>
      </c>
      <c r="J2372" s="3" t="str">
        <f>HYPERLINK("https://www.boe.es/gazeta/dias/1814/08/16/pdfs/GMD-1814-112.pdf#page=8","Abrir facsímil")</f>
        <v>Abrir facsímil</v>
      </c>
      <c r="K2372" s="3" t="s">
        <v>64</v>
      </c>
    </row>
    <row r="2373" spans="1:11" ht="42" customHeight="1">
      <c r="A2373" s="2" t="s">
        <v>5523</v>
      </c>
      <c r="B2373" s="2" t="s">
        <v>5524</v>
      </c>
      <c r="C2373" s="2" t="s">
        <v>26</v>
      </c>
      <c r="D2373" s="2" t="s">
        <v>27</v>
      </c>
      <c r="E2373" s="5">
        <v>-31164</v>
      </c>
      <c r="F2373" s="3" t="s">
        <v>1423</v>
      </c>
      <c r="G2373" s="3" t="s">
        <v>57</v>
      </c>
      <c r="H2373" s="2" t="s">
        <v>62</v>
      </c>
      <c r="I2373" s="2" t="s">
        <v>5525</v>
      </c>
      <c r="J2373" s="3" t="str">
        <f>HYPERLINK("https://www.boe.es/gazeta/dias/1814/09/03/pdfs/GMD-1814-121.pdf#page=6","Abrir facsímil")</f>
        <v>Abrir facsímil</v>
      </c>
      <c r="K2373" s="3" t="s">
        <v>64</v>
      </c>
    </row>
    <row r="2374" spans="1:11" ht="42" customHeight="1">
      <c r="A2374" s="2" t="s">
        <v>5526</v>
      </c>
      <c r="B2374" s="2" t="s">
        <v>5527</v>
      </c>
      <c r="C2374" s="2" t="s">
        <v>17</v>
      </c>
      <c r="D2374" s="2" t="s">
        <v>18</v>
      </c>
      <c r="E2374" s="5">
        <v>-31138</v>
      </c>
      <c r="F2374" s="3" t="s">
        <v>1363</v>
      </c>
      <c r="G2374" s="3" t="s">
        <v>41</v>
      </c>
      <c r="H2374" s="2" t="s">
        <v>62</v>
      </c>
      <c r="I2374" s="2" t="s">
        <v>5528</v>
      </c>
      <c r="J2374" s="3" t="str">
        <f>HYPERLINK("https://www.boe.es/gazeta/dias/1814/09/29/pdfs/GMD-1814-132.pdf#page=4","Abrir facsímil")</f>
        <v>Abrir facsímil</v>
      </c>
      <c r="K2374" s="3" t="s">
        <v>64</v>
      </c>
    </row>
    <row r="2375" spans="1:11" ht="42" customHeight="1">
      <c r="A2375" s="2" t="s">
        <v>5529</v>
      </c>
      <c r="B2375" s="2" t="s">
        <v>5530</v>
      </c>
      <c r="C2375" s="2" t="s">
        <v>38</v>
      </c>
      <c r="D2375" s="2" t="s">
        <v>39</v>
      </c>
      <c r="E2375" s="5">
        <v>-31194</v>
      </c>
      <c r="F2375" s="3" t="s">
        <v>333</v>
      </c>
      <c r="G2375" s="3" t="s">
        <v>57</v>
      </c>
      <c r="H2375" s="2" t="s">
        <v>62</v>
      </c>
      <c r="I2375" s="2" t="s">
        <v>5531</v>
      </c>
      <c r="J2375" s="3" t="str">
        <f>HYPERLINK("https://www.boe.es/gazeta/dias/1814/08/04/pdfs/GMD-1814-107.pdf#page=6","Abrir facsímil")</f>
        <v>Abrir facsímil</v>
      </c>
      <c r="K2375" s="3" t="s">
        <v>64</v>
      </c>
    </row>
    <row r="2376" spans="1:11" ht="42" customHeight="1">
      <c r="A2376" s="2" t="s">
        <v>5532</v>
      </c>
      <c r="B2376" s="2" t="s">
        <v>5533</v>
      </c>
      <c r="C2376" s="2" t="s">
        <v>38</v>
      </c>
      <c r="D2376" s="2" t="s">
        <v>39</v>
      </c>
      <c r="E2376" s="5">
        <v>-31171</v>
      </c>
      <c r="F2376" s="3" t="s">
        <v>157</v>
      </c>
      <c r="G2376" s="3" t="s">
        <v>57</v>
      </c>
      <c r="H2376" s="2" t="s">
        <v>62</v>
      </c>
      <c r="I2376" s="2" t="s">
        <v>5534</v>
      </c>
      <c r="J2376" s="3" t="str">
        <f>HYPERLINK("https://www.boe.es/gazeta/dias/1814/08/27/pdfs/GMD-1814-117.pdf#page=6","Abrir facsímil")</f>
        <v>Abrir facsímil</v>
      </c>
      <c r="K2376" s="3" t="s">
        <v>64</v>
      </c>
    </row>
    <row r="2377" spans="1:11" ht="42" customHeight="1">
      <c r="A2377" s="2" t="s">
        <v>5535</v>
      </c>
      <c r="B2377" s="2" t="s">
        <v>5536</v>
      </c>
      <c r="C2377" s="2" t="s">
        <v>45</v>
      </c>
      <c r="D2377" s="2" t="s">
        <v>18</v>
      </c>
      <c r="E2377" s="5">
        <v>-31068</v>
      </c>
      <c r="F2377" s="3" t="s">
        <v>548</v>
      </c>
      <c r="G2377" s="3" t="s">
        <v>20</v>
      </c>
      <c r="H2377" s="2" t="s">
        <v>21</v>
      </c>
      <c r="I2377" s="2" t="s">
        <v>5537</v>
      </c>
      <c r="J2377" s="3" t="str">
        <f>HYPERLINK("https://www.boe.es/gazeta/dias/1814/12/08/pdfs/GMD-1814-162.pdf#page=7","Abrir facsímil")</f>
        <v>Abrir facsímil</v>
      </c>
      <c r="K2377" s="3" t="s">
        <v>23</v>
      </c>
    </row>
    <row r="2378" spans="1:11" ht="42" customHeight="1">
      <c r="A2378" s="2" t="s">
        <v>5538</v>
      </c>
      <c r="B2378" s="2" t="s">
        <v>5539</v>
      </c>
      <c r="C2378" s="2" t="s">
        <v>38</v>
      </c>
      <c r="D2378" s="2" t="s">
        <v>39</v>
      </c>
      <c r="E2378" s="5">
        <v>-31068</v>
      </c>
      <c r="F2378" s="3" t="s">
        <v>548</v>
      </c>
      <c r="G2378" s="3" t="s">
        <v>20</v>
      </c>
      <c r="H2378" s="2" t="s">
        <v>62</v>
      </c>
      <c r="I2378" s="2" t="s">
        <v>5540</v>
      </c>
      <c r="J2378" s="3" t="str">
        <f>HYPERLINK("https://www.boe.es/gazeta/dias/1814/12/08/pdfs/GMD-1814-162.pdf#page=7","Abrir facsímil")</f>
        <v>Abrir facsímil</v>
      </c>
      <c r="K2378" s="3" t="s">
        <v>64</v>
      </c>
    </row>
    <row r="2379" spans="1:11" ht="42" customHeight="1">
      <c r="A2379" s="2" t="s">
        <v>5541</v>
      </c>
      <c r="B2379" s="2" t="s">
        <v>5542</v>
      </c>
      <c r="C2379" s="2" t="s">
        <v>26</v>
      </c>
      <c r="D2379" s="2" t="s">
        <v>27</v>
      </c>
      <c r="E2379" s="5">
        <v>-31213</v>
      </c>
      <c r="F2379" s="3" t="s">
        <v>276</v>
      </c>
      <c r="G2379" s="3" t="s">
        <v>57</v>
      </c>
      <c r="H2379" s="2" t="s">
        <v>62</v>
      </c>
      <c r="I2379" s="2" t="s">
        <v>5543</v>
      </c>
      <c r="J2379" s="3" t="str">
        <f>HYPERLINK("https://www.boe.es/gazeta/dias/1814/07/16/pdfs/GMD-1814-99.pdf#page=6","Abrir facsímil")</f>
        <v>Abrir facsímil</v>
      </c>
      <c r="K2379" s="3" t="s">
        <v>64</v>
      </c>
    </row>
    <row r="2380" spans="1:11" ht="42" customHeight="1">
      <c r="A2380" s="2" t="s">
        <v>5544</v>
      </c>
      <c r="B2380" s="2" t="s">
        <v>5545</v>
      </c>
      <c r="C2380" s="2" t="s">
        <v>26</v>
      </c>
      <c r="D2380" s="2" t="s">
        <v>27</v>
      </c>
      <c r="E2380" s="5">
        <v>-31210</v>
      </c>
      <c r="F2380" s="3" t="s">
        <v>141</v>
      </c>
      <c r="G2380" s="3" t="s">
        <v>52</v>
      </c>
      <c r="H2380" s="2" t="s">
        <v>62</v>
      </c>
      <c r="I2380" s="2" t="s">
        <v>5546</v>
      </c>
      <c r="J2380" s="3" t="str">
        <f>HYPERLINK("https://www.boe.es/gazeta/dias/1814/07/19/pdfs/GMD-1814-100.pdf#page=8","Abrir facsímil")</f>
        <v>Abrir facsímil</v>
      </c>
      <c r="K2380" s="3" t="s">
        <v>64</v>
      </c>
    </row>
    <row r="2381" spans="1:11" ht="42" customHeight="1">
      <c r="A2381" s="2" t="s">
        <v>5544</v>
      </c>
      <c r="B2381" s="2" t="s">
        <v>5545</v>
      </c>
      <c r="C2381" s="2" t="s">
        <v>38</v>
      </c>
      <c r="D2381" s="2" t="s">
        <v>39</v>
      </c>
      <c r="E2381" s="5">
        <v>-31133</v>
      </c>
      <c r="F2381" s="3" t="s">
        <v>184</v>
      </c>
      <c r="G2381" s="3" t="s">
        <v>1243</v>
      </c>
      <c r="H2381" s="2" t="s">
        <v>62</v>
      </c>
      <c r="I2381" s="2" t="s">
        <v>5547</v>
      </c>
      <c r="J2381" s="3" t="str">
        <f>HYPERLINK("https://www.boe.es/gazeta/dias/1814/10/04/pdfs/GMD-1814-134.pdf#page=8","Abrir facsímil")</f>
        <v>Abrir facsímil</v>
      </c>
      <c r="K2381" s="3" t="s">
        <v>64</v>
      </c>
    </row>
    <row r="2382" spans="1:11" ht="42" customHeight="1">
      <c r="A2382" s="2" t="s">
        <v>5548</v>
      </c>
      <c r="B2382" s="2" t="s">
        <v>5549</v>
      </c>
      <c r="C2382" s="2" t="s">
        <v>17</v>
      </c>
      <c r="D2382" s="2" t="s">
        <v>18</v>
      </c>
      <c r="E2382" s="5">
        <v>-31231</v>
      </c>
      <c r="F2382" s="3" t="s">
        <v>861</v>
      </c>
      <c r="G2382" s="3" t="s">
        <v>99</v>
      </c>
      <c r="H2382" s="2" t="s">
        <v>62</v>
      </c>
      <c r="I2382" s="2" t="s">
        <v>5550</v>
      </c>
      <c r="J2382" s="3" t="str">
        <f>HYPERLINK("https://www.boe.es/gazeta/dias/1814/06/28/pdfs/GMD-1814-91.pdf#page=5","Abrir facsímil")</f>
        <v>Abrir facsímil</v>
      </c>
      <c r="K2382" s="3" t="s">
        <v>64</v>
      </c>
    </row>
    <row r="2383" spans="1:11" ht="42" customHeight="1">
      <c r="A2383" s="2" t="s">
        <v>5551</v>
      </c>
      <c r="B2383" s="2" t="s">
        <v>5552</v>
      </c>
      <c r="C2383" s="2" t="s">
        <v>26</v>
      </c>
      <c r="D2383" s="2" t="s">
        <v>27</v>
      </c>
      <c r="E2383" s="5">
        <v>-31245</v>
      </c>
      <c r="F2383" s="3" t="s">
        <v>908</v>
      </c>
      <c r="G2383" s="3" t="s">
        <v>704</v>
      </c>
      <c r="H2383" s="2" t="s">
        <v>21</v>
      </c>
      <c r="I2383" s="2" t="s">
        <v>5553</v>
      </c>
      <c r="J2383" s="3" t="str">
        <f>HYPERLINK("https://www.boe.es/gazeta/dias/1814/06/14/pdfs/GMD-1814-85.pdf#page=10","Abrir facsímil")</f>
        <v>Abrir facsímil</v>
      </c>
      <c r="K2383" s="3" t="s">
        <v>23</v>
      </c>
    </row>
    <row r="2384" spans="1:11" ht="42" customHeight="1">
      <c r="A2384" s="2" t="s">
        <v>5554</v>
      </c>
      <c r="B2384" s="2" t="s">
        <v>5555</v>
      </c>
      <c r="C2384" s="2" t="s">
        <v>38</v>
      </c>
      <c r="D2384" s="2" t="s">
        <v>39</v>
      </c>
      <c r="E2384" s="5">
        <v>-31196</v>
      </c>
      <c r="F2384" s="3" t="s">
        <v>828</v>
      </c>
      <c r="G2384" s="3" t="s">
        <v>52</v>
      </c>
      <c r="H2384" s="2" t="s">
        <v>62</v>
      </c>
      <c r="I2384" s="2" t="s">
        <v>5556</v>
      </c>
      <c r="J2384" s="3" t="str">
        <f>HYPERLINK("https://www.boe.es/gazeta/dias/1814/08/02/pdfs/GMD-1814-106.pdf#page=8","Abrir facsímil")</f>
        <v>Abrir facsímil</v>
      </c>
      <c r="K2384" s="3" t="s">
        <v>64</v>
      </c>
    </row>
    <row r="2385" spans="1:11" ht="42" customHeight="1">
      <c r="A2385" s="2" t="s">
        <v>5557</v>
      </c>
      <c r="B2385" s="2" t="s">
        <v>5558</v>
      </c>
      <c r="C2385" s="2" t="s">
        <v>38</v>
      </c>
      <c r="D2385" s="2" t="s">
        <v>39</v>
      </c>
      <c r="E2385" s="5">
        <v>-31355</v>
      </c>
      <c r="F2385" s="3" t="s">
        <v>50</v>
      </c>
      <c r="G2385" s="3" t="s">
        <v>20</v>
      </c>
      <c r="H2385" s="2" t="s">
        <v>62</v>
      </c>
      <c r="I2385" s="2" t="s">
        <v>5559</v>
      </c>
      <c r="J2385" s="3" t="str">
        <f>HYPERLINK("https://www.boe.es/gazeta/dias/1814/02/24/pdfs/GRE-1814-26.pdf#page=7","Abrir facsímil")</f>
        <v>Abrir facsímil</v>
      </c>
      <c r="K2385" s="3" t="s">
        <v>64</v>
      </c>
    </row>
    <row r="2386" spans="1:11" ht="42" customHeight="1">
      <c r="A2386" s="2" t="s">
        <v>5560</v>
      </c>
      <c r="B2386" s="2" t="s">
        <v>5561</v>
      </c>
      <c r="C2386" s="2" t="s">
        <v>32</v>
      </c>
      <c r="D2386" s="2" t="s">
        <v>18</v>
      </c>
      <c r="E2386" s="5">
        <v>-31245</v>
      </c>
      <c r="F2386" s="3" t="s">
        <v>908</v>
      </c>
      <c r="G2386" s="3" t="s">
        <v>4652</v>
      </c>
      <c r="H2386" s="2" t="s">
        <v>62</v>
      </c>
      <c r="I2386" s="2" t="s">
        <v>5562</v>
      </c>
      <c r="J2386" s="3" t="str">
        <f>HYPERLINK("https://www.boe.es/gazeta/dias/1814/06/14/pdfs/GMD-1814-85.pdf#page=4","Abrir facsímil")</f>
        <v>Abrir facsímil</v>
      </c>
      <c r="K2386" s="3" t="s">
        <v>64</v>
      </c>
    </row>
    <row r="2387" spans="1:11" ht="42" customHeight="1">
      <c r="A2387" s="2" t="s">
        <v>5563</v>
      </c>
      <c r="B2387" s="2" t="s">
        <v>5564</v>
      </c>
      <c r="C2387" s="2" t="s">
        <v>26</v>
      </c>
      <c r="D2387" s="2" t="s">
        <v>27</v>
      </c>
      <c r="E2387" s="5">
        <v>-31297</v>
      </c>
      <c r="F2387" s="3" t="s">
        <v>737</v>
      </c>
      <c r="G2387" s="3" t="s">
        <v>52</v>
      </c>
      <c r="H2387" s="2" t="s">
        <v>62</v>
      </c>
      <c r="I2387" s="2" t="s">
        <v>5565</v>
      </c>
      <c r="J2387" s="3" t="str">
        <f>HYPERLINK("https://www.boe.es/gazeta/dias/1814/04/23/pdfs/GRE-1814-59.pdf#page=8","Abrir facsímil")</f>
        <v>Abrir facsímil</v>
      </c>
      <c r="K2387" s="3" t="s">
        <v>64</v>
      </c>
    </row>
    <row r="2388" spans="1:11" ht="42" customHeight="1">
      <c r="A2388" s="2" t="s">
        <v>5566</v>
      </c>
      <c r="B2388" s="2" t="s">
        <v>5567</v>
      </c>
      <c r="C2388" s="2" t="s">
        <v>38</v>
      </c>
      <c r="D2388" s="2" t="s">
        <v>39</v>
      </c>
      <c r="E2388" s="5">
        <v>-31238</v>
      </c>
      <c r="F2388" s="3" t="s">
        <v>127</v>
      </c>
      <c r="G2388" s="3" t="s">
        <v>137</v>
      </c>
      <c r="H2388" s="2" t="s">
        <v>62</v>
      </c>
      <c r="I2388" s="2" t="s">
        <v>5568</v>
      </c>
      <c r="J2388" s="3" t="str">
        <f>HYPERLINK("https://www.boe.es/gazeta/dias/1814/06/21/pdfs/GMD-1814-88.pdf#page=9","Abrir facsímil")</f>
        <v>Abrir facsímil</v>
      </c>
      <c r="K2388" s="3" t="s">
        <v>64</v>
      </c>
    </row>
    <row r="2389" spans="1:11" ht="42" customHeight="1">
      <c r="A2389" s="2" t="s">
        <v>5569</v>
      </c>
      <c r="B2389" s="2" t="s">
        <v>5570</v>
      </c>
      <c r="C2389" s="2" t="s">
        <v>38</v>
      </c>
      <c r="D2389" s="2" t="s">
        <v>39</v>
      </c>
      <c r="E2389" s="5">
        <v>-31336</v>
      </c>
      <c r="F2389" s="3" t="s">
        <v>1789</v>
      </c>
      <c r="G2389" s="3" t="s">
        <v>52</v>
      </c>
      <c r="H2389" s="2" t="s">
        <v>62</v>
      </c>
      <c r="I2389" s="2" t="s">
        <v>5571</v>
      </c>
      <c r="J2389" s="3" t="str">
        <f>HYPERLINK("https://www.boe.es/gazeta/dias/1814/03/15/pdfs/GRE-1814-36.pdf#page=8","Abrir facsímil")</f>
        <v>Abrir facsímil</v>
      </c>
      <c r="K2389" s="3" t="s">
        <v>64</v>
      </c>
    </row>
    <row r="2390" spans="1:11" ht="42" customHeight="1">
      <c r="A2390" s="2" t="s">
        <v>5572</v>
      </c>
      <c r="B2390" s="2" t="s">
        <v>5573</v>
      </c>
      <c r="C2390" s="2" t="s">
        <v>38</v>
      </c>
      <c r="D2390" s="2" t="s">
        <v>39</v>
      </c>
      <c r="E2390" s="5">
        <v>-31371</v>
      </c>
      <c r="F2390" s="3" t="s">
        <v>1017</v>
      </c>
      <c r="G2390" s="3" t="s">
        <v>87</v>
      </c>
      <c r="H2390" s="2" t="s">
        <v>62</v>
      </c>
      <c r="I2390" s="2" t="s">
        <v>5574</v>
      </c>
      <c r="J2390" s="3" t="str">
        <f>HYPERLINK("https://www.boe.es/gazeta/dias/1814/02/08/pdfs/GRE-1814-18.pdf#page=2","Abrir facsímil")</f>
        <v>Abrir facsímil</v>
      </c>
      <c r="K2390" s="3" t="s">
        <v>64</v>
      </c>
    </row>
    <row r="2391" spans="1:11" ht="42" customHeight="1">
      <c r="A2391" s="2" t="s">
        <v>5575</v>
      </c>
      <c r="B2391" s="2" t="s">
        <v>5575</v>
      </c>
      <c r="C2391" s="2" t="s">
        <v>26</v>
      </c>
      <c r="D2391" s="2" t="s">
        <v>27</v>
      </c>
      <c r="E2391" s="5">
        <v>-31357</v>
      </c>
      <c r="F2391" s="3" t="s">
        <v>1460</v>
      </c>
      <c r="G2391" s="3" t="s">
        <v>41</v>
      </c>
      <c r="H2391" s="2" t="s">
        <v>62</v>
      </c>
      <c r="I2391" s="2" t="s">
        <v>5576</v>
      </c>
      <c r="J2391" s="3" t="str">
        <f>HYPERLINK("https://www.boe.es/gazeta/dias/1814/02/22/pdfs/GRE-1814-25.pdf#page=4","Abrir facsímil")</f>
        <v>Abrir facsímil</v>
      </c>
      <c r="K2391" s="3" t="s">
        <v>64</v>
      </c>
    </row>
    <row r="2392" spans="1:11" ht="42" customHeight="1">
      <c r="A2392" s="2" t="s">
        <v>5575</v>
      </c>
      <c r="B2392" s="2" t="s">
        <v>5575</v>
      </c>
      <c r="C2392" s="2" t="s">
        <v>38</v>
      </c>
      <c r="D2392" s="2" t="s">
        <v>314</v>
      </c>
      <c r="E2392" s="5">
        <v>-31294</v>
      </c>
      <c r="F2392" s="3" t="s">
        <v>2505</v>
      </c>
      <c r="G2392" s="3" t="s">
        <v>82</v>
      </c>
      <c r="H2392" s="2" t="s">
        <v>62</v>
      </c>
      <c r="I2392" s="2" t="s">
        <v>5577</v>
      </c>
      <c r="J2392" s="3" t="str">
        <f>HYPERLINK("https://www.boe.es/gazeta/dias/1814/04/26/pdfs/GRE-1814-62E.pdf#page=3","Abrir facsímil")</f>
        <v>Abrir facsímil</v>
      </c>
      <c r="K2392" s="3" t="s">
        <v>64</v>
      </c>
    </row>
    <row r="2393" spans="1:11" ht="42" customHeight="1">
      <c r="A2393" s="2" t="s">
        <v>5578</v>
      </c>
      <c r="B2393" s="2" t="s">
        <v>5579</v>
      </c>
      <c r="C2393" s="2" t="s">
        <v>26</v>
      </c>
      <c r="D2393" s="2" t="s">
        <v>27</v>
      </c>
      <c r="E2393" s="5">
        <v>-31089</v>
      </c>
      <c r="F2393" s="3" t="s">
        <v>531</v>
      </c>
      <c r="G2393" s="3" t="s">
        <v>794</v>
      </c>
      <c r="H2393" s="2" t="s">
        <v>62</v>
      </c>
      <c r="I2393" s="2" t="s">
        <v>5580</v>
      </c>
      <c r="J2393" s="3" t="str">
        <f>HYPERLINK("https://www.boe.es/gazeta/dias/1814/11/17/pdfs/GMD-1814-153.pdf#page=8","Abrir facsímil")</f>
        <v>Abrir facsímil</v>
      </c>
      <c r="K2393" s="3" t="s">
        <v>64</v>
      </c>
    </row>
    <row r="2394" spans="1:11" ht="42" customHeight="1">
      <c r="A2394" s="2" t="s">
        <v>5581</v>
      </c>
      <c r="B2394" s="2" t="s">
        <v>5582</v>
      </c>
      <c r="C2394" s="2" t="s">
        <v>38</v>
      </c>
      <c r="D2394" s="2" t="s">
        <v>39</v>
      </c>
      <c r="E2394" s="5">
        <v>-31238</v>
      </c>
      <c r="F2394" s="3" t="s">
        <v>127</v>
      </c>
      <c r="G2394" s="3" t="s">
        <v>41</v>
      </c>
      <c r="H2394" s="2" t="s">
        <v>62</v>
      </c>
      <c r="I2394" s="2" t="s">
        <v>5583</v>
      </c>
      <c r="J2394" s="3" t="str">
        <f>HYPERLINK("https://www.boe.es/gazeta/dias/1814/06/21/pdfs/GMD-1814-88.pdf#page=4","Abrir facsímil")</f>
        <v>Abrir facsímil</v>
      </c>
      <c r="K2394" s="3" t="s">
        <v>64</v>
      </c>
    </row>
    <row r="2395" spans="1:11" ht="42" customHeight="1">
      <c r="A2395" s="2" t="s">
        <v>5584</v>
      </c>
      <c r="B2395" s="2" t="s">
        <v>5585</v>
      </c>
      <c r="C2395" s="2" t="s">
        <v>38</v>
      </c>
      <c r="D2395" s="2" t="s">
        <v>39</v>
      </c>
      <c r="E2395" s="5">
        <v>-31392</v>
      </c>
      <c r="F2395" s="3" t="s">
        <v>195</v>
      </c>
      <c r="G2395" s="3" t="s">
        <v>3134</v>
      </c>
      <c r="H2395" s="2" t="s">
        <v>62</v>
      </c>
      <c r="I2395" s="2" t="s">
        <v>5586</v>
      </c>
      <c r="J2395" s="3" t="str">
        <f>HYPERLINK("https://www.boe.es/gazeta/dias/1814/01/18/pdfs/GRE-1814-9.pdf#page=5","Abrir facsímil")</f>
        <v>Abrir facsímil</v>
      </c>
      <c r="K2395" s="3" t="s">
        <v>64</v>
      </c>
    </row>
    <row r="2396" spans="1:11" ht="42" customHeight="1">
      <c r="A2396" s="2" t="s">
        <v>5587</v>
      </c>
      <c r="B2396" s="2" t="s">
        <v>5587</v>
      </c>
      <c r="C2396" s="2" t="s">
        <v>38</v>
      </c>
      <c r="D2396" s="2" t="s">
        <v>39</v>
      </c>
      <c r="E2396" s="5">
        <v>-31094</v>
      </c>
      <c r="F2396" s="3" t="s">
        <v>761</v>
      </c>
      <c r="G2396" s="3" t="s">
        <v>107</v>
      </c>
      <c r="H2396" s="2" t="s">
        <v>62</v>
      </c>
      <c r="I2396" s="2" t="s">
        <v>5588</v>
      </c>
      <c r="J2396" s="3" t="str">
        <f>HYPERLINK("https://www.boe.es/gazeta/dias/1814/11/12/pdfs/GMD-1814-151.pdf#page=1","Abrir facsímil")</f>
        <v>Abrir facsímil</v>
      </c>
      <c r="K2396" s="3" t="s">
        <v>64</v>
      </c>
    </row>
    <row r="2397" spans="1:11" ht="42" customHeight="1">
      <c r="A2397" s="2" t="s">
        <v>5589</v>
      </c>
      <c r="B2397" s="2" t="s">
        <v>5589</v>
      </c>
      <c r="C2397" s="2" t="s">
        <v>38</v>
      </c>
      <c r="D2397" s="2" t="s">
        <v>39</v>
      </c>
      <c r="E2397" s="5">
        <v>-31301</v>
      </c>
      <c r="F2397" s="3" t="s">
        <v>81</v>
      </c>
      <c r="G2397" s="3" t="s">
        <v>107</v>
      </c>
      <c r="H2397" s="2" t="s">
        <v>62</v>
      </c>
      <c r="I2397" s="2" t="s">
        <v>5590</v>
      </c>
      <c r="J2397" s="3" t="str">
        <f>HYPERLINK("https://www.boe.es/gazeta/dias/1814/04/19/pdfs/GRE-1814-56.pdf#page=1","Abrir facsímil")</f>
        <v>Abrir facsímil</v>
      </c>
      <c r="K2397" s="3" t="s">
        <v>64</v>
      </c>
    </row>
    <row r="2398" spans="1:11" ht="42" customHeight="1">
      <c r="A2398" s="2" t="s">
        <v>5589</v>
      </c>
      <c r="B2398" s="2" t="s">
        <v>5589</v>
      </c>
      <c r="C2398" s="2" t="s">
        <v>38</v>
      </c>
      <c r="D2398" s="2" t="s">
        <v>39</v>
      </c>
      <c r="E2398" s="5">
        <v>-31301</v>
      </c>
      <c r="F2398" s="3" t="s">
        <v>81</v>
      </c>
      <c r="G2398" s="3" t="s">
        <v>87</v>
      </c>
      <c r="H2398" s="2" t="s">
        <v>62</v>
      </c>
      <c r="I2398" s="2" t="s">
        <v>5591</v>
      </c>
      <c r="J2398" s="3" t="str">
        <f>HYPERLINK("https://www.boe.es/gazeta/dias/1814/04/19/pdfs/GRE-1814-56.pdf#page=2","Abrir facsímil")</f>
        <v>Abrir facsímil</v>
      </c>
      <c r="K2398" s="3" t="s">
        <v>64</v>
      </c>
    </row>
    <row r="2399" spans="1:11" ht="42" customHeight="1">
      <c r="A2399" s="2" t="s">
        <v>5589</v>
      </c>
      <c r="B2399" s="2" t="s">
        <v>5589</v>
      </c>
      <c r="C2399" s="2" t="s">
        <v>38</v>
      </c>
      <c r="D2399" s="2" t="s">
        <v>39</v>
      </c>
      <c r="E2399" s="5">
        <v>-31301</v>
      </c>
      <c r="F2399" s="3" t="s">
        <v>81</v>
      </c>
      <c r="G2399" s="3" t="s">
        <v>41</v>
      </c>
      <c r="H2399" s="2" t="s">
        <v>62</v>
      </c>
      <c r="I2399" s="2" t="s">
        <v>5592</v>
      </c>
      <c r="J2399" s="3" t="str">
        <f>HYPERLINK("https://www.boe.es/gazeta/dias/1814/04/19/pdfs/GRE-1814-56.pdf#page=4","Abrir facsímil")</f>
        <v>Abrir facsímil</v>
      </c>
      <c r="K2399" s="3" t="s">
        <v>64</v>
      </c>
    </row>
    <row r="2400" spans="1:11" ht="42" customHeight="1">
      <c r="A2400" s="2" t="s">
        <v>5593</v>
      </c>
      <c r="B2400" s="2" t="s">
        <v>5593</v>
      </c>
      <c r="C2400" s="2" t="s">
        <v>38</v>
      </c>
      <c r="D2400" s="2" t="s">
        <v>39</v>
      </c>
      <c r="E2400" s="5">
        <v>-31301</v>
      </c>
      <c r="F2400" s="3" t="s">
        <v>81</v>
      </c>
      <c r="G2400" s="3" t="s">
        <v>107</v>
      </c>
      <c r="H2400" s="2" t="s">
        <v>62</v>
      </c>
      <c r="I2400" s="2" t="s">
        <v>5594</v>
      </c>
      <c r="J2400" s="3" t="str">
        <f>HYPERLINK("https://www.boe.es/gazeta/dias/1814/04/19/pdfs/GRE-1814-56.pdf#page=1","Abrir facsímil")</f>
        <v>Abrir facsímil</v>
      </c>
      <c r="K2400" s="3" t="s">
        <v>64</v>
      </c>
    </row>
    <row r="2401" spans="1:11" ht="42" customHeight="1">
      <c r="A2401" s="2" t="s">
        <v>5595</v>
      </c>
      <c r="B2401" s="2" t="s">
        <v>5596</v>
      </c>
      <c r="C2401" s="2" t="s">
        <v>38</v>
      </c>
      <c r="D2401" s="2" t="s">
        <v>39</v>
      </c>
      <c r="E2401" s="5">
        <v>-31336</v>
      </c>
      <c r="F2401" s="3" t="s">
        <v>1789</v>
      </c>
      <c r="G2401" s="3" t="s">
        <v>52</v>
      </c>
      <c r="H2401" s="2" t="s">
        <v>62</v>
      </c>
      <c r="I2401" s="2" t="s">
        <v>5597</v>
      </c>
      <c r="J2401" s="3" t="str">
        <f>HYPERLINK("https://www.boe.es/gazeta/dias/1814/03/15/pdfs/GRE-1814-36.pdf#page=8","Abrir facsímil")</f>
        <v>Abrir facsímil</v>
      </c>
      <c r="K2401" s="3" t="s">
        <v>64</v>
      </c>
    </row>
    <row r="2402" spans="1:11" ht="42" customHeight="1">
      <c r="A2402" s="2" t="s">
        <v>5598</v>
      </c>
      <c r="B2402" s="2" t="s">
        <v>5599</v>
      </c>
      <c r="C2402" s="2" t="s">
        <v>38</v>
      </c>
      <c r="D2402" s="2" t="s">
        <v>39</v>
      </c>
      <c r="E2402" s="5">
        <v>-31336</v>
      </c>
      <c r="F2402" s="3" t="s">
        <v>1789</v>
      </c>
      <c r="G2402" s="3" t="s">
        <v>20</v>
      </c>
      <c r="H2402" s="2" t="s">
        <v>62</v>
      </c>
      <c r="I2402" s="2" t="s">
        <v>5600</v>
      </c>
      <c r="J2402" s="3" t="str">
        <f>HYPERLINK("https://www.boe.es/gazeta/dias/1814/03/15/pdfs/GRE-1814-36.pdf#page=7","Abrir facsímil")</f>
        <v>Abrir facsímil</v>
      </c>
      <c r="K2402" s="3" t="s">
        <v>64</v>
      </c>
    </row>
    <row r="2403" spans="1:11" ht="42" customHeight="1">
      <c r="A2403" s="2" t="s">
        <v>5601</v>
      </c>
      <c r="B2403" s="2" t="s">
        <v>5601</v>
      </c>
      <c r="C2403" s="2" t="s">
        <v>38</v>
      </c>
      <c r="D2403" s="2" t="s">
        <v>39</v>
      </c>
      <c r="E2403" s="5">
        <v>-31126</v>
      </c>
      <c r="F2403" s="3" t="s">
        <v>56</v>
      </c>
      <c r="G2403" s="3" t="s">
        <v>2616</v>
      </c>
      <c r="H2403" s="2" t="s">
        <v>62</v>
      </c>
      <c r="I2403" s="2" t="s">
        <v>5602</v>
      </c>
      <c r="J2403" s="3" t="str">
        <f>HYPERLINK("https://www.boe.es/gazeta/dias/1814/10/11/pdfs/GMD-1814-137.pdf#page=7","Abrir facsímil")</f>
        <v>Abrir facsímil</v>
      </c>
      <c r="K2403" s="3" t="s">
        <v>64</v>
      </c>
    </row>
    <row r="2404" spans="1:11" ht="42" customHeight="1">
      <c r="A2404" s="2" t="s">
        <v>5603</v>
      </c>
      <c r="B2404" s="2" t="s">
        <v>5604</v>
      </c>
      <c r="C2404" s="2" t="s">
        <v>45</v>
      </c>
      <c r="D2404" s="2" t="s">
        <v>18</v>
      </c>
      <c r="E2404" s="5">
        <v>-31189</v>
      </c>
      <c r="F2404" s="3" t="s">
        <v>379</v>
      </c>
      <c r="G2404" s="3" t="s">
        <v>20</v>
      </c>
      <c r="H2404" s="2" t="s">
        <v>21</v>
      </c>
      <c r="I2404" s="2" t="s">
        <v>5605</v>
      </c>
      <c r="J2404" s="3" t="str">
        <f>HYPERLINK("https://www.boe.es/gazeta/dias/1814/08/09/pdfs/GMD-1814-109.pdf#page=7","Abrir facsímil")</f>
        <v>Abrir facsímil</v>
      </c>
      <c r="K2404" s="3" t="s">
        <v>23</v>
      </c>
    </row>
    <row r="2405" spans="1:11" ht="42" customHeight="1">
      <c r="A2405" s="2" t="s">
        <v>5606</v>
      </c>
      <c r="B2405" s="2" t="s">
        <v>5607</v>
      </c>
      <c r="C2405" s="2" t="s">
        <v>17</v>
      </c>
      <c r="D2405" s="2" t="s">
        <v>18</v>
      </c>
      <c r="E2405" s="5">
        <v>-31119</v>
      </c>
      <c r="F2405" s="3" t="s">
        <v>136</v>
      </c>
      <c r="G2405" s="3" t="s">
        <v>137</v>
      </c>
      <c r="H2405" s="2" t="s">
        <v>21</v>
      </c>
      <c r="I2405" s="2" t="s">
        <v>5608</v>
      </c>
      <c r="J2405" s="3" t="str">
        <f>HYPERLINK("https://www.boe.es/gazeta/dias/1814/10/18/pdfs/GMD-1814-140.pdf#page=9","Abrir facsímil")</f>
        <v>Abrir facsímil</v>
      </c>
      <c r="K2405" s="3" t="s">
        <v>23</v>
      </c>
    </row>
    <row r="2406" spans="1:11" ht="42" customHeight="1">
      <c r="A2406" s="2" t="s">
        <v>5609</v>
      </c>
      <c r="B2406" s="2" t="s">
        <v>5610</v>
      </c>
      <c r="C2406" s="2" t="s">
        <v>38</v>
      </c>
      <c r="D2406" s="2" t="s">
        <v>39</v>
      </c>
      <c r="E2406" s="5">
        <v>-31063</v>
      </c>
      <c r="F2406" s="3" t="s">
        <v>649</v>
      </c>
      <c r="G2406" s="3" t="s">
        <v>52</v>
      </c>
      <c r="H2406" s="2" t="s">
        <v>62</v>
      </c>
      <c r="I2406" s="2" t="s">
        <v>5611</v>
      </c>
      <c r="J2406" s="3" t="str">
        <f>HYPERLINK("https://www.boe.es/gazeta/dias/1814/12/13/pdfs/GMD-1814-164.pdf#page=8","Abrir facsímil")</f>
        <v>Abrir facsímil</v>
      </c>
      <c r="K2406" s="3" t="s">
        <v>64</v>
      </c>
    </row>
    <row r="2407" spans="1:11" ht="42" customHeight="1">
      <c r="A2407" s="2" t="s">
        <v>5612</v>
      </c>
      <c r="B2407" s="2" t="s">
        <v>5613</v>
      </c>
      <c r="C2407" s="2" t="s">
        <v>309</v>
      </c>
      <c r="D2407" s="2" t="s">
        <v>18</v>
      </c>
      <c r="E2407" s="5">
        <v>-31098</v>
      </c>
      <c r="F2407" s="3" t="s">
        <v>290</v>
      </c>
      <c r="G2407" s="3" t="s">
        <v>310</v>
      </c>
      <c r="H2407" s="2" t="s">
        <v>62</v>
      </c>
      <c r="I2407" s="2" t="s">
        <v>5614</v>
      </c>
      <c r="J2407" s="3" t="str">
        <f>HYPERLINK("https://www.boe.es/gazeta/dias/1814/11/08/pdfs/GMD-1814-149.pdf#page=8","Abrir facsímil")</f>
        <v>Abrir facsímil</v>
      </c>
      <c r="K2407" s="3" t="s">
        <v>64</v>
      </c>
    </row>
    <row r="2408" spans="1:11" ht="42" customHeight="1">
      <c r="A2408" s="2" t="s">
        <v>5615</v>
      </c>
      <c r="B2408" s="2" t="s">
        <v>5616</v>
      </c>
      <c r="C2408" s="2" t="s">
        <v>38</v>
      </c>
      <c r="D2408" s="2" t="s">
        <v>39</v>
      </c>
      <c r="E2408" s="5">
        <v>-31133</v>
      </c>
      <c r="F2408" s="3" t="s">
        <v>184</v>
      </c>
      <c r="G2408" s="3" t="s">
        <v>1243</v>
      </c>
      <c r="H2408" s="2" t="s">
        <v>62</v>
      </c>
      <c r="I2408" s="2" t="s">
        <v>5617</v>
      </c>
      <c r="J2408" s="3" t="str">
        <f>HYPERLINK("https://www.boe.es/gazeta/dias/1814/10/04/pdfs/GMD-1814-134.pdf#page=8","Abrir facsímil")</f>
        <v>Abrir facsímil</v>
      </c>
      <c r="K2408" s="3" t="s">
        <v>64</v>
      </c>
    </row>
    <row r="2409" spans="1:11" ht="42" customHeight="1">
      <c r="A2409" s="2" t="s">
        <v>5618</v>
      </c>
      <c r="B2409" s="2" t="s">
        <v>5618</v>
      </c>
      <c r="C2409" s="2" t="s">
        <v>38</v>
      </c>
      <c r="D2409" s="2" t="s">
        <v>39</v>
      </c>
      <c r="E2409" s="5">
        <v>-31371</v>
      </c>
      <c r="F2409" s="3" t="s">
        <v>476</v>
      </c>
      <c r="G2409" s="3" t="s">
        <v>87</v>
      </c>
      <c r="H2409" s="2" t="s">
        <v>62</v>
      </c>
      <c r="I2409" s="2" t="s">
        <v>5619</v>
      </c>
      <c r="J2409" s="3" t="str">
        <f>HYPERLINK("https://www.boe.es/gazeta/dias/1814/02/08/pdfs/GRE-1814-31.pdf#page=2","Abrir facsímil")</f>
        <v>Abrir facsímil</v>
      </c>
      <c r="K2409" s="3" t="s">
        <v>64</v>
      </c>
    </row>
    <row r="2410" spans="1:11" ht="42" customHeight="1">
      <c r="A2410" s="2" t="s">
        <v>5618</v>
      </c>
      <c r="B2410" s="2" t="s">
        <v>5618</v>
      </c>
      <c r="C2410" s="2" t="s">
        <v>38</v>
      </c>
      <c r="D2410" s="2" t="s">
        <v>39</v>
      </c>
      <c r="E2410" s="5">
        <v>-31343</v>
      </c>
      <c r="F2410" s="3" t="s">
        <v>476</v>
      </c>
      <c r="G2410" s="3" t="s">
        <v>87</v>
      </c>
      <c r="H2410" s="2" t="s">
        <v>62</v>
      </c>
      <c r="I2410" s="2" t="s">
        <v>5619</v>
      </c>
      <c r="J2410" s="3" t="str">
        <f>HYPERLINK("https://www.boe.es/gazeta/dias/1814/03/08/pdfs/GRE-1814-31.pdf#page=2","Abrir facsímil")</f>
        <v>Abrir facsímil</v>
      </c>
      <c r="K2410" s="3" t="s">
        <v>64</v>
      </c>
    </row>
    <row r="2411" spans="1:11" ht="42" customHeight="1">
      <c r="A2411" s="2" t="s">
        <v>5620</v>
      </c>
      <c r="B2411" s="2" t="s">
        <v>5621</v>
      </c>
      <c r="C2411" s="2" t="s">
        <v>38</v>
      </c>
      <c r="D2411" s="2" t="s">
        <v>314</v>
      </c>
      <c r="E2411" s="5">
        <v>-31296</v>
      </c>
      <c r="F2411" s="3" t="s">
        <v>315</v>
      </c>
      <c r="G2411" s="3" t="s">
        <v>20</v>
      </c>
      <c r="H2411" s="2" t="s">
        <v>62</v>
      </c>
      <c r="I2411" s="2" t="s">
        <v>5622</v>
      </c>
      <c r="J2411" s="3" t="str">
        <f>HYPERLINK("https://www.boe.es/gazeta/dias/1814/04/24/pdfs/GRE-1814-60E.pdf#page=7","Abrir facsímil")</f>
        <v>Abrir facsímil</v>
      </c>
      <c r="K2411" s="3" t="s">
        <v>64</v>
      </c>
    </row>
    <row r="2412" spans="1:11" ht="42" customHeight="1">
      <c r="A2412" s="2" t="s">
        <v>5623</v>
      </c>
      <c r="B2412" s="2" t="s">
        <v>5624</v>
      </c>
      <c r="C2412" s="2" t="s">
        <v>45</v>
      </c>
      <c r="D2412" s="2" t="s">
        <v>18</v>
      </c>
      <c r="E2412" s="5">
        <v>-31311</v>
      </c>
      <c r="F2412" s="3" t="s">
        <v>3144</v>
      </c>
      <c r="G2412" s="3" t="s">
        <v>52</v>
      </c>
      <c r="H2412" s="2" t="s">
        <v>62</v>
      </c>
      <c r="I2412" s="2" t="s">
        <v>5625</v>
      </c>
      <c r="J2412" s="3" t="str">
        <f>HYPERLINK("https://www.boe.es/gazeta/dias/1814/04/09/pdfs/GRE-1814-51.pdf#page=8","Abrir facsímil")</f>
        <v>Abrir facsímil</v>
      </c>
      <c r="K2412" s="3" t="s">
        <v>64</v>
      </c>
    </row>
    <row r="2413" spans="1:11" ht="42" customHeight="1">
      <c r="A2413" s="2" t="s">
        <v>5626</v>
      </c>
      <c r="B2413" s="2" t="s">
        <v>5627</v>
      </c>
      <c r="C2413" s="2" t="s">
        <v>144</v>
      </c>
      <c r="D2413" s="2" t="s">
        <v>18</v>
      </c>
      <c r="E2413" s="5">
        <v>-31189</v>
      </c>
      <c r="F2413" s="3" t="s">
        <v>379</v>
      </c>
      <c r="G2413" s="3" t="s">
        <v>52</v>
      </c>
      <c r="H2413" s="2" t="s">
        <v>62</v>
      </c>
      <c r="I2413" s="2" t="s">
        <v>5628</v>
      </c>
      <c r="J2413" s="3" t="str">
        <f>HYPERLINK("https://www.boe.es/gazeta/dias/1814/08/09/pdfs/GMD-1814-109.pdf#page=8","Abrir facsímil")</f>
        <v>Abrir facsímil</v>
      </c>
      <c r="K2413" s="3" t="s">
        <v>64</v>
      </c>
    </row>
    <row r="2414" spans="1:11" ht="42" customHeight="1">
      <c r="A2414" s="2" t="s">
        <v>5629</v>
      </c>
      <c r="B2414" s="2" t="s">
        <v>5630</v>
      </c>
      <c r="C2414" s="2" t="s">
        <v>38</v>
      </c>
      <c r="D2414" s="2" t="s">
        <v>39</v>
      </c>
      <c r="E2414" s="5">
        <v>-31140</v>
      </c>
      <c r="F2414" s="3" t="s">
        <v>525</v>
      </c>
      <c r="G2414" s="3" t="s">
        <v>52</v>
      </c>
      <c r="H2414" s="2" t="s">
        <v>21</v>
      </c>
      <c r="I2414" s="2" t="s">
        <v>5631</v>
      </c>
      <c r="J2414" s="3" t="str">
        <f>HYPERLINK("https://www.boe.es/gazeta/dias/1814/09/27/pdfs/GMD-1814-131.pdf#page=8","Abrir facsímil")</f>
        <v>Abrir facsímil</v>
      </c>
      <c r="K2414" s="3" t="s">
        <v>23</v>
      </c>
    </row>
    <row r="2415" spans="1:11" ht="42" customHeight="1">
      <c r="A2415" s="2" t="s">
        <v>5632</v>
      </c>
      <c r="B2415" s="2" t="s">
        <v>5632</v>
      </c>
      <c r="C2415" s="2" t="s">
        <v>38</v>
      </c>
      <c r="D2415" s="2" t="s">
        <v>39</v>
      </c>
      <c r="E2415" s="5">
        <v>-31374</v>
      </c>
      <c r="F2415" s="3" t="s">
        <v>474</v>
      </c>
      <c r="G2415" s="3" t="s">
        <v>82</v>
      </c>
      <c r="H2415" s="2" t="s">
        <v>62</v>
      </c>
      <c r="I2415" s="2" t="s">
        <v>5633</v>
      </c>
      <c r="J2415" s="3" t="str">
        <f>HYPERLINK("https://www.boe.es/gazeta/dias/1814/02/05/pdfs/GRE-1814-17.pdf#page=3","Abrir facsímil")</f>
        <v>Abrir facsímil</v>
      </c>
      <c r="K2415" s="3" t="s">
        <v>64</v>
      </c>
    </row>
    <row r="2416" spans="1:11" ht="42" customHeight="1">
      <c r="A2416" s="2" t="s">
        <v>5632</v>
      </c>
      <c r="B2416" s="2" t="s">
        <v>5632</v>
      </c>
      <c r="C2416" s="2" t="s">
        <v>38</v>
      </c>
      <c r="D2416" s="2" t="s">
        <v>39</v>
      </c>
      <c r="E2416" s="5">
        <v>-31371</v>
      </c>
      <c r="F2416" s="3" t="s">
        <v>476</v>
      </c>
      <c r="G2416" s="3" t="s">
        <v>87</v>
      </c>
      <c r="H2416" s="2" t="s">
        <v>62</v>
      </c>
      <c r="I2416" s="2" t="s">
        <v>5634</v>
      </c>
      <c r="J2416" s="3" t="str">
        <f>HYPERLINK("https://www.boe.es/gazeta/dias/1814/02/08/pdfs/GRE-1814-31.pdf#page=2","Abrir facsímil")</f>
        <v>Abrir facsímil</v>
      </c>
      <c r="K2416" s="3" t="s">
        <v>64</v>
      </c>
    </row>
    <row r="2417" spans="1:11" ht="42" customHeight="1">
      <c r="A2417" s="2" t="s">
        <v>5632</v>
      </c>
      <c r="B2417" s="2" t="s">
        <v>5632</v>
      </c>
      <c r="C2417" s="2" t="s">
        <v>38</v>
      </c>
      <c r="D2417" s="2" t="s">
        <v>39</v>
      </c>
      <c r="E2417" s="5">
        <v>-31367</v>
      </c>
      <c r="F2417" s="3" t="s">
        <v>857</v>
      </c>
      <c r="G2417" s="3" t="s">
        <v>82</v>
      </c>
      <c r="H2417" s="2" t="s">
        <v>62</v>
      </c>
      <c r="I2417" s="2" t="s">
        <v>5635</v>
      </c>
      <c r="J2417" s="3" t="str">
        <f>HYPERLINK("https://www.boe.es/gazeta/dias/1814/02/12/pdfs/GRE-1814-20.pdf#page=3","Abrir facsímil")</f>
        <v>Abrir facsímil</v>
      </c>
      <c r="K2417" s="3" t="s">
        <v>64</v>
      </c>
    </row>
    <row r="2418" spans="1:11" ht="42" customHeight="1">
      <c r="A2418" s="2" t="s">
        <v>5632</v>
      </c>
      <c r="B2418" s="2" t="s">
        <v>5632</v>
      </c>
      <c r="C2418" s="2" t="s">
        <v>38</v>
      </c>
      <c r="D2418" s="2" t="s">
        <v>39</v>
      </c>
      <c r="E2418" s="5">
        <v>-31350</v>
      </c>
      <c r="F2418" s="3" t="s">
        <v>377</v>
      </c>
      <c r="G2418" s="3" t="s">
        <v>82</v>
      </c>
      <c r="H2418" s="2" t="s">
        <v>62</v>
      </c>
      <c r="I2418" s="2" t="s">
        <v>5636</v>
      </c>
      <c r="J2418" s="3" t="str">
        <f>HYPERLINK("https://www.boe.es/gazeta/dias/1814/03/01/pdfs/GRE-1814-28.pdf#page=3","Abrir facsímil")</f>
        <v>Abrir facsímil</v>
      </c>
      <c r="K2418" s="3" t="s">
        <v>64</v>
      </c>
    </row>
    <row r="2419" spans="1:11" ht="42" customHeight="1">
      <c r="A2419" s="2" t="s">
        <v>5632</v>
      </c>
      <c r="B2419" s="2" t="s">
        <v>5632</v>
      </c>
      <c r="C2419" s="2" t="s">
        <v>38</v>
      </c>
      <c r="D2419" s="2" t="s">
        <v>39</v>
      </c>
      <c r="E2419" s="5">
        <v>-31343</v>
      </c>
      <c r="F2419" s="3" t="s">
        <v>476</v>
      </c>
      <c r="G2419" s="3" t="s">
        <v>87</v>
      </c>
      <c r="H2419" s="2" t="s">
        <v>62</v>
      </c>
      <c r="I2419" s="2" t="s">
        <v>5634</v>
      </c>
      <c r="J2419" s="3" t="str">
        <f>HYPERLINK("https://www.boe.es/gazeta/dias/1814/03/08/pdfs/GRE-1814-31.pdf#page=2","Abrir facsímil")</f>
        <v>Abrir facsímil</v>
      </c>
      <c r="K2419" s="3" t="s">
        <v>64</v>
      </c>
    </row>
    <row r="2420" spans="1:11" ht="42" customHeight="1">
      <c r="A2420" s="2" t="s">
        <v>5632</v>
      </c>
      <c r="B2420" s="2" t="s">
        <v>5632</v>
      </c>
      <c r="C2420" s="2" t="s">
        <v>38</v>
      </c>
      <c r="D2420" s="2" t="s">
        <v>39</v>
      </c>
      <c r="E2420" s="5">
        <v>-31320</v>
      </c>
      <c r="F2420" s="3" t="s">
        <v>40</v>
      </c>
      <c r="G2420" s="3" t="s">
        <v>99</v>
      </c>
      <c r="H2420" s="2" t="s">
        <v>62</v>
      </c>
      <c r="I2420" s="2" t="s">
        <v>5637</v>
      </c>
      <c r="J2420" s="3" t="str">
        <f>HYPERLINK("https://www.boe.es/gazeta/dias/1814/03/31/pdfs/GRE-1814-46.pdf#page=5","Abrir facsímil")</f>
        <v>Abrir facsímil</v>
      </c>
      <c r="K2420" s="3" t="s">
        <v>64</v>
      </c>
    </row>
    <row r="2421" spans="1:11" ht="42" customHeight="1">
      <c r="A2421" s="2" t="s">
        <v>5638</v>
      </c>
      <c r="B2421" s="2" t="s">
        <v>5639</v>
      </c>
      <c r="C2421" s="2" t="s">
        <v>38</v>
      </c>
      <c r="D2421" s="2" t="s">
        <v>39</v>
      </c>
      <c r="E2421" s="5">
        <v>-31070</v>
      </c>
      <c r="F2421" s="3" t="s">
        <v>92</v>
      </c>
      <c r="G2421" s="3" t="s">
        <v>52</v>
      </c>
      <c r="H2421" s="2" t="s">
        <v>62</v>
      </c>
      <c r="I2421" s="2" t="s">
        <v>5640</v>
      </c>
      <c r="J2421" s="3" t="str">
        <f>HYPERLINK("https://www.boe.es/gazeta/dias/1814/12/06/pdfs/GMD-1814-161.pdf#page=8","Abrir facsímil")</f>
        <v>Abrir facsímil</v>
      </c>
      <c r="K2421" s="3" t="s">
        <v>64</v>
      </c>
    </row>
    <row r="2422" spans="1:11" ht="42" customHeight="1">
      <c r="A2422" s="2" t="s">
        <v>5641</v>
      </c>
      <c r="B2422" s="2" t="s">
        <v>5642</v>
      </c>
      <c r="C2422" s="2" t="s">
        <v>38</v>
      </c>
      <c r="D2422" s="2" t="s">
        <v>39</v>
      </c>
      <c r="E2422" s="5">
        <v>-31194</v>
      </c>
      <c r="F2422" s="3" t="s">
        <v>333</v>
      </c>
      <c r="G2422" s="3" t="s">
        <v>57</v>
      </c>
      <c r="H2422" s="2" t="s">
        <v>62</v>
      </c>
      <c r="I2422" s="2" t="s">
        <v>5643</v>
      </c>
      <c r="J2422" s="3" t="str">
        <f>HYPERLINK("https://www.boe.es/gazeta/dias/1814/08/04/pdfs/GMD-1814-107.pdf#page=6","Abrir facsímil")</f>
        <v>Abrir facsímil</v>
      </c>
      <c r="K2422" s="3" t="s">
        <v>64</v>
      </c>
    </row>
    <row r="2423" spans="1:11" ht="42" customHeight="1">
      <c r="A2423" s="2" t="s">
        <v>5644</v>
      </c>
      <c r="B2423" s="2" t="s">
        <v>5645</v>
      </c>
      <c r="C2423" s="2" t="s">
        <v>45</v>
      </c>
      <c r="D2423" s="2" t="s">
        <v>18</v>
      </c>
      <c r="E2423" s="5">
        <v>-31084</v>
      </c>
      <c r="F2423" s="3" t="s">
        <v>282</v>
      </c>
      <c r="G2423" s="3" t="s">
        <v>52</v>
      </c>
      <c r="H2423" s="2" t="s">
        <v>62</v>
      </c>
      <c r="I2423" s="2" t="s">
        <v>5646</v>
      </c>
      <c r="J2423" s="3" t="str">
        <f>HYPERLINK("https://www.boe.es/gazeta/dias/1814/11/22/pdfs/GMD-1814-155.pdf#page=8","Abrir facsímil")</f>
        <v>Abrir facsímil</v>
      </c>
      <c r="K2423" s="3" t="s">
        <v>64</v>
      </c>
    </row>
    <row r="2424" spans="1:11" ht="42" customHeight="1">
      <c r="A2424" s="2" t="s">
        <v>5647</v>
      </c>
      <c r="B2424" s="2" t="s">
        <v>5647</v>
      </c>
      <c r="C2424" s="2" t="s">
        <v>38</v>
      </c>
      <c r="D2424" s="2" t="s">
        <v>39</v>
      </c>
      <c r="E2424" s="5">
        <v>-31084</v>
      </c>
      <c r="F2424" s="3" t="s">
        <v>282</v>
      </c>
      <c r="G2424" s="3" t="s">
        <v>3050</v>
      </c>
      <c r="H2424" s="2" t="s">
        <v>62</v>
      </c>
      <c r="I2424" s="2" t="s">
        <v>5648</v>
      </c>
      <c r="J2424" s="3" t="str">
        <f>HYPERLINK("https://www.boe.es/gazeta/dias/1814/11/22/pdfs/GMD-1814-155.pdf#page=4","Abrir facsímil")</f>
        <v>Abrir facsímil</v>
      </c>
      <c r="K2424" s="3" t="s">
        <v>64</v>
      </c>
    </row>
    <row r="2425" spans="1:11" ht="42" customHeight="1">
      <c r="A2425" s="2" t="s">
        <v>5649</v>
      </c>
      <c r="B2425" s="2" t="s">
        <v>5650</v>
      </c>
      <c r="C2425" s="2" t="s">
        <v>45</v>
      </c>
      <c r="D2425" s="2" t="s">
        <v>18</v>
      </c>
      <c r="E2425" s="5">
        <v>-31094</v>
      </c>
      <c r="F2425" s="3" t="s">
        <v>761</v>
      </c>
      <c r="G2425" s="3" t="s">
        <v>52</v>
      </c>
      <c r="H2425" s="2" t="s">
        <v>62</v>
      </c>
      <c r="I2425" s="2" t="s">
        <v>5651</v>
      </c>
      <c r="J2425" s="3" t="str">
        <f>HYPERLINK("https://www.boe.es/gazeta/dias/1814/11/12/pdfs/GMD-1814-151.pdf#page=8","Abrir facsímil")</f>
        <v>Abrir facsímil</v>
      </c>
      <c r="K2425" s="3" t="s">
        <v>64</v>
      </c>
    </row>
    <row r="2426" spans="1:11" ht="42" customHeight="1">
      <c r="A2426" s="2" t="s">
        <v>5649</v>
      </c>
      <c r="B2426" s="2" t="s">
        <v>5650</v>
      </c>
      <c r="C2426" s="2" t="s">
        <v>17</v>
      </c>
      <c r="D2426" s="2" t="s">
        <v>18</v>
      </c>
      <c r="E2426" s="5">
        <v>-31049</v>
      </c>
      <c r="F2426" s="3" t="s">
        <v>542</v>
      </c>
      <c r="G2426" s="3" t="s">
        <v>20</v>
      </c>
      <c r="H2426" s="2" t="s">
        <v>62</v>
      </c>
      <c r="I2426" s="2" t="s">
        <v>5652</v>
      </c>
      <c r="J2426" s="3" t="str">
        <f>HYPERLINK("https://www.boe.es/gazeta/dias/1814/12/27/pdfs/GMD-1814-171.pdf#page=7","Abrir facsímil")</f>
        <v>Abrir facsímil</v>
      </c>
      <c r="K2426" s="3" t="s">
        <v>64</v>
      </c>
    </row>
    <row r="2427" spans="1:11" ht="42" customHeight="1">
      <c r="A2427" s="2" t="s">
        <v>5653</v>
      </c>
      <c r="B2427" s="2" t="s">
        <v>5654</v>
      </c>
      <c r="C2427" s="2" t="s">
        <v>26</v>
      </c>
      <c r="D2427" s="2" t="s">
        <v>27</v>
      </c>
      <c r="E2427" s="5">
        <v>-31059</v>
      </c>
      <c r="F2427" s="3" t="s">
        <v>263</v>
      </c>
      <c r="G2427" s="3" t="s">
        <v>57</v>
      </c>
      <c r="H2427" s="2" t="s">
        <v>62</v>
      </c>
      <c r="I2427" s="2" t="s">
        <v>5655</v>
      </c>
      <c r="J2427" s="3" t="str">
        <f>HYPERLINK("https://www.boe.es/gazeta/dias/1814/12/17/pdfs/GMD-1814-167.pdf#page=6","Abrir facsímil")</f>
        <v>Abrir facsímil</v>
      </c>
      <c r="K2427" s="3" t="s">
        <v>64</v>
      </c>
    </row>
    <row r="2428" spans="1:11" ht="42" customHeight="1">
      <c r="A2428" s="2" t="s">
        <v>5656</v>
      </c>
      <c r="B2428" s="2" t="s">
        <v>5656</v>
      </c>
      <c r="C2428" s="2" t="s">
        <v>38</v>
      </c>
      <c r="D2428" s="2" t="s">
        <v>39</v>
      </c>
      <c r="E2428" s="5">
        <v>-31350</v>
      </c>
      <c r="F2428" s="3" t="s">
        <v>377</v>
      </c>
      <c r="G2428" s="3" t="s">
        <v>87</v>
      </c>
      <c r="H2428" s="2" t="s">
        <v>62</v>
      </c>
      <c r="I2428" s="2" t="s">
        <v>5657</v>
      </c>
      <c r="J2428" s="3" t="str">
        <f>HYPERLINK("https://www.boe.es/gazeta/dias/1814/03/01/pdfs/GRE-1814-28.pdf#page=2","Abrir facsímil")</f>
        <v>Abrir facsímil</v>
      </c>
      <c r="K2428" s="3" t="s">
        <v>64</v>
      </c>
    </row>
    <row r="2429" spans="1:11" ht="42" customHeight="1">
      <c r="A2429" s="2" t="s">
        <v>5658</v>
      </c>
      <c r="B2429" s="2" t="s">
        <v>5658</v>
      </c>
      <c r="C2429" s="2" t="s">
        <v>38</v>
      </c>
      <c r="D2429" s="2" t="s">
        <v>39</v>
      </c>
      <c r="E2429" s="5">
        <v>-31192</v>
      </c>
      <c r="F2429" s="3" t="s">
        <v>388</v>
      </c>
      <c r="G2429" s="3" t="s">
        <v>20</v>
      </c>
      <c r="H2429" s="2" t="s">
        <v>62</v>
      </c>
      <c r="I2429" s="2" t="s">
        <v>5659</v>
      </c>
      <c r="J2429" s="3" t="str">
        <f>HYPERLINK("https://www.boe.es/gazeta/dias/1814/08/06/pdfs/GMD-1814-108.pdf#page=7","Abrir facsímil")</f>
        <v>Abrir facsímil</v>
      </c>
      <c r="K2429" s="3" t="s">
        <v>64</v>
      </c>
    </row>
    <row r="2430" spans="1:11" ht="42" customHeight="1">
      <c r="A2430" s="2" t="s">
        <v>5660</v>
      </c>
      <c r="B2430" s="2" t="s">
        <v>5660</v>
      </c>
      <c r="C2430" s="2" t="s">
        <v>38</v>
      </c>
      <c r="D2430" s="2" t="s">
        <v>39</v>
      </c>
      <c r="E2430" s="5">
        <v>-31259</v>
      </c>
      <c r="F2430" s="3" t="s">
        <v>853</v>
      </c>
      <c r="G2430" s="3" t="s">
        <v>107</v>
      </c>
      <c r="H2430" s="2" t="s">
        <v>62</v>
      </c>
      <c r="I2430" s="2" t="s">
        <v>5661</v>
      </c>
      <c r="J2430" s="3" t="str">
        <f>HYPERLINK("https://www.boe.es/gazeta/dias/1814/05/31/pdfs/GMD-1814-79.pdf#page=1","Abrir facsímil")</f>
        <v>Abrir facsímil</v>
      </c>
      <c r="K2430" s="3" t="s">
        <v>64</v>
      </c>
    </row>
    <row r="2431" spans="1:11" ht="42" customHeight="1">
      <c r="A2431" s="2" t="s">
        <v>5662</v>
      </c>
      <c r="B2431" s="2" t="s">
        <v>5662</v>
      </c>
      <c r="C2431" s="2" t="s">
        <v>105</v>
      </c>
      <c r="D2431" s="2" t="s">
        <v>18</v>
      </c>
      <c r="E2431" s="5">
        <v>-31075</v>
      </c>
      <c r="F2431" s="3" t="s">
        <v>537</v>
      </c>
      <c r="G2431" s="3" t="s">
        <v>82</v>
      </c>
      <c r="H2431" s="2" t="s">
        <v>62</v>
      </c>
      <c r="I2431" s="2" t="s">
        <v>5663</v>
      </c>
      <c r="J2431" s="3" t="str">
        <f>HYPERLINK("https://www.boe.es/gazeta/dias/1814/12/01/pdfs/GMD-1814-159.pdf#page=3","Abrir facsímil")</f>
        <v>Abrir facsímil</v>
      </c>
      <c r="K2431" s="3" t="s">
        <v>64</v>
      </c>
    </row>
    <row r="2432" spans="1:11" ht="42" customHeight="1">
      <c r="A2432" s="2" t="s">
        <v>5664</v>
      </c>
      <c r="B2432" s="2" t="s">
        <v>5664</v>
      </c>
      <c r="C2432" s="2" t="s">
        <v>38</v>
      </c>
      <c r="D2432" s="2" t="s">
        <v>39</v>
      </c>
      <c r="E2432" s="5">
        <v>-31404</v>
      </c>
      <c r="F2432" s="3" t="s">
        <v>630</v>
      </c>
      <c r="G2432" s="3" t="s">
        <v>99</v>
      </c>
      <c r="H2432" s="2" t="s">
        <v>62</v>
      </c>
      <c r="I2432" s="2" t="s">
        <v>5665</v>
      </c>
      <c r="J2432" s="3" t="str">
        <f>HYPERLINK("https://www.boe.es/gazeta/dias/1814/01/06/pdfs/GRE-1814-3.pdf#page=5","Abrir facsímil")</f>
        <v>Abrir facsímil</v>
      </c>
      <c r="K2432" s="3" t="s">
        <v>64</v>
      </c>
    </row>
    <row r="2433" spans="1:11" ht="42" customHeight="1">
      <c r="A2433" s="2" t="s">
        <v>5666</v>
      </c>
      <c r="B2433" s="2" t="s">
        <v>5666</v>
      </c>
      <c r="C2433" s="2" t="s">
        <v>105</v>
      </c>
      <c r="D2433" s="2" t="s">
        <v>18</v>
      </c>
      <c r="E2433" s="5">
        <v>-31264</v>
      </c>
      <c r="F2433" s="3" t="s">
        <v>396</v>
      </c>
      <c r="G2433" s="3" t="s">
        <v>41</v>
      </c>
      <c r="H2433" s="2" t="s">
        <v>62</v>
      </c>
      <c r="I2433" s="2" t="s">
        <v>5667</v>
      </c>
      <c r="J2433" s="3" t="str">
        <f>HYPERLINK("https://www.boe.es/gazeta/dias/1814/05/26/pdfs/GMD-1814-77.pdf#page=4","Abrir facsímil")</f>
        <v>Abrir facsímil</v>
      </c>
      <c r="K2433" s="3" t="s">
        <v>64</v>
      </c>
    </row>
    <row r="2434" spans="1:11" ht="42" customHeight="1">
      <c r="A2434" s="2" t="s">
        <v>5666</v>
      </c>
      <c r="B2434" s="2" t="s">
        <v>5666</v>
      </c>
      <c r="C2434" s="2" t="s">
        <v>105</v>
      </c>
      <c r="D2434" s="2" t="s">
        <v>18</v>
      </c>
      <c r="E2434" s="5">
        <v>-31075</v>
      </c>
      <c r="F2434" s="3" t="s">
        <v>537</v>
      </c>
      <c r="G2434" s="3" t="s">
        <v>82</v>
      </c>
      <c r="H2434" s="2" t="s">
        <v>62</v>
      </c>
      <c r="I2434" s="2" t="s">
        <v>5668</v>
      </c>
      <c r="J2434" s="3" t="str">
        <f>HYPERLINK("https://www.boe.es/gazeta/dias/1814/12/01/pdfs/GMD-1814-159.pdf#page=3","Abrir facsímil")</f>
        <v>Abrir facsímil</v>
      </c>
      <c r="K2434" s="3" t="s">
        <v>64</v>
      </c>
    </row>
    <row r="2435" spans="1:11" ht="42" customHeight="1">
      <c r="A2435" s="2" t="s">
        <v>5669</v>
      </c>
      <c r="B2435" s="2" t="s">
        <v>5670</v>
      </c>
      <c r="C2435" s="2" t="s">
        <v>17</v>
      </c>
      <c r="D2435" s="2" t="s">
        <v>18</v>
      </c>
      <c r="E2435" s="5">
        <v>-31077</v>
      </c>
      <c r="F2435" s="3" t="s">
        <v>414</v>
      </c>
      <c r="G2435" s="3" t="s">
        <v>57</v>
      </c>
      <c r="H2435" s="2" t="s">
        <v>21</v>
      </c>
      <c r="I2435" s="2" t="s">
        <v>5671</v>
      </c>
      <c r="J2435" s="3" t="str">
        <f>HYPERLINK("https://www.boe.es/gazeta/dias/1814/11/29/pdfs/GMD-1814-158.pdf#page=6","Abrir facsímil")</f>
        <v>Abrir facsímil</v>
      </c>
      <c r="K2435" s="3" t="s">
        <v>23</v>
      </c>
    </row>
    <row r="2436" spans="1:11" ht="42" customHeight="1">
      <c r="A2436" s="2" t="s">
        <v>5672</v>
      </c>
      <c r="B2436" s="2" t="s">
        <v>5673</v>
      </c>
      <c r="C2436" s="2" t="s">
        <v>17</v>
      </c>
      <c r="D2436" s="2" t="s">
        <v>18</v>
      </c>
      <c r="E2436" s="5">
        <v>-31217</v>
      </c>
      <c r="F2436" s="3" t="s">
        <v>506</v>
      </c>
      <c r="G2436" s="3" t="s">
        <v>322</v>
      </c>
      <c r="H2436" s="2" t="s">
        <v>62</v>
      </c>
      <c r="I2436" s="2" t="s">
        <v>5674</v>
      </c>
      <c r="J2436" s="3" t="str">
        <f>HYPERLINK("https://www.boe.es/gazeta/dias/1814/07/12/pdfs/GMD-1814-97.pdf#page=12","Abrir facsímil")</f>
        <v>Abrir facsímil</v>
      </c>
      <c r="K2436" s="3" t="s">
        <v>64</v>
      </c>
    </row>
    <row r="2437" spans="1:11" ht="42" customHeight="1">
      <c r="A2437" s="2" t="s">
        <v>5675</v>
      </c>
      <c r="B2437" s="2" t="s">
        <v>5676</v>
      </c>
      <c r="C2437" s="2" t="s">
        <v>32</v>
      </c>
      <c r="D2437" s="2" t="s">
        <v>18</v>
      </c>
      <c r="E2437" s="5">
        <v>-31315</v>
      </c>
      <c r="F2437" s="3" t="s">
        <v>645</v>
      </c>
      <c r="G2437" s="3" t="s">
        <v>52</v>
      </c>
      <c r="H2437" s="2" t="s">
        <v>62</v>
      </c>
      <c r="I2437" s="2" t="s">
        <v>5677</v>
      </c>
      <c r="J2437" s="3" t="str">
        <f>HYPERLINK("https://www.boe.es/gazeta/dias/1814/04/05/pdfs/GRE-1814-49.pdf#page=8","Abrir facsímil")</f>
        <v>Abrir facsímil</v>
      </c>
      <c r="K2437" s="3" t="s">
        <v>64</v>
      </c>
    </row>
    <row r="2438" spans="1:11" ht="42" customHeight="1">
      <c r="A2438" s="2" t="s">
        <v>5675</v>
      </c>
      <c r="B2438" s="2" t="s">
        <v>5676</v>
      </c>
      <c r="C2438" s="2" t="s">
        <v>32</v>
      </c>
      <c r="D2438" s="2" t="s">
        <v>18</v>
      </c>
      <c r="E2438" s="5">
        <v>-31276</v>
      </c>
      <c r="F2438" s="3" t="s">
        <v>494</v>
      </c>
      <c r="G2438" s="3" t="s">
        <v>52</v>
      </c>
      <c r="H2438" s="2" t="s">
        <v>62</v>
      </c>
      <c r="I2438" s="2" t="s">
        <v>5678</v>
      </c>
      <c r="J2438" s="3" t="str">
        <f>HYPERLINK("https://www.boe.es/gazeta/dias/1814/05/14/pdfs/GMD-1814-71.pdf#page=8","Abrir facsímil")</f>
        <v>Abrir facsímil</v>
      </c>
      <c r="K2438" s="3" t="s">
        <v>64</v>
      </c>
    </row>
    <row r="2439" spans="1:11" ht="42" customHeight="1">
      <c r="A2439" s="2" t="s">
        <v>5675</v>
      </c>
      <c r="B2439" s="2" t="s">
        <v>5676</v>
      </c>
      <c r="C2439" s="2" t="s">
        <v>32</v>
      </c>
      <c r="D2439" s="2" t="s">
        <v>18</v>
      </c>
      <c r="E2439" s="5">
        <v>-31248</v>
      </c>
      <c r="F2439" s="3" t="s">
        <v>1123</v>
      </c>
      <c r="G2439" s="3" t="s">
        <v>5679</v>
      </c>
      <c r="H2439" s="2" t="s">
        <v>62</v>
      </c>
      <c r="I2439" s="2" t="s">
        <v>5680</v>
      </c>
      <c r="J2439" s="3" t="str">
        <f>HYPERLINK("https://www.boe.es/gazeta/dias/1814/06/11/pdfs/GMD-1814-84.pdf#page=8","Abrir facsímil")</f>
        <v>Abrir facsímil</v>
      </c>
      <c r="K2439" s="3" t="s">
        <v>64</v>
      </c>
    </row>
    <row r="2440" spans="1:11" ht="42" customHeight="1">
      <c r="A2440" s="2" t="s">
        <v>5675</v>
      </c>
      <c r="B2440" s="2" t="s">
        <v>5676</v>
      </c>
      <c r="C2440" s="2" t="s">
        <v>32</v>
      </c>
      <c r="D2440" s="2" t="s">
        <v>18</v>
      </c>
      <c r="E2440" s="5">
        <v>-31234</v>
      </c>
      <c r="F2440" s="3" t="s">
        <v>462</v>
      </c>
      <c r="G2440" s="3" t="s">
        <v>2864</v>
      </c>
      <c r="H2440" s="2" t="s">
        <v>62</v>
      </c>
      <c r="I2440" s="2" t="s">
        <v>5681</v>
      </c>
      <c r="J2440" s="3" t="str">
        <f>HYPERLINK("https://www.boe.es/gazeta/dias/1814/06/25/pdfs/GMD-1814-90.pdf#page=12","Abrir facsímil")</f>
        <v>Abrir facsímil</v>
      </c>
      <c r="K2440" s="3" t="s">
        <v>64</v>
      </c>
    </row>
    <row r="2441" spans="1:11" ht="42" customHeight="1">
      <c r="A2441" s="2" t="s">
        <v>5675</v>
      </c>
      <c r="B2441" s="2" t="s">
        <v>5676</v>
      </c>
      <c r="C2441" s="2" t="s">
        <v>26</v>
      </c>
      <c r="D2441" s="2" t="s">
        <v>27</v>
      </c>
      <c r="E2441" s="5">
        <v>-31196</v>
      </c>
      <c r="F2441" s="3" t="s">
        <v>828</v>
      </c>
      <c r="G2441" s="3" t="s">
        <v>52</v>
      </c>
      <c r="H2441" s="2" t="s">
        <v>62</v>
      </c>
      <c r="I2441" s="2" t="s">
        <v>5682</v>
      </c>
      <c r="J2441" s="3" t="str">
        <f>HYPERLINK("https://www.boe.es/gazeta/dias/1814/08/02/pdfs/GMD-1814-106.pdf#page=8","Abrir facsímil")</f>
        <v>Abrir facsímil</v>
      </c>
      <c r="K2441" s="3" t="s">
        <v>64</v>
      </c>
    </row>
    <row r="2442" spans="1:11" ht="42" customHeight="1">
      <c r="A2442" s="2" t="s">
        <v>5675</v>
      </c>
      <c r="B2442" s="2" t="s">
        <v>5676</v>
      </c>
      <c r="C2442" s="2" t="s">
        <v>17</v>
      </c>
      <c r="D2442" s="2" t="s">
        <v>18</v>
      </c>
      <c r="E2442" s="5">
        <v>-31143</v>
      </c>
      <c r="F2442" s="3" t="s">
        <v>787</v>
      </c>
      <c r="G2442" s="3" t="s">
        <v>52</v>
      </c>
      <c r="H2442" s="2" t="s">
        <v>62</v>
      </c>
      <c r="I2442" s="2" t="s">
        <v>5683</v>
      </c>
      <c r="J2442" s="3" t="str">
        <f>HYPERLINK("https://www.boe.es/gazeta/dias/1814/09/24/pdfs/GMD-1814-130.pdf#page=8","Abrir facsímil")</f>
        <v>Abrir facsímil</v>
      </c>
      <c r="K2442" s="3" t="s">
        <v>64</v>
      </c>
    </row>
    <row r="2443" spans="1:11" ht="42" customHeight="1">
      <c r="A2443" s="2" t="s">
        <v>5684</v>
      </c>
      <c r="B2443" s="2" t="s">
        <v>5685</v>
      </c>
      <c r="C2443" s="2" t="s">
        <v>309</v>
      </c>
      <c r="D2443" s="2" t="s">
        <v>18</v>
      </c>
      <c r="E2443" s="5">
        <v>-31231</v>
      </c>
      <c r="F2443" s="3" t="s">
        <v>861</v>
      </c>
      <c r="G2443" s="3" t="s">
        <v>52</v>
      </c>
      <c r="H2443" s="2" t="s">
        <v>62</v>
      </c>
      <c r="I2443" s="2" t="s">
        <v>5686</v>
      </c>
      <c r="J2443" s="3" t="str">
        <f>HYPERLINK("https://www.boe.es/gazeta/dias/1814/06/28/pdfs/GMD-1814-91.pdf#page=8","Abrir facsímil")</f>
        <v>Abrir facsímil</v>
      </c>
      <c r="K2443" s="3" t="s">
        <v>64</v>
      </c>
    </row>
    <row r="2444" spans="1:11" ht="42" customHeight="1">
      <c r="A2444" s="2" t="s">
        <v>5687</v>
      </c>
      <c r="B2444" s="2" t="s">
        <v>5687</v>
      </c>
      <c r="C2444" s="2" t="s">
        <v>38</v>
      </c>
      <c r="D2444" s="2" t="s">
        <v>39</v>
      </c>
      <c r="E2444" s="5">
        <v>-31353</v>
      </c>
      <c r="F2444" s="3" t="s">
        <v>247</v>
      </c>
      <c r="G2444" s="3" t="s">
        <v>2040</v>
      </c>
      <c r="H2444" s="2" t="s">
        <v>62</v>
      </c>
      <c r="I2444" s="2" t="s">
        <v>5688</v>
      </c>
      <c r="J2444" s="3" t="str">
        <f>HYPERLINK("https://www.boe.es/gazeta/dias/1814/02/26/pdfs/GRE-1814-27.pdf#page=2","Abrir facsímil")</f>
        <v>Abrir facsímil</v>
      </c>
      <c r="K2444" s="3" t="s">
        <v>64</v>
      </c>
    </row>
    <row r="2445" spans="1:11" ht="42" customHeight="1">
      <c r="A2445" s="2" t="s">
        <v>5687</v>
      </c>
      <c r="B2445" s="2" t="s">
        <v>5687</v>
      </c>
      <c r="C2445" s="2" t="s">
        <v>38</v>
      </c>
      <c r="D2445" s="2" t="s">
        <v>39</v>
      </c>
      <c r="E2445" s="5">
        <v>-31318</v>
      </c>
      <c r="F2445" s="3" t="s">
        <v>400</v>
      </c>
      <c r="G2445" s="3" t="s">
        <v>82</v>
      </c>
      <c r="H2445" s="2" t="s">
        <v>62</v>
      </c>
      <c r="I2445" s="2" t="s">
        <v>5689</v>
      </c>
      <c r="J2445" s="3" t="str">
        <f>HYPERLINK("https://www.boe.es/gazeta/dias/1814/04/02/pdfs/GRE-1814-47.pdf#page=3","Abrir facsímil")</f>
        <v>Abrir facsímil</v>
      </c>
      <c r="K2445" s="3" t="s">
        <v>64</v>
      </c>
    </row>
    <row r="2446" spans="1:11" ht="42" customHeight="1">
      <c r="A2446" s="2" t="s">
        <v>5690</v>
      </c>
      <c r="B2446" s="2" t="s">
        <v>5690</v>
      </c>
      <c r="C2446" s="2" t="s">
        <v>38</v>
      </c>
      <c r="D2446" s="2" t="s">
        <v>39</v>
      </c>
      <c r="E2446" s="5">
        <v>-31087</v>
      </c>
      <c r="F2446" s="3" t="s">
        <v>118</v>
      </c>
      <c r="G2446" s="3" t="s">
        <v>87</v>
      </c>
      <c r="H2446" s="2" t="s">
        <v>62</v>
      </c>
      <c r="I2446" s="2" t="s">
        <v>5691</v>
      </c>
      <c r="J2446" s="3" t="str">
        <f>HYPERLINK("https://www.boe.es/gazeta/dias/1814/11/19/pdfs/GMD-1814-154.pdf#page=2","Abrir facsímil")</f>
        <v>Abrir facsímil</v>
      </c>
      <c r="K2446" s="3" t="s">
        <v>64</v>
      </c>
    </row>
    <row r="2447" spans="1:11" ht="42" customHeight="1">
      <c r="A2447" s="2" t="s">
        <v>5692</v>
      </c>
      <c r="B2447" s="2" t="s">
        <v>5693</v>
      </c>
      <c r="C2447" s="2" t="s">
        <v>32</v>
      </c>
      <c r="D2447" s="2" t="s">
        <v>18</v>
      </c>
      <c r="E2447" s="5">
        <v>-31208</v>
      </c>
      <c r="F2447" s="3" t="s">
        <v>509</v>
      </c>
      <c r="G2447" s="3" t="s">
        <v>3455</v>
      </c>
      <c r="H2447" s="2" t="s">
        <v>62</v>
      </c>
      <c r="I2447" s="2" t="s">
        <v>5694</v>
      </c>
      <c r="J2447" s="3" t="str">
        <f>HYPERLINK("https://www.boe.es/gazeta/dias/1814/07/21/pdfs/GMD-1814-101.pdf#page=8","Abrir facsímil")</f>
        <v>Abrir facsímil</v>
      </c>
      <c r="K2447" s="3" t="s">
        <v>64</v>
      </c>
    </row>
    <row r="2448" spans="1:11" ht="42" customHeight="1">
      <c r="A2448" s="2" t="s">
        <v>5695</v>
      </c>
      <c r="B2448" s="2" t="s">
        <v>5696</v>
      </c>
      <c r="C2448" s="2" t="s">
        <v>26</v>
      </c>
      <c r="D2448" s="2" t="s">
        <v>27</v>
      </c>
      <c r="E2448" s="5">
        <v>-31189</v>
      </c>
      <c r="F2448" s="3" t="s">
        <v>379</v>
      </c>
      <c r="G2448" s="3" t="s">
        <v>20</v>
      </c>
      <c r="H2448" s="2" t="s">
        <v>21</v>
      </c>
      <c r="I2448" s="2" t="s">
        <v>5697</v>
      </c>
      <c r="J2448" s="3" t="str">
        <f>HYPERLINK("https://www.boe.es/gazeta/dias/1814/08/09/pdfs/GMD-1814-109.pdf#page=7","Abrir facsímil")</f>
        <v>Abrir facsímil</v>
      </c>
      <c r="K2448" s="3" t="s">
        <v>23</v>
      </c>
    </row>
    <row r="2449" spans="1:11" ht="42" customHeight="1">
      <c r="A2449" s="2" t="s">
        <v>5698</v>
      </c>
      <c r="B2449" s="2" t="s">
        <v>5699</v>
      </c>
      <c r="C2449" s="2" t="s">
        <v>38</v>
      </c>
      <c r="D2449" s="2" t="s">
        <v>39</v>
      </c>
      <c r="E2449" s="5">
        <v>-31252</v>
      </c>
      <c r="F2449" s="3" t="s">
        <v>364</v>
      </c>
      <c r="G2449" s="3" t="s">
        <v>2569</v>
      </c>
      <c r="H2449" s="2" t="s">
        <v>62</v>
      </c>
      <c r="I2449" s="2" t="s">
        <v>5700</v>
      </c>
      <c r="J2449" s="3" t="str">
        <f>HYPERLINK("https://www.boe.es/gazeta/dias/1814/06/07/pdfs/GMD-1814-82.pdf#page=4","Abrir facsímil")</f>
        <v>Abrir facsímil</v>
      </c>
      <c r="K2449" s="3" t="s">
        <v>64</v>
      </c>
    </row>
    <row r="2450" spans="1:11" ht="42" customHeight="1">
      <c r="A2450" s="2" t="s">
        <v>5698</v>
      </c>
      <c r="B2450" s="2" t="s">
        <v>5699</v>
      </c>
      <c r="C2450" s="2" t="s">
        <v>38</v>
      </c>
      <c r="D2450" s="2" t="s">
        <v>39</v>
      </c>
      <c r="E2450" s="5">
        <v>-31252</v>
      </c>
      <c r="F2450" s="3" t="s">
        <v>364</v>
      </c>
      <c r="G2450" s="3" t="s">
        <v>99</v>
      </c>
      <c r="H2450" s="2" t="s">
        <v>62</v>
      </c>
      <c r="I2450" s="2" t="s">
        <v>5701</v>
      </c>
      <c r="J2450" s="3" t="str">
        <f>HYPERLINK("https://www.boe.es/gazeta/dias/1814/06/07/pdfs/GMD-1814-82.pdf#page=5","Abrir facsímil")</f>
        <v>Abrir facsímil</v>
      </c>
      <c r="K2450" s="3" t="s">
        <v>64</v>
      </c>
    </row>
    <row r="2451" spans="1:11" ht="42" customHeight="1">
      <c r="A2451" s="2" t="s">
        <v>5702</v>
      </c>
      <c r="B2451" s="2" t="s">
        <v>5703</v>
      </c>
      <c r="C2451" s="2" t="s">
        <v>45</v>
      </c>
      <c r="D2451" s="2" t="s">
        <v>18</v>
      </c>
      <c r="E2451" s="5">
        <v>-31189</v>
      </c>
      <c r="F2451" s="3" t="s">
        <v>379</v>
      </c>
      <c r="G2451" s="3" t="s">
        <v>52</v>
      </c>
      <c r="H2451" s="2" t="s">
        <v>62</v>
      </c>
      <c r="I2451" s="2" t="s">
        <v>5704</v>
      </c>
      <c r="J2451" s="3" t="str">
        <f>HYPERLINK("https://www.boe.es/gazeta/dias/1814/08/09/pdfs/GMD-1814-109.pdf#page=8","Abrir facsímil")</f>
        <v>Abrir facsímil</v>
      </c>
      <c r="K2451" s="3" t="s">
        <v>64</v>
      </c>
    </row>
    <row r="2452" spans="1:11" ht="42" customHeight="1">
      <c r="A2452" s="2" t="s">
        <v>5705</v>
      </c>
      <c r="B2452" s="2" t="s">
        <v>5706</v>
      </c>
      <c r="C2452" s="2" t="s">
        <v>144</v>
      </c>
      <c r="D2452" s="2" t="s">
        <v>18</v>
      </c>
      <c r="E2452" s="5">
        <v>-31059</v>
      </c>
      <c r="F2452" s="3" t="s">
        <v>263</v>
      </c>
      <c r="G2452" s="3" t="s">
        <v>297</v>
      </c>
      <c r="H2452" s="2" t="s">
        <v>62</v>
      </c>
      <c r="I2452" s="2" t="s">
        <v>5707</v>
      </c>
      <c r="J2452" s="3" t="str">
        <f>HYPERLINK("https://www.boe.es/gazeta/dias/1814/12/17/pdfs/GMD-1814-167.pdf#page=8","Abrir facsímil")</f>
        <v>Abrir facsímil</v>
      </c>
      <c r="K2452" s="3" t="s">
        <v>64</v>
      </c>
    </row>
    <row r="2453" spans="1:11" ht="42" customHeight="1">
      <c r="A2453" s="2" t="s">
        <v>5708</v>
      </c>
      <c r="B2453" s="2" t="s">
        <v>5709</v>
      </c>
      <c r="C2453" s="2" t="s">
        <v>45</v>
      </c>
      <c r="D2453" s="2" t="s">
        <v>18</v>
      </c>
      <c r="E2453" s="5">
        <v>-31182</v>
      </c>
      <c r="F2453" s="3" t="s">
        <v>19</v>
      </c>
      <c r="G2453" s="3" t="s">
        <v>3827</v>
      </c>
      <c r="H2453" s="2" t="s">
        <v>62</v>
      </c>
      <c r="I2453" s="2" t="s">
        <v>5710</v>
      </c>
      <c r="J2453" s="3" t="str">
        <f>HYPERLINK("https://www.boe.es/gazeta/dias/1814/08/16/pdfs/GMD-1814-112.pdf#page=8","Abrir facsímil")</f>
        <v>Abrir facsímil</v>
      </c>
      <c r="K2453" s="3" t="s">
        <v>64</v>
      </c>
    </row>
    <row r="2454" spans="1:11" ht="42" customHeight="1">
      <c r="A2454" s="2" t="s">
        <v>5711</v>
      </c>
      <c r="B2454" s="2" t="s">
        <v>5712</v>
      </c>
      <c r="C2454" s="2" t="s">
        <v>105</v>
      </c>
      <c r="D2454" s="2" t="s">
        <v>18</v>
      </c>
      <c r="E2454" s="5">
        <v>-31082</v>
      </c>
      <c r="F2454" s="3" t="s">
        <v>535</v>
      </c>
      <c r="G2454" s="3" t="s">
        <v>52</v>
      </c>
      <c r="H2454" s="2" t="s">
        <v>62</v>
      </c>
      <c r="I2454" s="2" t="s">
        <v>5713</v>
      </c>
      <c r="J2454" s="3" t="str">
        <f>HYPERLINK("https://www.boe.es/gazeta/dias/1814/11/24/pdfs/GMD-1814-156.pdf#page=8","Abrir facsímil")</f>
        <v>Abrir facsímil</v>
      </c>
      <c r="K2454" s="3" t="s">
        <v>64</v>
      </c>
    </row>
    <row r="2455" spans="1:11" ht="42" customHeight="1">
      <c r="A2455" s="2" t="s">
        <v>5714</v>
      </c>
      <c r="B2455" s="2" t="s">
        <v>5715</v>
      </c>
      <c r="C2455" s="2" t="s">
        <v>45</v>
      </c>
      <c r="D2455" s="2" t="s">
        <v>18</v>
      </c>
      <c r="E2455" s="5">
        <v>-31131</v>
      </c>
      <c r="F2455" s="3" t="s">
        <v>132</v>
      </c>
      <c r="G2455" s="3" t="s">
        <v>4347</v>
      </c>
      <c r="H2455" s="2" t="s">
        <v>62</v>
      </c>
      <c r="I2455" s="2" t="s">
        <v>5716</v>
      </c>
      <c r="J2455" s="3" t="str">
        <f>HYPERLINK("https://www.boe.es/gazeta/dias/1814/10/06/pdfs/GMD-1814-135.pdf#page=8","Abrir facsímil")</f>
        <v>Abrir facsímil</v>
      </c>
      <c r="K2455" s="3" t="s">
        <v>64</v>
      </c>
    </row>
    <row r="2456" spans="1:11" ht="42" customHeight="1">
      <c r="A2456" s="2" t="s">
        <v>5717</v>
      </c>
      <c r="B2456" s="2" t="s">
        <v>5718</v>
      </c>
      <c r="C2456" s="2" t="s">
        <v>144</v>
      </c>
      <c r="D2456" s="2" t="s">
        <v>18</v>
      </c>
      <c r="E2456" s="5">
        <v>-31119</v>
      </c>
      <c r="F2456" s="3" t="s">
        <v>136</v>
      </c>
      <c r="G2456" s="3" t="s">
        <v>87</v>
      </c>
      <c r="H2456" s="2" t="s">
        <v>62</v>
      </c>
      <c r="I2456" s="2" t="s">
        <v>5719</v>
      </c>
      <c r="J2456" s="3" t="str">
        <f>HYPERLINK("https://www.boe.es/gazeta/dias/1814/10/18/pdfs/GMD-1814-140.pdf#page=2","Abrir facsímil")</f>
        <v>Abrir facsímil</v>
      </c>
      <c r="K2456" s="3" t="s">
        <v>64</v>
      </c>
    </row>
    <row r="2457" spans="1:11" ht="42" customHeight="1">
      <c r="A2457" s="2" t="s">
        <v>5717</v>
      </c>
      <c r="B2457" s="2" t="s">
        <v>5718</v>
      </c>
      <c r="C2457" s="2" t="s">
        <v>38</v>
      </c>
      <c r="D2457" s="2" t="s">
        <v>39</v>
      </c>
      <c r="E2457" s="5">
        <v>-31087</v>
      </c>
      <c r="F2457" s="3" t="s">
        <v>118</v>
      </c>
      <c r="G2457" s="3" t="s">
        <v>3730</v>
      </c>
      <c r="H2457" s="2" t="s">
        <v>62</v>
      </c>
      <c r="I2457" s="2" t="s">
        <v>5720</v>
      </c>
      <c r="J2457" s="3" t="str">
        <f>HYPERLINK("https://www.boe.es/gazeta/dias/1814/11/19/pdfs/GMD-1814-154.pdf#page=7","Abrir facsímil")</f>
        <v>Abrir facsímil</v>
      </c>
      <c r="K2457" s="3" t="s">
        <v>64</v>
      </c>
    </row>
    <row r="2458" spans="1:11" ht="42" customHeight="1">
      <c r="A2458" s="2" t="s">
        <v>5721</v>
      </c>
      <c r="B2458" s="2" t="s">
        <v>5722</v>
      </c>
      <c r="C2458" s="2" t="s">
        <v>38</v>
      </c>
      <c r="D2458" s="2" t="s">
        <v>39</v>
      </c>
      <c r="E2458" s="5">
        <v>-31329</v>
      </c>
      <c r="F2458" s="3" t="s">
        <v>621</v>
      </c>
      <c r="G2458" s="3" t="s">
        <v>2755</v>
      </c>
      <c r="H2458" s="2" t="s">
        <v>62</v>
      </c>
      <c r="I2458" s="2" t="s">
        <v>5723</v>
      </c>
      <c r="J2458" s="3" t="str">
        <f>HYPERLINK("https://www.boe.es/gazeta/dias/1814/03/22/pdfs/GRE-1814-39.pdf#page=8","Abrir facsímil")</f>
        <v>Abrir facsímil</v>
      </c>
      <c r="K2458" s="3" t="s">
        <v>64</v>
      </c>
    </row>
    <row r="2459" spans="1:11" ht="42" customHeight="1">
      <c r="A2459" s="2" t="s">
        <v>5724</v>
      </c>
      <c r="B2459" s="2" t="s">
        <v>5725</v>
      </c>
      <c r="C2459" s="2" t="s">
        <v>38</v>
      </c>
      <c r="D2459" s="2" t="s">
        <v>39</v>
      </c>
      <c r="E2459" s="5">
        <v>-31271</v>
      </c>
      <c r="F2459" s="3" t="s">
        <v>243</v>
      </c>
      <c r="G2459" s="3" t="s">
        <v>52</v>
      </c>
      <c r="H2459" s="2" t="s">
        <v>62</v>
      </c>
      <c r="I2459" s="2" t="s">
        <v>5726</v>
      </c>
      <c r="J2459" s="3" t="str">
        <f>HYPERLINK("https://www.boe.es/gazeta/dias/1814/05/19/pdfs/GMD-1814-74.pdf#page=8","Abrir facsímil")</f>
        <v>Abrir facsímil</v>
      </c>
      <c r="K2459" s="3" t="s">
        <v>64</v>
      </c>
    </row>
    <row r="2460" spans="1:11" ht="42" customHeight="1">
      <c r="A2460" s="2" t="s">
        <v>5727</v>
      </c>
      <c r="B2460" s="2" t="s">
        <v>5728</v>
      </c>
      <c r="C2460" s="2" t="s">
        <v>38</v>
      </c>
      <c r="D2460" s="2" t="s">
        <v>314</v>
      </c>
      <c r="E2460" s="5">
        <v>-31296</v>
      </c>
      <c r="F2460" s="3" t="s">
        <v>315</v>
      </c>
      <c r="G2460" s="3" t="s">
        <v>20</v>
      </c>
      <c r="H2460" s="2" t="s">
        <v>62</v>
      </c>
      <c r="I2460" s="2" t="s">
        <v>5729</v>
      </c>
      <c r="J2460" s="3" t="str">
        <f>HYPERLINK("https://www.boe.es/gazeta/dias/1814/04/24/pdfs/GRE-1814-60E.pdf#page=7","Abrir facsímil")</f>
        <v>Abrir facsímil</v>
      </c>
      <c r="K2460" s="3" t="s">
        <v>64</v>
      </c>
    </row>
    <row r="2461" spans="1:11" ht="42" customHeight="1">
      <c r="A2461" s="2" t="s">
        <v>5730</v>
      </c>
      <c r="B2461" s="2" t="s">
        <v>5731</v>
      </c>
      <c r="C2461" s="2" t="s">
        <v>38</v>
      </c>
      <c r="D2461" s="2" t="s">
        <v>39</v>
      </c>
      <c r="E2461" s="5">
        <v>-31292</v>
      </c>
      <c r="F2461" s="3" t="s">
        <v>557</v>
      </c>
      <c r="G2461" s="3" t="s">
        <v>20</v>
      </c>
      <c r="H2461" s="2" t="s">
        <v>62</v>
      </c>
      <c r="I2461" s="2" t="s">
        <v>5732</v>
      </c>
      <c r="J2461" s="3" t="str">
        <f>HYPERLINK("https://www.boe.es/gazeta/dias/1814/04/28/pdfs/GRE-1814-63.pdf#page=7","Abrir facsímil")</f>
        <v>Abrir facsímil</v>
      </c>
      <c r="K2461" s="3" t="s">
        <v>64</v>
      </c>
    </row>
    <row r="2462" spans="1:11" ht="42" customHeight="1">
      <c r="A2462" s="2" t="s">
        <v>5733</v>
      </c>
      <c r="B2462" s="2" t="s">
        <v>5734</v>
      </c>
      <c r="C2462" s="2" t="s">
        <v>38</v>
      </c>
      <c r="D2462" s="2" t="s">
        <v>39</v>
      </c>
      <c r="E2462" s="5">
        <v>-31390</v>
      </c>
      <c r="F2462" s="3" t="s">
        <v>349</v>
      </c>
      <c r="G2462" s="3" t="s">
        <v>4295</v>
      </c>
      <c r="H2462" s="2" t="s">
        <v>62</v>
      </c>
      <c r="I2462" s="2" t="s">
        <v>5735</v>
      </c>
      <c r="J2462" s="3" t="str">
        <f>HYPERLINK("https://www.boe.es/gazeta/dias/1814/01/20/pdfs/GRE-1814-10.pdf#page=6","Abrir facsímil")</f>
        <v>Abrir facsímil</v>
      </c>
      <c r="K2462" s="3" t="s">
        <v>64</v>
      </c>
    </row>
    <row r="2463" spans="1:11" ht="42" customHeight="1">
      <c r="A2463" s="2" t="s">
        <v>5736</v>
      </c>
      <c r="B2463" s="2" t="s">
        <v>5737</v>
      </c>
      <c r="C2463" s="2" t="s">
        <v>38</v>
      </c>
      <c r="D2463" s="2" t="s">
        <v>39</v>
      </c>
      <c r="E2463" s="5">
        <v>-31397</v>
      </c>
      <c r="F2463" s="3" t="s">
        <v>929</v>
      </c>
      <c r="G2463" s="3" t="s">
        <v>52</v>
      </c>
      <c r="H2463" s="2" t="s">
        <v>62</v>
      </c>
      <c r="I2463" s="2" t="s">
        <v>5738</v>
      </c>
      <c r="J2463" s="3" t="str">
        <f>HYPERLINK("https://www.boe.es/gazeta/dias/1814/01/13/pdfs/GRE-1814-7.pdf#page=8","Abrir facsímil")</f>
        <v>Abrir facsímil</v>
      </c>
      <c r="K2463" s="3" t="s">
        <v>64</v>
      </c>
    </row>
    <row r="2464" spans="1:11" ht="42" customHeight="1">
      <c r="A2464" s="2" t="s">
        <v>5739</v>
      </c>
      <c r="B2464" s="2" t="s">
        <v>5740</v>
      </c>
      <c r="C2464" s="2" t="s">
        <v>38</v>
      </c>
      <c r="D2464" s="2" t="s">
        <v>39</v>
      </c>
      <c r="E2464" s="5">
        <v>-31304</v>
      </c>
      <c r="F2464" s="3" t="s">
        <v>1964</v>
      </c>
      <c r="G2464" s="3" t="s">
        <v>57</v>
      </c>
      <c r="H2464" s="2" t="s">
        <v>62</v>
      </c>
      <c r="I2464" s="2" t="s">
        <v>5741</v>
      </c>
      <c r="J2464" s="3" t="str">
        <f>HYPERLINK("https://www.boe.es/gazeta/dias/1814/04/16/pdfs/GRE-1814-55.pdf#page=6","Abrir facsímil")</f>
        <v>Abrir facsímil</v>
      </c>
      <c r="K2464" s="3" t="s">
        <v>64</v>
      </c>
    </row>
    <row r="2465" spans="1:11" ht="42" customHeight="1">
      <c r="A2465" s="2" t="s">
        <v>5736</v>
      </c>
      <c r="B2465" s="2" t="s">
        <v>5737</v>
      </c>
      <c r="C2465" s="2" t="s">
        <v>38</v>
      </c>
      <c r="D2465" s="2" t="s">
        <v>39</v>
      </c>
      <c r="E2465" s="5">
        <v>-31285</v>
      </c>
      <c r="F2465" s="3" t="s">
        <v>1141</v>
      </c>
      <c r="G2465" s="3" t="s">
        <v>57</v>
      </c>
      <c r="H2465" s="2" t="s">
        <v>62</v>
      </c>
      <c r="I2465" s="2" t="s">
        <v>5742</v>
      </c>
      <c r="J2465" s="3" t="str">
        <f>HYPERLINK("https://www.boe.es/gazeta/dias/1814/05/05/pdfs/GRE-1814-66.pdf#page=6","Abrir facsímil")</f>
        <v>Abrir facsímil</v>
      </c>
      <c r="K2465" s="3" t="s">
        <v>64</v>
      </c>
    </row>
    <row r="2466" spans="1:11" ht="42" customHeight="1">
      <c r="A2466" s="2" t="s">
        <v>5736</v>
      </c>
      <c r="B2466" s="2" t="s">
        <v>5737</v>
      </c>
      <c r="C2466" s="2" t="s">
        <v>38</v>
      </c>
      <c r="D2466" s="2" t="s">
        <v>39</v>
      </c>
      <c r="E2466" s="5">
        <v>-31285</v>
      </c>
      <c r="F2466" s="3" t="s">
        <v>1141</v>
      </c>
      <c r="G2466" s="3" t="s">
        <v>20</v>
      </c>
      <c r="H2466" s="2" t="s">
        <v>62</v>
      </c>
      <c r="I2466" s="2" t="s">
        <v>5743</v>
      </c>
      <c r="J2466" s="3" t="str">
        <f>HYPERLINK("https://www.boe.es/gazeta/dias/1814/05/05/pdfs/GRE-1814-66.pdf#page=7","Abrir facsímil")</f>
        <v>Abrir facsímil</v>
      </c>
      <c r="K2466" s="3" t="s">
        <v>64</v>
      </c>
    </row>
    <row r="2467" spans="1:11" ht="42" customHeight="1">
      <c r="A2467" s="2" t="s">
        <v>5736</v>
      </c>
      <c r="B2467" s="2" t="s">
        <v>5737</v>
      </c>
      <c r="C2467" s="2" t="s">
        <v>38</v>
      </c>
      <c r="D2467" s="2" t="s">
        <v>39</v>
      </c>
      <c r="E2467" s="5">
        <v>-31280</v>
      </c>
      <c r="F2467" s="3" t="s">
        <v>4480</v>
      </c>
      <c r="G2467" s="3" t="s">
        <v>384</v>
      </c>
      <c r="H2467" s="2" t="s">
        <v>62</v>
      </c>
      <c r="I2467" s="2" t="s">
        <v>5744</v>
      </c>
      <c r="J2467" s="3" t="str">
        <f>HYPERLINK("https://www.boe.es/gazeta/dias/1814/05/10/pdfs/GRE-1814-68.pdf#page=11","Abrir facsímil")</f>
        <v>Abrir facsímil</v>
      </c>
      <c r="K2467" s="3" t="s">
        <v>64</v>
      </c>
    </row>
    <row r="2468" spans="1:11" ht="42" customHeight="1">
      <c r="A2468" s="2" t="s">
        <v>5745</v>
      </c>
      <c r="B2468" s="2" t="s">
        <v>5746</v>
      </c>
      <c r="C2468" s="2" t="s">
        <v>38</v>
      </c>
      <c r="D2468" s="2" t="s">
        <v>39</v>
      </c>
      <c r="E2468" s="5">
        <v>-31054</v>
      </c>
      <c r="F2468" s="3" t="s">
        <v>952</v>
      </c>
      <c r="G2468" s="3" t="s">
        <v>20</v>
      </c>
      <c r="H2468" s="2" t="s">
        <v>21</v>
      </c>
      <c r="I2468" s="2" t="s">
        <v>5747</v>
      </c>
      <c r="J2468" s="3" t="str">
        <f>HYPERLINK("https://www.boe.es/gazeta/dias/1814/12/22/pdfs/GMD-1814-169.pdf#page=7","Abrir facsímil")</f>
        <v>Abrir facsímil</v>
      </c>
      <c r="K2468" s="3" t="s">
        <v>23</v>
      </c>
    </row>
    <row r="2469" spans="1:11" ht="42" customHeight="1">
      <c r="A2469" s="2" t="s">
        <v>5748</v>
      </c>
      <c r="B2469" s="2" t="s">
        <v>5748</v>
      </c>
      <c r="C2469" s="2" t="s">
        <v>26</v>
      </c>
      <c r="D2469" s="2" t="s">
        <v>27</v>
      </c>
      <c r="E2469" s="5">
        <v>-31257</v>
      </c>
      <c r="F2469" s="3" t="s">
        <v>437</v>
      </c>
      <c r="G2469" s="3" t="s">
        <v>107</v>
      </c>
      <c r="H2469" s="2" t="s">
        <v>62</v>
      </c>
      <c r="I2469" s="2" t="s">
        <v>5749</v>
      </c>
      <c r="J2469" s="3" t="str">
        <f>HYPERLINK("https://www.boe.es/gazeta/dias/1814/06/02/pdfs/GMD-1814-80.pdf#page=1","Abrir facsímil")</f>
        <v>Abrir facsímil</v>
      </c>
      <c r="K2469" s="3" t="s">
        <v>64</v>
      </c>
    </row>
    <row r="2470" spans="1:11" ht="42" customHeight="1">
      <c r="A2470" s="2" t="s">
        <v>5750</v>
      </c>
      <c r="B2470" s="2" t="s">
        <v>5751</v>
      </c>
      <c r="C2470" s="2" t="s">
        <v>38</v>
      </c>
      <c r="D2470" s="2" t="s">
        <v>39</v>
      </c>
      <c r="E2470" s="5">
        <v>-31159</v>
      </c>
      <c r="F2470" s="3" t="s">
        <v>1175</v>
      </c>
      <c r="G2470" s="3" t="s">
        <v>57</v>
      </c>
      <c r="H2470" s="2" t="s">
        <v>62</v>
      </c>
      <c r="I2470" s="2" t="s">
        <v>5752</v>
      </c>
      <c r="J2470" s="3" t="str">
        <f>HYPERLINK("https://www.boe.es/gazeta/dias/1814/09/08/pdfs/GMD-1814-123.pdf#page=6","Abrir facsímil")</f>
        <v>Abrir facsímil</v>
      </c>
      <c r="K2470" s="3" t="s">
        <v>64</v>
      </c>
    </row>
    <row r="2471" spans="1:11" ht="42" customHeight="1">
      <c r="A2471" s="2" t="s">
        <v>5753</v>
      </c>
      <c r="B2471" s="2" t="s">
        <v>5754</v>
      </c>
      <c r="C2471" s="2" t="s">
        <v>38</v>
      </c>
      <c r="D2471" s="2" t="s">
        <v>39</v>
      </c>
      <c r="E2471" s="5">
        <v>-31299</v>
      </c>
      <c r="F2471" s="3" t="s">
        <v>71</v>
      </c>
      <c r="G2471" s="3" t="s">
        <v>52</v>
      </c>
      <c r="H2471" s="2" t="s">
        <v>62</v>
      </c>
      <c r="I2471" s="2" t="s">
        <v>5755</v>
      </c>
      <c r="J2471" s="3" t="str">
        <f>HYPERLINK("https://www.boe.es/gazeta/dias/1814/04/21/pdfs/GRE-1814-57.pdf#page=8","Abrir facsímil")</f>
        <v>Abrir facsímil</v>
      </c>
      <c r="K2471" s="3" t="s">
        <v>64</v>
      </c>
    </row>
    <row r="2472" spans="1:11" ht="42" customHeight="1">
      <c r="A2472" s="2" t="s">
        <v>5756</v>
      </c>
      <c r="B2472" s="2" t="s">
        <v>5756</v>
      </c>
      <c r="C2472" s="2" t="s">
        <v>38</v>
      </c>
      <c r="D2472" s="2" t="s">
        <v>39</v>
      </c>
      <c r="E2472" s="5">
        <v>-31234</v>
      </c>
      <c r="F2472" s="3" t="s">
        <v>462</v>
      </c>
      <c r="G2472" s="3" t="s">
        <v>2864</v>
      </c>
      <c r="H2472" s="2" t="s">
        <v>62</v>
      </c>
      <c r="I2472" s="2" t="s">
        <v>5757</v>
      </c>
      <c r="J2472" s="3" t="str">
        <f>HYPERLINK("https://www.boe.es/gazeta/dias/1814/06/25/pdfs/GMD-1814-90.pdf#page=12","Abrir facsímil")</f>
        <v>Abrir facsímil</v>
      </c>
      <c r="K2472" s="3" t="s">
        <v>64</v>
      </c>
    </row>
    <row r="2473" spans="1:11" ht="42" customHeight="1">
      <c r="A2473" s="2" t="s">
        <v>5756</v>
      </c>
      <c r="B2473" s="2" t="s">
        <v>5756</v>
      </c>
      <c r="C2473" s="2" t="s">
        <v>17</v>
      </c>
      <c r="D2473" s="2" t="s">
        <v>18</v>
      </c>
      <c r="E2473" s="5">
        <v>-31052</v>
      </c>
      <c r="F2473" s="3" t="s">
        <v>1407</v>
      </c>
      <c r="G2473" s="3" t="s">
        <v>57</v>
      </c>
      <c r="H2473" s="2" t="s">
        <v>62</v>
      </c>
      <c r="I2473" s="2" t="s">
        <v>5758</v>
      </c>
      <c r="J2473" s="3" t="str">
        <f>HYPERLINK("https://www.boe.es/gazeta/dias/1814/12/24/pdfs/GMD-1814-170.pdf#page=6","Abrir facsímil")</f>
        <v>Abrir facsímil</v>
      </c>
      <c r="K2473" s="3" t="s">
        <v>64</v>
      </c>
    </row>
    <row r="2474" spans="1:11" ht="42" customHeight="1">
      <c r="A2474" s="2" t="s">
        <v>5759</v>
      </c>
      <c r="B2474" s="2" t="s">
        <v>5760</v>
      </c>
      <c r="C2474" s="2" t="s">
        <v>38</v>
      </c>
      <c r="D2474" s="2" t="s">
        <v>39</v>
      </c>
      <c r="E2474" s="5">
        <v>-31388</v>
      </c>
      <c r="F2474" s="3" t="s">
        <v>1299</v>
      </c>
      <c r="G2474" s="3" t="s">
        <v>5761</v>
      </c>
      <c r="H2474" s="2" t="s">
        <v>62</v>
      </c>
      <c r="I2474" s="2" t="s">
        <v>5762</v>
      </c>
      <c r="J2474" s="3" t="str">
        <f>HYPERLINK("https://www.boe.es/gazeta/dias/1814/01/22/pdfs/GRE-1814-11.pdf#page=6","Abrir facsímil")</f>
        <v>Abrir facsímil</v>
      </c>
      <c r="K2474" s="3" t="s">
        <v>64</v>
      </c>
    </row>
    <row r="2475" spans="1:11" ht="42" customHeight="1">
      <c r="A2475" s="2" t="s">
        <v>5763</v>
      </c>
      <c r="B2475" s="2" t="s">
        <v>5764</v>
      </c>
      <c r="C2475" s="2" t="s">
        <v>17</v>
      </c>
      <c r="D2475" s="2" t="s">
        <v>18</v>
      </c>
      <c r="E2475" s="5">
        <v>-31080</v>
      </c>
      <c r="F2475" s="3" t="s">
        <v>286</v>
      </c>
      <c r="G2475" s="3" t="s">
        <v>677</v>
      </c>
      <c r="H2475" s="2" t="s">
        <v>62</v>
      </c>
      <c r="I2475" s="2" t="s">
        <v>5765</v>
      </c>
      <c r="J2475" s="3" t="str">
        <f>HYPERLINK("https://www.boe.es/gazeta/dias/1814/11/26/pdfs/GMD-1814-157.pdf#page=7","Abrir facsímil")</f>
        <v>Abrir facsímil</v>
      </c>
      <c r="K2475" s="3" t="s">
        <v>64</v>
      </c>
    </row>
    <row r="2476" spans="1:11" ht="42" customHeight="1">
      <c r="A2476" s="2" t="s">
        <v>5766</v>
      </c>
      <c r="B2476" s="2" t="s">
        <v>5766</v>
      </c>
      <c r="C2476" s="2" t="s">
        <v>38</v>
      </c>
      <c r="D2476" s="2" t="s">
        <v>39</v>
      </c>
      <c r="E2476" s="5">
        <v>-31271</v>
      </c>
      <c r="F2476" s="3" t="s">
        <v>243</v>
      </c>
      <c r="G2476" s="3" t="s">
        <v>57</v>
      </c>
      <c r="H2476" s="2" t="s">
        <v>62</v>
      </c>
      <c r="I2476" s="2" t="s">
        <v>5767</v>
      </c>
      <c r="J2476" s="3" t="str">
        <f>HYPERLINK("https://www.boe.es/gazeta/dias/1814/05/19/pdfs/GMD-1814-74.pdf#page=6","Abrir facsímil")</f>
        <v>Abrir facsímil</v>
      </c>
      <c r="K2476" s="3" t="s">
        <v>64</v>
      </c>
    </row>
    <row r="2477" spans="1:11" ht="42" customHeight="1">
      <c r="A2477" s="2" t="s">
        <v>5768</v>
      </c>
      <c r="B2477" s="2" t="s">
        <v>5769</v>
      </c>
      <c r="C2477" s="2" t="s">
        <v>38</v>
      </c>
      <c r="D2477" s="2" t="s">
        <v>314</v>
      </c>
      <c r="E2477" s="5">
        <v>-31296</v>
      </c>
      <c r="F2477" s="3" t="s">
        <v>315</v>
      </c>
      <c r="G2477" s="3" t="s">
        <v>52</v>
      </c>
      <c r="H2477" s="2" t="s">
        <v>62</v>
      </c>
      <c r="I2477" s="2" t="s">
        <v>5770</v>
      </c>
      <c r="J2477" s="3" t="str">
        <f>HYPERLINK("https://www.boe.es/gazeta/dias/1814/04/24/pdfs/GRE-1814-60E.pdf#page=8","Abrir facsímil")</f>
        <v>Abrir facsímil</v>
      </c>
      <c r="K2477" s="3" t="s">
        <v>64</v>
      </c>
    </row>
    <row r="2478" spans="1:11" ht="42" customHeight="1">
      <c r="A2478" s="2" t="s">
        <v>5771</v>
      </c>
      <c r="B2478" s="2" t="s">
        <v>5771</v>
      </c>
      <c r="C2478" s="2" t="s">
        <v>38</v>
      </c>
      <c r="D2478" s="2" t="s">
        <v>39</v>
      </c>
      <c r="E2478" s="5">
        <v>-31248</v>
      </c>
      <c r="F2478" s="3" t="s">
        <v>1123</v>
      </c>
      <c r="G2478" s="3" t="s">
        <v>107</v>
      </c>
      <c r="H2478" s="2" t="s">
        <v>62</v>
      </c>
      <c r="I2478" s="2" t="s">
        <v>5772</v>
      </c>
      <c r="J2478" s="3" t="str">
        <f>HYPERLINK("https://www.boe.es/gazeta/dias/1814/06/11/pdfs/GMD-1814-84.pdf#page=1","Abrir facsímil")</f>
        <v>Abrir facsímil</v>
      </c>
      <c r="K2478" s="3" t="s">
        <v>64</v>
      </c>
    </row>
    <row r="2479" spans="1:11" ht="42" customHeight="1">
      <c r="A2479" s="2" t="s">
        <v>5773</v>
      </c>
      <c r="B2479" s="2" t="s">
        <v>5773</v>
      </c>
      <c r="C2479" s="2" t="s">
        <v>38</v>
      </c>
      <c r="D2479" s="2" t="s">
        <v>39</v>
      </c>
      <c r="E2479" s="5">
        <v>-31390</v>
      </c>
      <c r="F2479" s="3" t="s">
        <v>349</v>
      </c>
      <c r="G2479" s="3" t="s">
        <v>87</v>
      </c>
      <c r="H2479" s="2" t="s">
        <v>62</v>
      </c>
      <c r="I2479" s="2" t="s">
        <v>5774</v>
      </c>
      <c r="J2479" s="3" t="str">
        <f>HYPERLINK("https://www.boe.es/gazeta/dias/1814/01/20/pdfs/GRE-1814-10.pdf#page=2","Abrir facsímil")</f>
        <v>Abrir facsímil</v>
      </c>
      <c r="K2479" s="3" t="s">
        <v>64</v>
      </c>
    </row>
    <row r="2480" spans="1:11" ht="42" customHeight="1">
      <c r="A2480" s="2" t="s">
        <v>5773</v>
      </c>
      <c r="B2480" s="2" t="s">
        <v>5773</v>
      </c>
      <c r="C2480" s="2" t="s">
        <v>17</v>
      </c>
      <c r="D2480" s="2" t="s">
        <v>18</v>
      </c>
      <c r="E2480" s="5">
        <v>-31222</v>
      </c>
      <c r="F2480" s="3" t="s">
        <v>153</v>
      </c>
      <c r="G2480" s="3" t="s">
        <v>107</v>
      </c>
      <c r="H2480" s="2" t="s">
        <v>62</v>
      </c>
      <c r="I2480" s="2" t="s">
        <v>5775</v>
      </c>
      <c r="J2480" s="3" t="str">
        <f>HYPERLINK("https://www.boe.es/gazeta/dias/1814/07/07/pdfs/GMD-1814-95.pdf#page=1","Abrir facsímil")</f>
        <v>Abrir facsímil</v>
      </c>
      <c r="K2480" s="3" t="s">
        <v>64</v>
      </c>
    </row>
    <row r="2481" spans="1:11" ht="42" customHeight="1">
      <c r="A2481" s="2" t="s">
        <v>5773</v>
      </c>
      <c r="B2481" s="2" t="s">
        <v>5773</v>
      </c>
      <c r="C2481" s="2" t="s">
        <v>38</v>
      </c>
      <c r="D2481" s="2" t="s">
        <v>39</v>
      </c>
      <c r="E2481" s="5">
        <v>-31192</v>
      </c>
      <c r="F2481" s="3" t="s">
        <v>388</v>
      </c>
      <c r="G2481" s="3" t="s">
        <v>5776</v>
      </c>
      <c r="H2481" s="2" t="s">
        <v>62</v>
      </c>
      <c r="I2481" s="2" t="s">
        <v>5777</v>
      </c>
      <c r="J2481" s="3" t="str">
        <f>HYPERLINK("https://www.boe.es/gazeta/dias/1814/08/06/pdfs/GMD-1814-108.pdf#page=4","Abrir facsímil")</f>
        <v>Abrir facsímil</v>
      </c>
      <c r="K2481" s="3" t="s">
        <v>64</v>
      </c>
    </row>
    <row r="2482" spans="1:11" ht="42" customHeight="1">
      <c r="A2482" s="2" t="s">
        <v>5773</v>
      </c>
      <c r="B2482" s="2" t="s">
        <v>5773</v>
      </c>
      <c r="C2482" s="2" t="s">
        <v>38</v>
      </c>
      <c r="D2482" s="2" t="s">
        <v>39</v>
      </c>
      <c r="E2482" s="5">
        <v>-31140</v>
      </c>
      <c r="F2482" s="3" t="s">
        <v>525</v>
      </c>
      <c r="G2482" s="3" t="s">
        <v>87</v>
      </c>
      <c r="H2482" s="2" t="s">
        <v>62</v>
      </c>
      <c r="I2482" s="2" t="s">
        <v>5778</v>
      </c>
      <c r="J2482" s="3" t="str">
        <f>HYPERLINK("https://www.boe.es/gazeta/dias/1814/09/27/pdfs/GMD-1814-131.pdf#page=2","Abrir facsímil")</f>
        <v>Abrir facsímil</v>
      </c>
      <c r="K2482" s="3" t="s">
        <v>64</v>
      </c>
    </row>
    <row r="2483" spans="1:11" ht="42" customHeight="1">
      <c r="A2483" s="2" t="s">
        <v>5779</v>
      </c>
      <c r="B2483" s="2" t="s">
        <v>5780</v>
      </c>
      <c r="C2483" s="2" t="s">
        <v>17</v>
      </c>
      <c r="D2483" s="2" t="s">
        <v>18</v>
      </c>
      <c r="E2483" s="5">
        <v>-31075</v>
      </c>
      <c r="F2483" s="3" t="s">
        <v>537</v>
      </c>
      <c r="G2483" s="3" t="s">
        <v>87</v>
      </c>
      <c r="H2483" s="2" t="s">
        <v>62</v>
      </c>
      <c r="I2483" s="2" t="s">
        <v>5781</v>
      </c>
      <c r="J2483" s="3" t="str">
        <f>HYPERLINK("https://www.boe.es/gazeta/dias/1814/12/01/pdfs/GMD-1814-159.pdf#page=2","Abrir facsímil")</f>
        <v>Abrir facsímil</v>
      </c>
      <c r="K2483" s="3" t="s">
        <v>64</v>
      </c>
    </row>
    <row r="2484" spans="1:11" ht="42" customHeight="1">
      <c r="A2484" s="2" t="s">
        <v>5782</v>
      </c>
      <c r="B2484" s="2" t="s">
        <v>5782</v>
      </c>
      <c r="C2484" s="2" t="s">
        <v>32</v>
      </c>
      <c r="D2484" s="2" t="s">
        <v>18</v>
      </c>
      <c r="E2484" s="5">
        <v>-31182</v>
      </c>
      <c r="F2484" s="3" t="s">
        <v>19</v>
      </c>
      <c r="G2484" s="3" t="s">
        <v>1279</v>
      </c>
      <c r="H2484" s="2" t="s">
        <v>62</v>
      </c>
      <c r="I2484" s="2" t="s">
        <v>5783</v>
      </c>
      <c r="J2484" s="3" t="str">
        <f>HYPERLINK("https://www.boe.es/gazeta/dias/1814/08/16/pdfs/GMD-1814-112.pdf#page=2","Abrir facsímil")</f>
        <v>Abrir facsímil</v>
      </c>
      <c r="K2484" s="3" t="s">
        <v>64</v>
      </c>
    </row>
    <row r="2485" spans="1:11" ht="42" customHeight="1">
      <c r="A2485" s="2" t="s">
        <v>5784</v>
      </c>
      <c r="B2485" s="2" t="s">
        <v>5785</v>
      </c>
      <c r="C2485" s="2" t="s">
        <v>38</v>
      </c>
      <c r="D2485" s="2" t="s">
        <v>39</v>
      </c>
      <c r="E2485" s="5">
        <v>-31122</v>
      </c>
      <c r="F2485" s="3" t="s">
        <v>28</v>
      </c>
      <c r="G2485" s="3" t="s">
        <v>57</v>
      </c>
      <c r="H2485" s="2" t="s">
        <v>62</v>
      </c>
      <c r="I2485" s="2" t="s">
        <v>5786</v>
      </c>
      <c r="J2485" s="3" t="str">
        <f>HYPERLINK("https://www.boe.es/gazeta/dias/1814/10/15/pdfs/GMD-1814-139.pdf#page=6","Abrir facsímil")</f>
        <v>Abrir facsímil</v>
      </c>
      <c r="K2485" s="3" t="s">
        <v>64</v>
      </c>
    </row>
    <row r="2486" spans="1:11" ht="42" customHeight="1">
      <c r="A2486" s="2" t="s">
        <v>5784</v>
      </c>
      <c r="B2486" s="2" t="s">
        <v>5785</v>
      </c>
      <c r="C2486" s="2" t="s">
        <v>38</v>
      </c>
      <c r="D2486" s="2" t="s">
        <v>39</v>
      </c>
      <c r="E2486" s="5">
        <v>-31122</v>
      </c>
      <c r="F2486" s="3" t="s">
        <v>28</v>
      </c>
      <c r="G2486" s="3" t="s">
        <v>20</v>
      </c>
      <c r="H2486" s="2" t="s">
        <v>62</v>
      </c>
      <c r="I2486" s="2" t="s">
        <v>5787</v>
      </c>
      <c r="J2486" s="3" t="str">
        <f>HYPERLINK("https://www.boe.es/gazeta/dias/1814/10/15/pdfs/GMD-1814-139.pdf#page=7","Abrir facsímil")</f>
        <v>Abrir facsímil</v>
      </c>
      <c r="K2486" s="3" t="s">
        <v>64</v>
      </c>
    </row>
    <row r="2487" spans="1:11" ht="42" customHeight="1">
      <c r="A2487" s="2" t="s">
        <v>5788</v>
      </c>
      <c r="B2487" s="2" t="s">
        <v>5789</v>
      </c>
      <c r="C2487" s="2" t="s">
        <v>38</v>
      </c>
      <c r="D2487" s="2" t="s">
        <v>39</v>
      </c>
      <c r="E2487" s="5">
        <v>-31213</v>
      </c>
      <c r="F2487" s="3" t="s">
        <v>276</v>
      </c>
      <c r="G2487" s="3" t="s">
        <v>57</v>
      </c>
      <c r="H2487" s="2" t="s">
        <v>62</v>
      </c>
      <c r="I2487" s="2" t="s">
        <v>5790</v>
      </c>
      <c r="J2487" s="3" t="str">
        <f>HYPERLINK("https://www.boe.es/gazeta/dias/1814/07/16/pdfs/GMD-1814-99.pdf#page=6","Abrir facsímil")</f>
        <v>Abrir facsímil</v>
      </c>
      <c r="K2487" s="3" t="s">
        <v>64</v>
      </c>
    </row>
    <row r="2488" spans="1:11" ht="42" customHeight="1">
      <c r="A2488" s="2" t="s">
        <v>5791</v>
      </c>
      <c r="B2488" s="2" t="s">
        <v>5792</v>
      </c>
      <c r="C2488" s="2" t="s">
        <v>17</v>
      </c>
      <c r="D2488" s="2" t="s">
        <v>18</v>
      </c>
      <c r="E2488" s="5">
        <v>-31117</v>
      </c>
      <c r="F2488" s="3" t="s">
        <v>172</v>
      </c>
      <c r="G2488" s="3" t="s">
        <v>173</v>
      </c>
      <c r="H2488" s="2" t="s">
        <v>62</v>
      </c>
      <c r="I2488" s="2" t="s">
        <v>5793</v>
      </c>
      <c r="J2488" s="3" t="str">
        <f>HYPERLINK("https://www.boe.es/gazeta/dias/1814/10/20/pdfs/GMD-1814-141.pdf#page=7","Abrir facsímil")</f>
        <v>Abrir facsímil</v>
      </c>
      <c r="K2488" s="3" t="s">
        <v>64</v>
      </c>
    </row>
    <row r="2489" spans="1:11" ht="42" customHeight="1">
      <c r="A2489" s="2" t="s">
        <v>5794</v>
      </c>
      <c r="B2489" s="2" t="s">
        <v>5794</v>
      </c>
      <c r="C2489" s="2" t="s">
        <v>38</v>
      </c>
      <c r="D2489" s="2" t="s">
        <v>39</v>
      </c>
      <c r="E2489" s="5">
        <v>-31327</v>
      </c>
      <c r="F2489" s="3" t="s">
        <v>180</v>
      </c>
      <c r="G2489" s="3" t="s">
        <v>107</v>
      </c>
      <c r="H2489" s="2" t="s">
        <v>62</v>
      </c>
      <c r="I2489" s="2" t="s">
        <v>5795</v>
      </c>
      <c r="J2489" s="3" t="str">
        <f>HYPERLINK("https://www.boe.es/gazeta/dias/1814/03/24/pdfs/GRE-1814-41.pdf#page=1","Abrir facsímil")</f>
        <v>Abrir facsímil</v>
      </c>
      <c r="K2489" s="3" t="s">
        <v>64</v>
      </c>
    </row>
    <row r="2490" spans="1:11" ht="42" customHeight="1">
      <c r="A2490" s="2" t="s">
        <v>5796</v>
      </c>
      <c r="B2490" s="2" t="s">
        <v>5796</v>
      </c>
      <c r="C2490" s="2" t="s">
        <v>38</v>
      </c>
      <c r="D2490" s="2" t="s">
        <v>39</v>
      </c>
      <c r="E2490" s="5">
        <v>-31346</v>
      </c>
      <c r="F2490" s="3" t="s">
        <v>78</v>
      </c>
      <c r="G2490" s="3" t="s">
        <v>521</v>
      </c>
      <c r="H2490" s="2" t="s">
        <v>62</v>
      </c>
      <c r="I2490" s="2" t="s">
        <v>5797</v>
      </c>
      <c r="J2490" s="3" t="str">
        <f>HYPERLINK("https://www.boe.es/gazeta/dias/1814/03/05/pdfs/GRE-1814-30.pdf#page=3","Abrir facsímil")</f>
        <v>Abrir facsímil</v>
      </c>
      <c r="K2490" s="3" t="s">
        <v>64</v>
      </c>
    </row>
    <row r="2491" spans="1:11" ht="42" customHeight="1">
      <c r="A2491" s="2" t="s">
        <v>5798</v>
      </c>
      <c r="B2491" s="2" t="s">
        <v>5799</v>
      </c>
      <c r="C2491" s="2" t="s">
        <v>17</v>
      </c>
      <c r="D2491" s="2" t="s">
        <v>18</v>
      </c>
      <c r="E2491" s="5">
        <v>-31374</v>
      </c>
      <c r="F2491" s="3" t="s">
        <v>474</v>
      </c>
      <c r="G2491" s="3" t="s">
        <v>99</v>
      </c>
      <c r="H2491" s="2" t="s">
        <v>62</v>
      </c>
      <c r="I2491" s="2" t="s">
        <v>5800</v>
      </c>
      <c r="J2491" s="3" t="str">
        <f>HYPERLINK("https://www.boe.es/gazeta/dias/1814/02/05/pdfs/GRE-1814-17.pdf#page=5","Abrir facsímil")</f>
        <v>Abrir facsímil</v>
      </c>
      <c r="K2491" s="3" t="s">
        <v>64</v>
      </c>
    </row>
    <row r="2492" spans="1:11" ht="42" customHeight="1">
      <c r="A2492" s="2" t="s">
        <v>5801</v>
      </c>
      <c r="B2492" s="2" t="s">
        <v>5802</v>
      </c>
      <c r="C2492" s="2" t="s">
        <v>38</v>
      </c>
      <c r="D2492" s="2" t="s">
        <v>39</v>
      </c>
      <c r="E2492" s="5">
        <v>-31376</v>
      </c>
      <c r="F2492" s="3" t="s">
        <v>1954</v>
      </c>
      <c r="G2492" s="3" t="s">
        <v>2546</v>
      </c>
      <c r="H2492" s="2" t="s">
        <v>62</v>
      </c>
      <c r="I2492" s="2" t="s">
        <v>5803</v>
      </c>
      <c r="J2492" s="3" t="str">
        <f>HYPERLINK("https://www.boe.es/gazeta/dias/1814/02/03/pdfs/GRE-1814-16.pdf#page=5","Abrir facsímil")</f>
        <v>Abrir facsímil</v>
      </c>
      <c r="K2492" s="3" t="s">
        <v>64</v>
      </c>
    </row>
    <row r="2493" spans="1:11" ht="42" customHeight="1">
      <c r="A2493" s="2" t="s">
        <v>5804</v>
      </c>
      <c r="B2493" s="2" t="s">
        <v>5804</v>
      </c>
      <c r="C2493" s="2" t="s">
        <v>17</v>
      </c>
      <c r="D2493" s="2" t="s">
        <v>18</v>
      </c>
      <c r="E2493" s="5">
        <v>-31073</v>
      </c>
      <c r="F2493" s="3" t="s">
        <v>3052</v>
      </c>
      <c r="G2493" s="3" t="s">
        <v>87</v>
      </c>
      <c r="H2493" s="2" t="s">
        <v>62</v>
      </c>
      <c r="I2493" s="2" t="s">
        <v>5805</v>
      </c>
      <c r="J2493" s="3" t="str">
        <f>HYPERLINK("https://www.boe.es/gazeta/dias/1814/12/03/pdfs/GMD-1814-160.pdf#page=2","Abrir facsímil")</f>
        <v>Abrir facsímil</v>
      </c>
      <c r="K2493" s="3" t="s">
        <v>64</v>
      </c>
    </row>
    <row r="2494" spans="1:11" ht="42" customHeight="1">
      <c r="A2494" s="2" t="s">
        <v>5806</v>
      </c>
      <c r="B2494" s="2" t="s">
        <v>5807</v>
      </c>
      <c r="C2494" s="2" t="s">
        <v>38</v>
      </c>
      <c r="D2494" s="2" t="s">
        <v>39</v>
      </c>
      <c r="E2494" s="5">
        <v>-31199</v>
      </c>
      <c r="F2494" s="3" t="s">
        <v>453</v>
      </c>
      <c r="G2494" s="3" t="s">
        <v>1027</v>
      </c>
      <c r="H2494" s="2" t="s">
        <v>62</v>
      </c>
      <c r="I2494" s="2" t="s">
        <v>5808</v>
      </c>
      <c r="J2494" s="3" t="str">
        <f>HYPERLINK("https://www.boe.es/gazeta/dias/1814/07/30/pdfs/GMD-1814-105.pdf#page=8","Abrir facsímil")</f>
        <v>Abrir facsímil</v>
      </c>
      <c r="K2494" s="3" t="s">
        <v>64</v>
      </c>
    </row>
    <row r="2495" spans="1:11" ht="42" customHeight="1">
      <c r="A2495" s="2" t="s">
        <v>5809</v>
      </c>
      <c r="B2495" s="2" t="s">
        <v>5810</v>
      </c>
      <c r="C2495" s="2" t="s">
        <v>38</v>
      </c>
      <c r="D2495" s="2" t="s">
        <v>39</v>
      </c>
      <c r="E2495" s="5">
        <v>-31259</v>
      </c>
      <c r="F2495" s="3" t="s">
        <v>853</v>
      </c>
      <c r="G2495" s="3" t="s">
        <v>41</v>
      </c>
      <c r="H2495" s="2" t="s">
        <v>62</v>
      </c>
      <c r="I2495" s="2" t="s">
        <v>5811</v>
      </c>
      <c r="J2495" s="3" t="str">
        <f>HYPERLINK("https://www.boe.es/gazeta/dias/1814/05/31/pdfs/GMD-1814-79.pdf#page=4","Abrir facsímil")</f>
        <v>Abrir facsímil</v>
      </c>
      <c r="K2495" s="3" t="s">
        <v>64</v>
      </c>
    </row>
    <row r="2496" spans="1:11" ht="42" customHeight="1">
      <c r="A2496" s="2" t="s">
        <v>5812</v>
      </c>
      <c r="B2496" s="2" t="s">
        <v>5813</v>
      </c>
      <c r="C2496" s="2" t="s">
        <v>38</v>
      </c>
      <c r="D2496" s="2" t="s">
        <v>39</v>
      </c>
      <c r="E2496" s="5">
        <v>-31080</v>
      </c>
      <c r="F2496" s="3" t="s">
        <v>286</v>
      </c>
      <c r="G2496" s="3" t="s">
        <v>57</v>
      </c>
      <c r="H2496" s="2" t="s">
        <v>62</v>
      </c>
      <c r="I2496" s="2" t="s">
        <v>5814</v>
      </c>
      <c r="J2496" s="3" t="str">
        <f>HYPERLINK("https://www.boe.es/gazeta/dias/1814/11/26/pdfs/GMD-1814-157.pdf#page=6","Abrir facsímil")</f>
        <v>Abrir facsímil</v>
      </c>
      <c r="K2496" s="3" t="s">
        <v>64</v>
      </c>
    </row>
    <row r="2497" spans="1:11" ht="42" customHeight="1">
      <c r="A2497" s="2" t="s">
        <v>5815</v>
      </c>
      <c r="B2497" s="2" t="s">
        <v>5816</v>
      </c>
      <c r="C2497" s="2" t="s">
        <v>17</v>
      </c>
      <c r="D2497" s="2" t="s">
        <v>18</v>
      </c>
      <c r="E2497" s="5">
        <v>-31385</v>
      </c>
      <c r="F2497" s="3" t="s">
        <v>783</v>
      </c>
      <c r="G2497" s="3" t="s">
        <v>52</v>
      </c>
      <c r="H2497" s="2" t="s">
        <v>62</v>
      </c>
      <c r="I2497" s="2" t="s">
        <v>5817</v>
      </c>
      <c r="J2497" s="3" t="str">
        <f>HYPERLINK("https://www.boe.es/gazeta/dias/1814/01/25/pdfs/GRE-1814-12.pdf#page=8","Abrir facsímil")</f>
        <v>Abrir facsímil</v>
      </c>
      <c r="K2497" s="3" t="s">
        <v>64</v>
      </c>
    </row>
    <row r="2498" spans="1:11" ht="42" customHeight="1">
      <c r="A2498" s="2" t="s">
        <v>5818</v>
      </c>
      <c r="B2498" s="2" t="s">
        <v>5819</v>
      </c>
      <c r="C2498" s="2" t="s">
        <v>45</v>
      </c>
      <c r="D2498" s="2" t="s">
        <v>18</v>
      </c>
      <c r="E2498" s="5">
        <v>-31234</v>
      </c>
      <c r="F2498" s="3" t="s">
        <v>462</v>
      </c>
      <c r="G2498" s="3" t="s">
        <v>2864</v>
      </c>
      <c r="H2498" s="2" t="s">
        <v>62</v>
      </c>
      <c r="I2498" s="2" t="s">
        <v>5820</v>
      </c>
      <c r="J2498" s="3" t="str">
        <f>HYPERLINK("https://www.boe.es/gazeta/dias/1814/06/25/pdfs/GMD-1814-90.pdf#page=12","Abrir facsímil")</f>
        <v>Abrir facsímil</v>
      </c>
      <c r="K2498" s="3" t="s">
        <v>64</v>
      </c>
    </row>
    <row r="2499" spans="1:11" ht="42" customHeight="1">
      <c r="A2499" s="2" t="s">
        <v>5818</v>
      </c>
      <c r="B2499" s="2" t="s">
        <v>5819</v>
      </c>
      <c r="C2499" s="2" t="s">
        <v>144</v>
      </c>
      <c r="D2499" s="2" t="s">
        <v>18</v>
      </c>
      <c r="E2499" s="5">
        <v>-31059</v>
      </c>
      <c r="F2499" s="3" t="s">
        <v>263</v>
      </c>
      <c r="G2499" s="3" t="s">
        <v>297</v>
      </c>
      <c r="H2499" s="2" t="s">
        <v>62</v>
      </c>
      <c r="I2499" s="2" t="s">
        <v>5821</v>
      </c>
      <c r="J2499" s="3" t="str">
        <f>HYPERLINK("https://www.boe.es/gazeta/dias/1814/12/17/pdfs/GMD-1814-167.pdf#page=8","Abrir facsímil")</f>
        <v>Abrir facsímil</v>
      </c>
      <c r="K2499" s="3" t="s">
        <v>64</v>
      </c>
    </row>
    <row r="2500" spans="1:11" ht="42" customHeight="1">
      <c r="A2500" s="2" t="s">
        <v>5822</v>
      </c>
      <c r="B2500" s="2" t="s">
        <v>5823</v>
      </c>
      <c r="C2500" s="2" t="s">
        <v>38</v>
      </c>
      <c r="D2500" s="2" t="s">
        <v>39</v>
      </c>
      <c r="E2500" s="5">
        <v>-31115</v>
      </c>
      <c r="F2500" s="3" t="s">
        <v>805</v>
      </c>
      <c r="G2500" s="3" t="s">
        <v>52</v>
      </c>
      <c r="H2500" s="2" t="s">
        <v>62</v>
      </c>
      <c r="I2500" s="2" t="s">
        <v>5824</v>
      </c>
      <c r="J2500" s="3" t="str">
        <f>HYPERLINK("https://www.boe.es/gazeta/dias/1814/10/22/pdfs/GMD-1814-142.pdf#page=8","Abrir facsímil")</f>
        <v>Abrir facsímil</v>
      </c>
      <c r="K2500" s="3" t="s">
        <v>64</v>
      </c>
    </row>
    <row r="2501" spans="1:11" ht="42" customHeight="1">
      <c r="A2501" s="2" t="s">
        <v>5825</v>
      </c>
      <c r="B2501" s="2" t="s">
        <v>5826</v>
      </c>
      <c r="C2501" s="2" t="s">
        <v>17</v>
      </c>
      <c r="D2501" s="2" t="s">
        <v>18</v>
      </c>
      <c r="E2501" s="5">
        <v>-31236</v>
      </c>
      <c r="F2501" s="3" t="s">
        <v>33</v>
      </c>
      <c r="G2501" s="3" t="s">
        <v>3453</v>
      </c>
      <c r="H2501" s="2" t="s">
        <v>62</v>
      </c>
      <c r="I2501" s="2" t="s">
        <v>5827</v>
      </c>
      <c r="J2501" s="3" t="str">
        <f>HYPERLINK("https://www.boe.es/gazeta/dias/1814/06/23/pdfs/GMD-1814-89.pdf#page=5","Abrir facsímil")</f>
        <v>Abrir facsímil</v>
      </c>
      <c r="K2501" s="3" t="s">
        <v>64</v>
      </c>
    </row>
    <row r="2502" spans="1:11" ht="42" customHeight="1">
      <c r="A2502" s="2" t="s">
        <v>5828</v>
      </c>
      <c r="B2502" s="2" t="s">
        <v>5829</v>
      </c>
      <c r="C2502" s="2" t="s">
        <v>38</v>
      </c>
      <c r="D2502" s="2" t="s">
        <v>39</v>
      </c>
      <c r="E2502" s="5">
        <v>-31213</v>
      </c>
      <c r="F2502" s="3" t="s">
        <v>276</v>
      </c>
      <c r="G2502" s="3" t="s">
        <v>41</v>
      </c>
      <c r="H2502" s="2" t="s">
        <v>62</v>
      </c>
      <c r="I2502" s="2" t="s">
        <v>5830</v>
      </c>
      <c r="J2502" s="3" t="str">
        <f>HYPERLINK("https://www.boe.es/gazeta/dias/1814/07/16/pdfs/GMD-1814-99.pdf#page=4","Abrir facsímil")</f>
        <v>Abrir facsímil</v>
      </c>
      <c r="K2502" s="3" t="s">
        <v>64</v>
      </c>
    </row>
    <row r="2503" spans="1:11" ht="42" customHeight="1">
      <c r="A2503" s="2" t="s">
        <v>5831</v>
      </c>
      <c r="B2503" s="2" t="s">
        <v>5832</v>
      </c>
      <c r="C2503" s="2" t="s">
        <v>32</v>
      </c>
      <c r="D2503" s="2" t="s">
        <v>18</v>
      </c>
      <c r="E2503" s="5">
        <v>-31171</v>
      </c>
      <c r="F2503" s="3" t="s">
        <v>157</v>
      </c>
      <c r="G2503" s="3" t="s">
        <v>52</v>
      </c>
      <c r="H2503" s="2" t="s">
        <v>62</v>
      </c>
      <c r="I2503" s="2" t="s">
        <v>5833</v>
      </c>
      <c r="J2503" s="3" t="str">
        <f>HYPERLINK("https://www.boe.es/gazeta/dias/1814/08/27/pdfs/GMD-1814-117.pdf#page=8","Abrir facsímil")</f>
        <v>Abrir facsímil</v>
      </c>
      <c r="K2503" s="3" t="s">
        <v>64</v>
      </c>
    </row>
    <row r="2504" spans="1:11" ht="42" customHeight="1">
      <c r="A2504" s="2" t="s">
        <v>5834</v>
      </c>
      <c r="B2504" s="2" t="s">
        <v>5835</v>
      </c>
      <c r="C2504" s="2" t="s">
        <v>38</v>
      </c>
      <c r="D2504" s="2" t="s">
        <v>39</v>
      </c>
      <c r="E2504" s="5">
        <v>-31124</v>
      </c>
      <c r="F2504" s="3" t="s">
        <v>383</v>
      </c>
      <c r="G2504" s="3" t="s">
        <v>574</v>
      </c>
      <c r="H2504" s="2" t="s">
        <v>62</v>
      </c>
      <c r="I2504" s="2" t="s">
        <v>5836</v>
      </c>
      <c r="J2504" s="3" t="str">
        <f>HYPERLINK("https://www.boe.es/gazeta/dias/1814/10/13/pdfs/GMD-1814-138.pdf#page=10","Abrir facsímil")</f>
        <v>Abrir facsímil</v>
      </c>
      <c r="K2504" s="3" t="s">
        <v>64</v>
      </c>
    </row>
    <row r="2505" spans="1:11" ht="42" customHeight="1">
      <c r="A2505" s="2" t="s">
        <v>5837</v>
      </c>
      <c r="B2505" s="2" t="s">
        <v>5838</v>
      </c>
      <c r="C2505" s="2" t="s">
        <v>32</v>
      </c>
      <c r="D2505" s="2" t="s">
        <v>18</v>
      </c>
      <c r="E2505" s="5">
        <v>-31245</v>
      </c>
      <c r="F2505" s="3" t="s">
        <v>908</v>
      </c>
      <c r="G2505" s="3" t="s">
        <v>4652</v>
      </c>
      <c r="H2505" s="2" t="s">
        <v>62</v>
      </c>
      <c r="I2505" s="2" t="s">
        <v>5839</v>
      </c>
      <c r="J2505" s="3" t="str">
        <f>HYPERLINK("https://www.boe.es/gazeta/dias/1814/06/14/pdfs/GMD-1814-85.pdf#page=4","Abrir facsímil")</f>
        <v>Abrir facsímil</v>
      </c>
      <c r="K2505" s="3" t="s">
        <v>64</v>
      </c>
    </row>
    <row r="2506" spans="1:11" ht="42" customHeight="1">
      <c r="A2506" s="2" t="s">
        <v>5840</v>
      </c>
      <c r="B2506" s="2" t="s">
        <v>5841</v>
      </c>
      <c r="C2506" s="2" t="s">
        <v>26</v>
      </c>
      <c r="D2506" s="2" t="s">
        <v>27</v>
      </c>
      <c r="E2506" s="5">
        <v>-31185</v>
      </c>
      <c r="F2506" s="3" t="s">
        <v>1238</v>
      </c>
      <c r="G2506" s="3" t="s">
        <v>52</v>
      </c>
      <c r="H2506" s="2" t="s">
        <v>62</v>
      </c>
      <c r="I2506" s="2" t="s">
        <v>5842</v>
      </c>
      <c r="J2506" s="3" t="str">
        <f>HYPERLINK("https://www.boe.es/gazeta/dias/1814/08/13/pdfs/GMD-1814-111.pdf#page=8","Abrir facsímil")</f>
        <v>Abrir facsímil</v>
      </c>
      <c r="K2506" s="3" t="s">
        <v>64</v>
      </c>
    </row>
    <row r="2507" spans="1:11" ht="42" customHeight="1">
      <c r="A2507" s="2" t="s">
        <v>5843</v>
      </c>
      <c r="B2507" s="2" t="s">
        <v>5844</v>
      </c>
      <c r="C2507" s="2" t="s">
        <v>38</v>
      </c>
      <c r="D2507" s="2" t="s">
        <v>39</v>
      </c>
      <c r="E2507" s="5">
        <v>-31290</v>
      </c>
      <c r="F2507" s="3" t="s">
        <v>488</v>
      </c>
      <c r="G2507" s="3" t="s">
        <v>20</v>
      </c>
      <c r="H2507" s="2" t="s">
        <v>62</v>
      </c>
      <c r="I2507" s="2" t="s">
        <v>5845</v>
      </c>
      <c r="J2507" s="3" t="str">
        <f>HYPERLINK("https://www.boe.es/gazeta/dias/1814/04/30/pdfs/GRE-1814-64.pdf#page=7","Abrir facsímil")</f>
        <v>Abrir facsímil</v>
      </c>
      <c r="K2507" s="3" t="s">
        <v>64</v>
      </c>
    </row>
    <row r="2508" spans="1:11" ht="42" customHeight="1">
      <c r="A2508" s="2" t="s">
        <v>5846</v>
      </c>
      <c r="B2508" s="2" t="s">
        <v>5846</v>
      </c>
      <c r="C2508" s="2" t="s">
        <v>38</v>
      </c>
      <c r="D2508" s="2" t="s">
        <v>39</v>
      </c>
      <c r="E2508" s="5">
        <v>-31360</v>
      </c>
      <c r="F2508" s="3" t="s">
        <v>480</v>
      </c>
      <c r="G2508" s="3" t="s">
        <v>99</v>
      </c>
      <c r="H2508" s="2" t="s">
        <v>62</v>
      </c>
      <c r="I2508" s="2" t="s">
        <v>5847</v>
      </c>
      <c r="J2508" s="3" t="str">
        <f>HYPERLINK("https://www.boe.es/gazeta/dias/1814/02/19/pdfs/GRE-1814-23.pdf#page=5","Abrir facsímil")</f>
        <v>Abrir facsímil</v>
      </c>
      <c r="K2508" s="3" t="s">
        <v>64</v>
      </c>
    </row>
    <row r="2509" spans="1:11" ht="42" customHeight="1">
      <c r="A2509" s="2" t="s">
        <v>5848</v>
      </c>
      <c r="B2509" s="2" t="s">
        <v>5849</v>
      </c>
      <c r="C2509" s="2" t="s">
        <v>26</v>
      </c>
      <c r="D2509" s="2" t="s">
        <v>27</v>
      </c>
      <c r="E2509" s="5">
        <v>-31283</v>
      </c>
      <c r="F2509" s="3" t="s">
        <v>701</v>
      </c>
      <c r="G2509" s="3" t="s">
        <v>52</v>
      </c>
      <c r="H2509" s="2" t="s">
        <v>21</v>
      </c>
      <c r="I2509" s="2" t="s">
        <v>5850</v>
      </c>
      <c r="J2509" s="3" t="str">
        <f>HYPERLINK("https://www.boe.es/gazeta/dias/1814/05/07/pdfs/GRE-1814-67.pdf#page=8","Abrir facsímil")</f>
        <v>Abrir facsímil</v>
      </c>
      <c r="K2509" s="3" t="s">
        <v>23</v>
      </c>
    </row>
    <row r="2510" spans="1:11" ht="42" customHeight="1">
      <c r="A2510" s="2" t="s">
        <v>5851</v>
      </c>
      <c r="B2510" s="2" t="s">
        <v>5851</v>
      </c>
      <c r="C2510" s="2" t="s">
        <v>38</v>
      </c>
      <c r="D2510" s="2" t="s">
        <v>39</v>
      </c>
      <c r="E2510" s="5">
        <v>-31355</v>
      </c>
      <c r="F2510" s="3" t="s">
        <v>50</v>
      </c>
      <c r="G2510" s="3" t="s">
        <v>82</v>
      </c>
      <c r="H2510" s="2" t="s">
        <v>62</v>
      </c>
      <c r="I2510" s="2" t="s">
        <v>5852</v>
      </c>
      <c r="J2510" s="3" t="str">
        <f>HYPERLINK("https://www.boe.es/gazeta/dias/1814/02/24/pdfs/GRE-1814-26.pdf#page=3","Abrir facsímil")</f>
        <v>Abrir facsímil</v>
      </c>
      <c r="K2510" s="3" t="s">
        <v>64</v>
      </c>
    </row>
    <row r="2511" spans="1:11" ht="42" customHeight="1">
      <c r="A2511" s="2" t="s">
        <v>5851</v>
      </c>
      <c r="B2511" s="2" t="s">
        <v>5851</v>
      </c>
      <c r="C2511" s="2" t="s">
        <v>38</v>
      </c>
      <c r="D2511" s="2" t="s">
        <v>39</v>
      </c>
      <c r="E2511" s="5">
        <v>-31278</v>
      </c>
      <c r="F2511" s="3" t="s">
        <v>773</v>
      </c>
      <c r="G2511" s="3" t="s">
        <v>57</v>
      </c>
      <c r="H2511" s="2" t="s">
        <v>62</v>
      </c>
      <c r="I2511" s="2" t="s">
        <v>5853</v>
      </c>
      <c r="J2511" s="3" t="str">
        <f>HYPERLINK("https://www.boe.es/gazeta/dias/1814/05/12/pdfs/GMD-1814-69.pdf#page=6","Abrir facsímil")</f>
        <v>Abrir facsímil</v>
      </c>
      <c r="K2511" s="3" t="s">
        <v>64</v>
      </c>
    </row>
    <row r="2512" spans="1:11" ht="42" customHeight="1">
      <c r="A2512" s="2" t="s">
        <v>5854</v>
      </c>
      <c r="B2512" s="2" t="s">
        <v>5854</v>
      </c>
      <c r="C2512" s="2" t="s">
        <v>38</v>
      </c>
      <c r="D2512" s="2" t="s">
        <v>39</v>
      </c>
      <c r="E2512" s="5">
        <v>-31371</v>
      </c>
      <c r="F2512" s="3" t="s">
        <v>476</v>
      </c>
      <c r="G2512" s="3" t="s">
        <v>5855</v>
      </c>
      <c r="H2512" s="2" t="s">
        <v>62</v>
      </c>
      <c r="I2512" s="2" t="s">
        <v>5856</v>
      </c>
      <c r="J2512" s="3" t="str">
        <f>HYPERLINK("https://www.boe.es/gazeta/dias/1814/02/08/pdfs/GRE-1814-31.pdf#page=7","Abrir facsímil")</f>
        <v>Abrir facsímil</v>
      </c>
      <c r="K2512" s="3" t="s">
        <v>64</v>
      </c>
    </row>
    <row r="2513" spans="1:11" ht="42" customHeight="1">
      <c r="A2513" s="2" t="s">
        <v>5854</v>
      </c>
      <c r="B2513" s="2" t="s">
        <v>5854</v>
      </c>
      <c r="C2513" s="2" t="s">
        <v>38</v>
      </c>
      <c r="D2513" s="2" t="s">
        <v>39</v>
      </c>
      <c r="E2513" s="5">
        <v>-31357</v>
      </c>
      <c r="F2513" s="3" t="s">
        <v>1460</v>
      </c>
      <c r="G2513" s="3" t="s">
        <v>99</v>
      </c>
      <c r="H2513" s="2" t="s">
        <v>62</v>
      </c>
      <c r="I2513" s="2" t="s">
        <v>5857</v>
      </c>
      <c r="J2513" s="3" t="str">
        <f>HYPERLINK("https://www.boe.es/gazeta/dias/1814/02/22/pdfs/GRE-1814-25.pdf#page=5","Abrir facsímil")</f>
        <v>Abrir facsímil</v>
      </c>
      <c r="K2513" s="3" t="s">
        <v>64</v>
      </c>
    </row>
    <row r="2514" spans="1:11" ht="42" customHeight="1">
      <c r="A2514" s="2" t="s">
        <v>5854</v>
      </c>
      <c r="B2514" s="2" t="s">
        <v>5854</v>
      </c>
      <c r="C2514" s="2" t="s">
        <v>38</v>
      </c>
      <c r="D2514" s="2" t="s">
        <v>39</v>
      </c>
      <c r="E2514" s="5">
        <v>-31355</v>
      </c>
      <c r="F2514" s="3" t="s">
        <v>50</v>
      </c>
      <c r="G2514" s="3" t="s">
        <v>87</v>
      </c>
      <c r="H2514" s="2" t="s">
        <v>62</v>
      </c>
      <c r="I2514" s="2" t="s">
        <v>5858</v>
      </c>
      <c r="J2514" s="3" t="str">
        <f>HYPERLINK("https://www.boe.es/gazeta/dias/1814/02/24/pdfs/GRE-1814-26.pdf#page=2","Abrir facsímil")</f>
        <v>Abrir facsímil</v>
      </c>
      <c r="K2514" s="3" t="s">
        <v>64</v>
      </c>
    </row>
    <row r="2515" spans="1:11" ht="42" customHeight="1">
      <c r="A2515" s="2" t="s">
        <v>5854</v>
      </c>
      <c r="B2515" s="2" t="s">
        <v>5854</v>
      </c>
      <c r="C2515" s="2" t="s">
        <v>38</v>
      </c>
      <c r="D2515" s="2" t="s">
        <v>39</v>
      </c>
      <c r="E2515" s="5">
        <v>-31343</v>
      </c>
      <c r="F2515" s="3" t="s">
        <v>476</v>
      </c>
      <c r="G2515" s="3" t="s">
        <v>5855</v>
      </c>
      <c r="H2515" s="2" t="s">
        <v>62</v>
      </c>
      <c r="I2515" s="2" t="s">
        <v>5856</v>
      </c>
      <c r="J2515" s="3" t="str">
        <f>HYPERLINK("https://www.boe.es/gazeta/dias/1814/03/08/pdfs/GRE-1814-31.pdf#page=7","Abrir facsímil")</f>
        <v>Abrir facsímil</v>
      </c>
      <c r="K2515" s="3" t="s">
        <v>64</v>
      </c>
    </row>
    <row r="2516" spans="1:11" ht="42" customHeight="1">
      <c r="A2516" s="2" t="s">
        <v>5854</v>
      </c>
      <c r="B2516" s="2" t="s">
        <v>5854</v>
      </c>
      <c r="C2516" s="2" t="s">
        <v>38</v>
      </c>
      <c r="D2516" s="2" t="s">
        <v>39</v>
      </c>
      <c r="E2516" s="5">
        <v>-31322</v>
      </c>
      <c r="F2516" s="3" t="s">
        <v>114</v>
      </c>
      <c r="G2516" s="3" t="s">
        <v>57</v>
      </c>
      <c r="H2516" s="2" t="s">
        <v>62</v>
      </c>
      <c r="I2516" s="2" t="s">
        <v>5859</v>
      </c>
      <c r="J2516" s="3" t="str">
        <f>HYPERLINK("https://www.boe.es/gazeta/dias/1814/03/29/pdfs/GRE-1814-44.pdf#page=6","Abrir facsímil")</f>
        <v>Abrir facsímil</v>
      </c>
      <c r="K2516" s="3" t="s">
        <v>64</v>
      </c>
    </row>
    <row r="2517" spans="1:11" ht="42" customHeight="1">
      <c r="A2517" s="2" t="s">
        <v>5860</v>
      </c>
      <c r="B2517" s="2" t="s">
        <v>5860</v>
      </c>
      <c r="C2517" s="2" t="s">
        <v>26</v>
      </c>
      <c r="D2517" s="2" t="s">
        <v>27</v>
      </c>
      <c r="E2517" s="5">
        <v>-31357</v>
      </c>
      <c r="F2517" s="3" t="s">
        <v>1460</v>
      </c>
      <c r="G2517" s="3" t="s">
        <v>41</v>
      </c>
      <c r="H2517" s="2" t="s">
        <v>62</v>
      </c>
      <c r="I2517" s="2" t="s">
        <v>5861</v>
      </c>
      <c r="J2517" s="3" t="str">
        <f>HYPERLINK("https://www.boe.es/gazeta/dias/1814/02/22/pdfs/GRE-1814-25.pdf#page=4","Abrir facsímil")</f>
        <v>Abrir facsímil</v>
      </c>
      <c r="K2517" s="3" t="s">
        <v>64</v>
      </c>
    </row>
    <row r="2518" spans="1:11" ht="42" customHeight="1">
      <c r="A2518" s="2" t="s">
        <v>5862</v>
      </c>
      <c r="B2518" s="2" t="s">
        <v>5863</v>
      </c>
      <c r="C2518" s="2" t="s">
        <v>45</v>
      </c>
      <c r="D2518" s="2" t="s">
        <v>18</v>
      </c>
      <c r="E2518" s="5">
        <v>-31185</v>
      </c>
      <c r="F2518" s="3" t="s">
        <v>1238</v>
      </c>
      <c r="G2518" s="3" t="s">
        <v>3166</v>
      </c>
      <c r="H2518" s="2" t="s">
        <v>62</v>
      </c>
      <c r="I2518" s="2" t="s">
        <v>5864</v>
      </c>
      <c r="J2518" s="3" t="str">
        <f>HYPERLINK("https://www.boe.es/gazeta/dias/1814/08/13/pdfs/GMD-1814-111.pdf#page=7","Abrir facsímil")</f>
        <v>Abrir facsímil</v>
      </c>
      <c r="K2518" s="3" t="s">
        <v>64</v>
      </c>
    </row>
    <row r="2519" spans="1:11" ht="42" customHeight="1">
      <c r="A2519" s="2" t="s">
        <v>5865</v>
      </c>
      <c r="B2519" s="2" t="s">
        <v>5866</v>
      </c>
      <c r="C2519" s="2" t="s">
        <v>38</v>
      </c>
      <c r="D2519" s="2" t="s">
        <v>39</v>
      </c>
      <c r="E2519" s="5">
        <v>-31318</v>
      </c>
      <c r="F2519" s="3" t="s">
        <v>400</v>
      </c>
      <c r="G2519" s="3" t="s">
        <v>52</v>
      </c>
      <c r="H2519" s="2" t="s">
        <v>62</v>
      </c>
      <c r="I2519" s="2" t="s">
        <v>5867</v>
      </c>
      <c r="J2519" s="3" t="str">
        <f>HYPERLINK("https://www.boe.es/gazeta/dias/1814/04/02/pdfs/GRE-1814-47.pdf#page=8","Abrir facsímil")</f>
        <v>Abrir facsímil</v>
      </c>
      <c r="K2519" s="3" t="s">
        <v>64</v>
      </c>
    </row>
    <row r="2520" spans="1:11" ht="42" customHeight="1">
      <c r="A2520" s="2" t="s">
        <v>5868</v>
      </c>
      <c r="B2520" s="2" t="s">
        <v>5868</v>
      </c>
      <c r="C2520" s="2" t="s">
        <v>38</v>
      </c>
      <c r="D2520" s="2" t="s">
        <v>39</v>
      </c>
      <c r="E2520" s="5">
        <v>-31392</v>
      </c>
      <c r="F2520" s="3" t="s">
        <v>195</v>
      </c>
      <c r="G2520" s="3" t="s">
        <v>3134</v>
      </c>
      <c r="H2520" s="2" t="s">
        <v>62</v>
      </c>
      <c r="I2520" s="2" t="s">
        <v>5869</v>
      </c>
      <c r="J2520" s="3" t="str">
        <f>HYPERLINK("https://www.boe.es/gazeta/dias/1814/01/18/pdfs/GRE-1814-9.pdf#page=5","Abrir facsímil")</f>
        <v>Abrir facsímil</v>
      </c>
      <c r="K2520" s="3" t="s">
        <v>64</v>
      </c>
    </row>
    <row r="2521" spans="1:11" ht="42" customHeight="1">
      <c r="A2521" s="2" t="s">
        <v>5868</v>
      </c>
      <c r="B2521" s="2" t="s">
        <v>5868</v>
      </c>
      <c r="C2521" s="2" t="s">
        <v>38</v>
      </c>
      <c r="D2521" s="2" t="s">
        <v>39</v>
      </c>
      <c r="E2521" s="5">
        <v>-31364</v>
      </c>
      <c r="F2521" s="3" t="s">
        <v>594</v>
      </c>
      <c r="G2521" s="3" t="s">
        <v>82</v>
      </c>
      <c r="H2521" s="2" t="s">
        <v>62</v>
      </c>
      <c r="I2521" s="2" t="s">
        <v>5870</v>
      </c>
      <c r="J2521" s="3" t="str">
        <f>HYPERLINK("https://www.boe.es/gazeta/dias/1814/02/15/pdfs/GRE-1814-21.pdf#page=3","Abrir facsímil")</f>
        <v>Abrir facsímil</v>
      </c>
      <c r="K2521" s="3" t="s">
        <v>64</v>
      </c>
    </row>
    <row r="2522" spans="1:11" ht="42" customHeight="1">
      <c r="A2522" s="2" t="s">
        <v>5871</v>
      </c>
      <c r="B2522" s="2" t="s">
        <v>5872</v>
      </c>
      <c r="C2522" s="2" t="s">
        <v>38</v>
      </c>
      <c r="D2522" s="2" t="s">
        <v>39</v>
      </c>
      <c r="E2522" s="5">
        <v>-31278</v>
      </c>
      <c r="F2522" s="3" t="s">
        <v>773</v>
      </c>
      <c r="G2522" s="3" t="s">
        <v>774</v>
      </c>
      <c r="H2522" s="2" t="s">
        <v>21</v>
      </c>
      <c r="I2522" s="2" t="s">
        <v>5873</v>
      </c>
      <c r="J2522" s="3" t="str">
        <f>HYPERLINK("https://www.boe.es/gazeta/dias/1814/05/12/pdfs/GMD-1814-69.pdf#page=8","Abrir facsímil")</f>
        <v>Abrir facsímil</v>
      </c>
      <c r="K2522" s="3" t="s">
        <v>23</v>
      </c>
    </row>
    <row r="2523" spans="1:11" ht="42" customHeight="1">
      <c r="A2523" s="2" t="s">
        <v>5874</v>
      </c>
      <c r="B2523" s="2" t="s">
        <v>5874</v>
      </c>
      <c r="C2523" s="2" t="s">
        <v>38</v>
      </c>
      <c r="D2523" s="2" t="s">
        <v>39</v>
      </c>
      <c r="E2523" s="5">
        <v>-31364</v>
      </c>
      <c r="F2523" s="3" t="s">
        <v>594</v>
      </c>
      <c r="G2523" s="3" t="s">
        <v>82</v>
      </c>
      <c r="H2523" s="2" t="s">
        <v>62</v>
      </c>
      <c r="I2523" s="2" t="s">
        <v>5875</v>
      </c>
      <c r="J2523" s="3" t="str">
        <f>HYPERLINK("https://www.boe.es/gazeta/dias/1814/02/15/pdfs/GRE-1814-21.pdf#page=3","Abrir facsímil")</f>
        <v>Abrir facsímil</v>
      </c>
      <c r="K2523" s="3" t="s">
        <v>64</v>
      </c>
    </row>
    <row r="2524" spans="1:11" ht="42" customHeight="1">
      <c r="A2524" s="2" t="s">
        <v>5876</v>
      </c>
      <c r="B2524" s="2" t="s">
        <v>5876</v>
      </c>
      <c r="C2524" s="2" t="s">
        <v>38</v>
      </c>
      <c r="D2524" s="2" t="s">
        <v>39</v>
      </c>
      <c r="E2524" s="5">
        <v>-31334</v>
      </c>
      <c r="F2524" s="3" t="s">
        <v>482</v>
      </c>
      <c r="G2524" s="3" t="s">
        <v>2020</v>
      </c>
      <c r="H2524" s="2" t="s">
        <v>62</v>
      </c>
      <c r="I2524" s="2" t="s">
        <v>5877</v>
      </c>
      <c r="J2524" s="3" t="str">
        <f>HYPERLINK("https://www.boe.es/gazeta/dias/1814/03/17/pdfs/GRE-1814-37.pdf#page=4","Abrir facsímil")</f>
        <v>Abrir facsímil</v>
      </c>
      <c r="K2524" s="3" t="s">
        <v>64</v>
      </c>
    </row>
    <row r="2525" spans="1:11" ht="42" customHeight="1">
      <c r="A2525" s="2" t="s">
        <v>5878</v>
      </c>
      <c r="B2525" s="2" t="s">
        <v>5878</v>
      </c>
      <c r="C2525" s="2" t="s">
        <v>38</v>
      </c>
      <c r="D2525" s="2" t="s">
        <v>39</v>
      </c>
      <c r="E2525" s="5">
        <v>-31350</v>
      </c>
      <c r="F2525" s="3" t="s">
        <v>377</v>
      </c>
      <c r="G2525" s="3" t="s">
        <v>20</v>
      </c>
      <c r="H2525" s="2" t="s">
        <v>62</v>
      </c>
      <c r="I2525" s="2" t="s">
        <v>5879</v>
      </c>
      <c r="J2525" s="3" t="str">
        <f>HYPERLINK("https://www.boe.es/gazeta/dias/1814/03/01/pdfs/GRE-1814-28.pdf#page=7","Abrir facsímil")</f>
        <v>Abrir facsímil</v>
      </c>
      <c r="K2525" s="3" t="s">
        <v>64</v>
      </c>
    </row>
    <row r="2526" spans="1:11" ht="42" customHeight="1">
      <c r="A2526" s="2" t="s">
        <v>5880</v>
      </c>
      <c r="B2526" s="2" t="s">
        <v>5880</v>
      </c>
      <c r="C2526" s="2" t="s">
        <v>144</v>
      </c>
      <c r="D2526" s="2" t="s">
        <v>18</v>
      </c>
      <c r="E2526" s="5">
        <v>-31103</v>
      </c>
      <c r="F2526" s="3" t="s">
        <v>1260</v>
      </c>
      <c r="G2526" s="3" t="s">
        <v>87</v>
      </c>
      <c r="H2526" s="2" t="s">
        <v>62</v>
      </c>
      <c r="I2526" s="2" t="s">
        <v>5881</v>
      </c>
      <c r="J2526" s="3" t="str">
        <f>HYPERLINK("https://www.boe.es/gazeta/dias/1814/11/03/pdfs/GMD-1814-147.pdf#page=2","Abrir facsímil")</f>
        <v>Abrir facsímil</v>
      </c>
      <c r="K2526" s="3" t="s">
        <v>64</v>
      </c>
    </row>
    <row r="2527" spans="1:11" ht="42" customHeight="1">
      <c r="A2527" s="2" t="s">
        <v>5882</v>
      </c>
      <c r="B2527" s="2" t="s">
        <v>5882</v>
      </c>
      <c r="C2527" s="2" t="s">
        <v>38</v>
      </c>
      <c r="D2527" s="2" t="s">
        <v>39</v>
      </c>
      <c r="E2527" s="5">
        <v>-31369</v>
      </c>
      <c r="F2527" s="3" t="s">
        <v>695</v>
      </c>
      <c r="G2527" s="3" t="s">
        <v>107</v>
      </c>
      <c r="H2527" s="2" t="s">
        <v>62</v>
      </c>
      <c r="I2527" s="2" t="s">
        <v>5883</v>
      </c>
      <c r="J2527" s="3" t="str">
        <f>HYPERLINK("https://www.boe.es/gazeta/dias/1814/02/10/pdfs/GRE-1814-19.pdf#page=1","Abrir facsímil")</f>
        <v>Abrir facsímil</v>
      </c>
      <c r="K2527" s="3" t="s">
        <v>64</v>
      </c>
    </row>
    <row r="2528" spans="1:11" ht="42" customHeight="1">
      <c r="A2528" s="2" t="s">
        <v>5884</v>
      </c>
      <c r="B2528" s="2" t="s">
        <v>5884</v>
      </c>
      <c r="C2528" s="2" t="s">
        <v>38</v>
      </c>
      <c r="D2528" s="2" t="s">
        <v>314</v>
      </c>
      <c r="E2528" s="5">
        <v>-31294</v>
      </c>
      <c r="F2528" s="3" t="s">
        <v>2505</v>
      </c>
      <c r="G2528" s="3" t="s">
        <v>87</v>
      </c>
      <c r="H2528" s="2" t="s">
        <v>62</v>
      </c>
      <c r="I2528" s="2" t="s">
        <v>5885</v>
      </c>
      <c r="J2528" s="3" t="str">
        <f>HYPERLINK("https://www.boe.es/gazeta/dias/1814/04/26/pdfs/GRE-1814-62E.pdf#page=2","Abrir facsímil")</f>
        <v>Abrir facsímil</v>
      </c>
      <c r="K2528" s="3" t="s">
        <v>64</v>
      </c>
    </row>
    <row r="2529" spans="1:11" ht="42" customHeight="1">
      <c r="A2529" s="2" t="s">
        <v>5886</v>
      </c>
      <c r="B2529" s="2" t="s">
        <v>5887</v>
      </c>
      <c r="C2529" s="2" t="s">
        <v>38</v>
      </c>
      <c r="D2529" s="2" t="s">
        <v>39</v>
      </c>
      <c r="E2529" s="5">
        <v>-31238</v>
      </c>
      <c r="F2529" s="3" t="s">
        <v>127</v>
      </c>
      <c r="G2529" s="3" t="s">
        <v>322</v>
      </c>
      <c r="H2529" s="2" t="s">
        <v>62</v>
      </c>
      <c r="I2529" s="2" t="s">
        <v>5888</v>
      </c>
      <c r="J2529" s="3" t="str">
        <f>HYPERLINK("https://www.boe.es/gazeta/dias/1814/06/21/pdfs/GMD-1814-88.pdf#page=12","Abrir facsímil")</f>
        <v>Abrir facsímil</v>
      </c>
      <c r="K2529" s="3" t="s">
        <v>64</v>
      </c>
    </row>
    <row r="2530" spans="1:11" ht="42" customHeight="1">
      <c r="A2530" s="2" t="s">
        <v>5886</v>
      </c>
      <c r="B2530" s="2" t="s">
        <v>5887</v>
      </c>
      <c r="C2530" s="2" t="s">
        <v>38</v>
      </c>
      <c r="D2530" s="2" t="s">
        <v>39</v>
      </c>
      <c r="E2530" s="5">
        <v>-31187</v>
      </c>
      <c r="F2530" s="3" t="s">
        <v>518</v>
      </c>
      <c r="G2530" s="3" t="s">
        <v>5889</v>
      </c>
      <c r="H2530" s="2" t="s">
        <v>62</v>
      </c>
      <c r="I2530" s="2" t="s">
        <v>5890</v>
      </c>
      <c r="J2530" s="3" t="str">
        <f>HYPERLINK("https://www.boe.es/gazeta/dias/1814/08/11/pdfs/GMD-1814-110.pdf#page=6","Abrir facsímil")</f>
        <v>Abrir facsímil</v>
      </c>
      <c r="K2530" s="3" t="s">
        <v>64</v>
      </c>
    </row>
    <row r="2531" spans="1:11" ht="42" customHeight="1">
      <c r="A2531" s="2" t="s">
        <v>5891</v>
      </c>
      <c r="B2531" s="2" t="s">
        <v>5891</v>
      </c>
      <c r="C2531" s="2" t="s">
        <v>38</v>
      </c>
      <c r="D2531" s="2" t="s">
        <v>39</v>
      </c>
      <c r="E2531" s="5">
        <v>-31301</v>
      </c>
      <c r="F2531" s="3" t="s">
        <v>81</v>
      </c>
      <c r="G2531" s="3" t="s">
        <v>107</v>
      </c>
      <c r="H2531" s="2" t="s">
        <v>62</v>
      </c>
      <c r="I2531" s="2" t="s">
        <v>5892</v>
      </c>
      <c r="J2531" s="3" t="str">
        <f>HYPERLINK("https://www.boe.es/gazeta/dias/1814/04/19/pdfs/GRE-1814-56.pdf#page=1","Abrir facsímil")</f>
        <v>Abrir facsímil</v>
      </c>
      <c r="K2531" s="3" t="s">
        <v>64</v>
      </c>
    </row>
    <row r="2532" spans="1:11" ht="42" customHeight="1">
      <c r="A2532" s="2" t="s">
        <v>5893</v>
      </c>
      <c r="B2532" s="2" t="s">
        <v>5894</v>
      </c>
      <c r="C2532" s="2" t="s">
        <v>26</v>
      </c>
      <c r="D2532" s="2" t="s">
        <v>27</v>
      </c>
      <c r="E2532" s="5">
        <v>-31049</v>
      </c>
      <c r="F2532" s="3" t="s">
        <v>542</v>
      </c>
      <c r="G2532" s="3" t="s">
        <v>20</v>
      </c>
      <c r="H2532" s="2" t="s">
        <v>62</v>
      </c>
      <c r="I2532" s="2" t="s">
        <v>5895</v>
      </c>
      <c r="J2532" s="3" t="str">
        <f>HYPERLINK("https://www.boe.es/gazeta/dias/1814/12/27/pdfs/GMD-1814-171.pdf#page=7","Abrir facsímil")</f>
        <v>Abrir facsímil</v>
      </c>
      <c r="K2532" s="3" t="s">
        <v>64</v>
      </c>
    </row>
    <row r="2533" spans="1:11" ht="42" customHeight="1">
      <c r="A2533" s="2" t="s">
        <v>5896</v>
      </c>
      <c r="B2533" s="2" t="s">
        <v>5897</v>
      </c>
      <c r="C2533" s="2" t="s">
        <v>17</v>
      </c>
      <c r="D2533" s="2" t="s">
        <v>18</v>
      </c>
      <c r="E2533" s="5">
        <v>-31259</v>
      </c>
      <c r="F2533" s="3" t="s">
        <v>853</v>
      </c>
      <c r="G2533" s="3" t="s">
        <v>1732</v>
      </c>
      <c r="H2533" s="2" t="s">
        <v>62</v>
      </c>
      <c r="I2533" s="2" t="s">
        <v>5898</v>
      </c>
      <c r="J2533" s="3" t="str">
        <f>HYPERLINK("https://www.boe.es/gazeta/dias/1814/05/31/pdfs/GMD-1814-79.pdf#page=5","Abrir facsímil")</f>
        <v>Abrir facsímil</v>
      </c>
      <c r="K2533" s="3" t="s">
        <v>64</v>
      </c>
    </row>
    <row r="2534" spans="1:11" ht="42" customHeight="1">
      <c r="A2534" s="2" t="s">
        <v>5899</v>
      </c>
      <c r="B2534" s="2" t="s">
        <v>5900</v>
      </c>
      <c r="C2534" s="2" t="s">
        <v>38</v>
      </c>
      <c r="D2534" s="2" t="s">
        <v>314</v>
      </c>
      <c r="E2534" s="5">
        <v>-31296</v>
      </c>
      <c r="F2534" s="3" t="s">
        <v>315</v>
      </c>
      <c r="G2534" s="3" t="s">
        <v>52</v>
      </c>
      <c r="H2534" s="2" t="s">
        <v>62</v>
      </c>
      <c r="I2534" s="2" t="s">
        <v>5901</v>
      </c>
      <c r="J2534" s="3" t="str">
        <f>HYPERLINK("https://www.boe.es/gazeta/dias/1814/04/24/pdfs/GRE-1814-60E.pdf#page=8","Abrir facsímil")</f>
        <v>Abrir facsímil</v>
      </c>
      <c r="K2534" s="3" t="s">
        <v>64</v>
      </c>
    </row>
    <row r="2535" spans="1:11" ht="42" customHeight="1">
      <c r="A2535" s="2" t="s">
        <v>5902</v>
      </c>
      <c r="B2535" s="2" t="s">
        <v>5903</v>
      </c>
      <c r="C2535" s="2" t="s">
        <v>17</v>
      </c>
      <c r="D2535" s="2" t="s">
        <v>18</v>
      </c>
      <c r="E2535" s="5">
        <v>-31068</v>
      </c>
      <c r="F2535" s="3" t="s">
        <v>548</v>
      </c>
      <c r="G2535" s="3" t="s">
        <v>20</v>
      </c>
      <c r="H2535" s="2" t="s">
        <v>62</v>
      </c>
      <c r="I2535" s="2" t="s">
        <v>5904</v>
      </c>
      <c r="J2535" s="3" t="str">
        <f>HYPERLINK("https://www.boe.es/gazeta/dias/1814/12/08/pdfs/GMD-1814-162.pdf#page=7","Abrir facsímil")</f>
        <v>Abrir facsímil</v>
      </c>
      <c r="K2535" s="3" t="s">
        <v>64</v>
      </c>
    </row>
    <row r="2536" spans="1:11" ht="42" customHeight="1">
      <c r="A2536" s="2" t="s">
        <v>5905</v>
      </c>
      <c r="B2536" s="2" t="s">
        <v>5906</v>
      </c>
      <c r="C2536" s="2" t="s">
        <v>45</v>
      </c>
      <c r="D2536" s="2" t="s">
        <v>18</v>
      </c>
      <c r="E2536" s="5">
        <v>-31383</v>
      </c>
      <c r="F2536" s="3" t="s">
        <v>715</v>
      </c>
      <c r="G2536" s="3" t="s">
        <v>20</v>
      </c>
      <c r="H2536" s="2" t="s">
        <v>62</v>
      </c>
      <c r="I2536" s="2" t="s">
        <v>5907</v>
      </c>
      <c r="J2536" s="3" t="str">
        <f>HYPERLINK("https://www.boe.es/gazeta/dias/1814/01/27/pdfs/GRE-1814-13.pdf#page=7","Abrir facsímil")</f>
        <v>Abrir facsímil</v>
      </c>
      <c r="K2536" s="3" t="s">
        <v>64</v>
      </c>
    </row>
    <row r="2537" spans="1:11" ht="42" customHeight="1">
      <c r="A2537" s="2" t="s">
        <v>5908</v>
      </c>
      <c r="B2537" s="2" t="s">
        <v>5909</v>
      </c>
      <c r="C2537" s="2" t="s">
        <v>38</v>
      </c>
      <c r="D2537" s="2" t="s">
        <v>39</v>
      </c>
      <c r="E2537" s="5">
        <v>-31243</v>
      </c>
      <c r="F2537" s="3" t="s">
        <v>500</v>
      </c>
      <c r="G2537" s="3" t="s">
        <v>57</v>
      </c>
      <c r="H2537" s="2" t="s">
        <v>62</v>
      </c>
      <c r="I2537" s="2" t="s">
        <v>5910</v>
      </c>
      <c r="J2537" s="3" t="str">
        <f>HYPERLINK("https://www.boe.es/gazeta/dias/1814/06/16/pdfs/GMD-1814-86.pdf#page=6","Abrir facsímil")</f>
        <v>Abrir facsímil</v>
      </c>
      <c r="K2537" s="3" t="s">
        <v>64</v>
      </c>
    </row>
    <row r="2538" spans="1:11" ht="42" customHeight="1">
      <c r="A2538" s="2" t="s">
        <v>5911</v>
      </c>
      <c r="B2538" s="2" t="s">
        <v>5912</v>
      </c>
      <c r="C2538" s="2" t="s">
        <v>38</v>
      </c>
      <c r="D2538" s="2" t="s">
        <v>39</v>
      </c>
      <c r="E2538" s="5">
        <v>-31292</v>
      </c>
      <c r="F2538" s="3" t="s">
        <v>557</v>
      </c>
      <c r="G2538" s="3" t="s">
        <v>20</v>
      </c>
      <c r="H2538" s="2" t="s">
        <v>62</v>
      </c>
      <c r="I2538" s="2" t="s">
        <v>5913</v>
      </c>
      <c r="J2538" s="3" t="str">
        <f>HYPERLINK("https://www.boe.es/gazeta/dias/1814/04/28/pdfs/GRE-1814-63.pdf#page=7","Abrir facsímil")</f>
        <v>Abrir facsímil</v>
      </c>
      <c r="K2538" s="3" t="s">
        <v>64</v>
      </c>
    </row>
    <row r="2539" spans="1:11" ht="42" customHeight="1">
      <c r="A2539" s="2" t="s">
        <v>5914</v>
      </c>
      <c r="B2539" s="2" t="s">
        <v>5915</v>
      </c>
      <c r="C2539" s="2" t="s">
        <v>38</v>
      </c>
      <c r="D2539" s="2" t="s">
        <v>39</v>
      </c>
      <c r="E2539" s="5">
        <v>-31292</v>
      </c>
      <c r="F2539" s="3" t="s">
        <v>557</v>
      </c>
      <c r="G2539" s="3" t="s">
        <v>20</v>
      </c>
      <c r="H2539" s="2" t="s">
        <v>62</v>
      </c>
      <c r="I2539" s="2" t="s">
        <v>5916</v>
      </c>
      <c r="J2539" s="3" t="str">
        <f>HYPERLINK("https://www.boe.es/gazeta/dias/1814/04/28/pdfs/GRE-1814-63.pdf#page=7","Abrir facsímil")</f>
        <v>Abrir facsímil</v>
      </c>
      <c r="K2539" s="3" t="s">
        <v>64</v>
      </c>
    </row>
    <row r="2540" spans="1:11" ht="42" customHeight="1">
      <c r="A2540" s="2" t="s">
        <v>5917</v>
      </c>
      <c r="B2540" s="2" t="s">
        <v>5918</v>
      </c>
      <c r="C2540" s="2" t="s">
        <v>26</v>
      </c>
      <c r="D2540" s="2" t="s">
        <v>27</v>
      </c>
      <c r="E2540" s="5">
        <v>-31136</v>
      </c>
      <c r="F2540" s="3" t="s">
        <v>956</v>
      </c>
      <c r="G2540" s="3" t="s">
        <v>3656</v>
      </c>
      <c r="H2540" s="2" t="s">
        <v>21</v>
      </c>
      <c r="I2540" s="2" t="s">
        <v>5919</v>
      </c>
      <c r="J2540" s="3" t="str">
        <f>HYPERLINK("https://www.boe.es/gazeta/dias/1814/10/01/pdfs/GMD-1814-133.pdf#page=3","Abrir facsímil")</f>
        <v>Abrir facsímil</v>
      </c>
      <c r="K2540" s="3" t="s">
        <v>23</v>
      </c>
    </row>
    <row r="2541" spans="1:11" ht="42" customHeight="1">
      <c r="A2541" s="2" t="s">
        <v>5920</v>
      </c>
      <c r="B2541" s="2" t="s">
        <v>5921</v>
      </c>
      <c r="C2541" s="2" t="s">
        <v>38</v>
      </c>
      <c r="D2541" s="2" t="s">
        <v>39</v>
      </c>
      <c r="E2541" s="5">
        <v>-31371</v>
      </c>
      <c r="F2541" s="3" t="s">
        <v>476</v>
      </c>
      <c r="G2541" s="3" t="s">
        <v>52</v>
      </c>
      <c r="H2541" s="2" t="s">
        <v>62</v>
      </c>
      <c r="I2541" s="2" t="s">
        <v>5922</v>
      </c>
      <c r="J2541" s="3" t="str">
        <f>HYPERLINK("https://www.boe.es/gazeta/dias/1814/02/08/pdfs/GRE-1814-31.pdf#page=8","Abrir facsímil")</f>
        <v>Abrir facsímil</v>
      </c>
      <c r="K2541" s="3" t="s">
        <v>64</v>
      </c>
    </row>
    <row r="2542" spans="1:11" ht="42" customHeight="1">
      <c r="A2542" s="2" t="s">
        <v>5920</v>
      </c>
      <c r="B2542" s="2" t="s">
        <v>5921</v>
      </c>
      <c r="C2542" s="2" t="s">
        <v>38</v>
      </c>
      <c r="D2542" s="2" t="s">
        <v>39</v>
      </c>
      <c r="E2542" s="5">
        <v>-31343</v>
      </c>
      <c r="F2542" s="3" t="s">
        <v>476</v>
      </c>
      <c r="G2542" s="3" t="s">
        <v>52</v>
      </c>
      <c r="H2542" s="2" t="s">
        <v>62</v>
      </c>
      <c r="I2542" s="2" t="s">
        <v>5922</v>
      </c>
      <c r="J2542" s="3" t="str">
        <f>HYPERLINK("https://www.boe.es/gazeta/dias/1814/03/08/pdfs/GRE-1814-31.pdf#page=8","Abrir facsímil")</f>
        <v>Abrir facsímil</v>
      </c>
      <c r="K2542" s="3" t="s">
        <v>64</v>
      </c>
    </row>
    <row r="2543" spans="1:11" ht="42" customHeight="1">
      <c r="A2543" s="2" t="s">
        <v>5923</v>
      </c>
      <c r="B2543" s="2" t="s">
        <v>5924</v>
      </c>
      <c r="C2543" s="2" t="s">
        <v>17</v>
      </c>
      <c r="D2543" s="2" t="s">
        <v>18</v>
      </c>
      <c r="E2543" s="5">
        <v>-31052</v>
      </c>
      <c r="F2543" s="3" t="s">
        <v>1407</v>
      </c>
      <c r="G2543" s="3" t="s">
        <v>82</v>
      </c>
      <c r="H2543" s="2" t="s">
        <v>62</v>
      </c>
      <c r="I2543" s="2" t="s">
        <v>5925</v>
      </c>
      <c r="J2543" s="3" t="str">
        <f>HYPERLINK("https://www.boe.es/gazeta/dias/1814/12/24/pdfs/GMD-1814-170.pdf#page=3","Abrir facsímil")</f>
        <v>Abrir facsímil</v>
      </c>
      <c r="K2543" s="3" t="s">
        <v>64</v>
      </c>
    </row>
    <row r="2544" spans="1:11" ht="42" customHeight="1">
      <c r="A2544" s="2" t="s">
        <v>5926</v>
      </c>
      <c r="B2544" s="2" t="s">
        <v>5927</v>
      </c>
      <c r="C2544" s="2" t="s">
        <v>45</v>
      </c>
      <c r="D2544" s="2" t="s">
        <v>18</v>
      </c>
      <c r="E2544" s="5">
        <v>-31173</v>
      </c>
      <c r="F2544" s="3" t="s">
        <v>46</v>
      </c>
      <c r="G2544" s="3" t="s">
        <v>52</v>
      </c>
      <c r="H2544" s="2" t="s">
        <v>62</v>
      </c>
      <c r="I2544" s="2" t="s">
        <v>5928</v>
      </c>
      <c r="J2544" s="3" t="str">
        <f>HYPERLINK("https://www.boe.es/gazeta/dias/1814/08/25/pdfs/GMD-1814-116.pdf#page=8","Abrir facsímil")</f>
        <v>Abrir facsímil</v>
      </c>
      <c r="K2544" s="3" t="s">
        <v>64</v>
      </c>
    </row>
    <row r="2545" spans="1:11" ht="42" customHeight="1">
      <c r="A2545" s="2" t="s">
        <v>5926</v>
      </c>
      <c r="B2545" s="2" t="s">
        <v>5927</v>
      </c>
      <c r="C2545" s="2" t="s">
        <v>26</v>
      </c>
      <c r="D2545" s="2" t="s">
        <v>27</v>
      </c>
      <c r="E2545" s="5">
        <v>-31136</v>
      </c>
      <c r="F2545" s="3" t="s">
        <v>956</v>
      </c>
      <c r="G2545" s="3" t="s">
        <v>3656</v>
      </c>
      <c r="H2545" s="2" t="s">
        <v>62</v>
      </c>
      <c r="I2545" s="2" t="s">
        <v>5929</v>
      </c>
      <c r="J2545" s="3" t="str">
        <f>HYPERLINK("https://www.boe.es/gazeta/dias/1814/10/01/pdfs/GMD-1814-133.pdf#page=3","Abrir facsímil")</f>
        <v>Abrir facsímil</v>
      </c>
      <c r="K2545" s="3" t="s">
        <v>64</v>
      </c>
    </row>
    <row r="2546" spans="1:11" ht="42" customHeight="1">
      <c r="A2546" s="2" t="s">
        <v>5930</v>
      </c>
      <c r="B2546" s="2" t="s">
        <v>5931</v>
      </c>
      <c r="C2546" s="2" t="s">
        <v>17</v>
      </c>
      <c r="D2546" s="2" t="s">
        <v>18</v>
      </c>
      <c r="E2546" s="5">
        <v>-31087</v>
      </c>
      <c r="F2546" s="3" t="s">
        <v>118</v>
      </c>
      <c r="G2546" s="3" t="s">
        <v>3730</v>
      </c>
      <c r="H2546" s="2" t="s">
        <v>62</v>
      </c>
      <c r="I2546" s="2" t="s">
        <v>5932</v>
      </c>
      <c r="J2546" s="3" t="str">
        <f>HYPERLINK("https://www.boe.es/gazeta/dias/1814/11/19/pdfs/GMD-1814-154.pdf#page=7","Abrir facsímil")</f>
        <v>Abrir facsímil</v>
      </c>
      <c r="K2546" s="3" t="s">
        <v>64</v>
      </c>
    </row>
    <row r="2547" spans="1:11" ht="42" customHeight="1">
      <c r="A2547" s="2" t="s">
        <v>5933</v>
      </c>
      <c r="B2547" s="2" t="s">
        <v>5934</v>
      </c>
      <c r="C2547" s="2" t="s">
        <v>26</v>
      </c>
      <c r="D2547" s="2" t="s">
        <v>27</v>
      </c>
      <c r="E2547" s="5">
        <v>-31129</v>
      </c>
      <c r="F2547" s="3" t="s">
        <v>418</v>
      </c>
      <c r="G2547" s="3" t="s">
        <v>41</v>
      </c>
      <c r="H2547" s="2" t="s">
        <v>62</v>
      </c>
      <c r="I2547" s="2" t="s">
        <v>5935</v>
      </c>
      <c r="J2547" s="3" t="str">
        <f>HYPERLINK("https://www.boe.es/gazeta/dias/1814/10/08/pdfs/GMD-1814-136.pdf#page=4","Abrir facsímil")</f>
        <v>Abrir facsímil</v>
      </c>
      <c r="K2547" s="3" t="s">
        <v>64</v>
      </c>
    </row>
    <row r="2548" spans="1:11" ht="42" customHeight="1">
      <c r="A2548" s="2" t="s">
        <v>5936</v>
      </c>
      <c r="B2548" s="2" t="s">
        <v>5937</v>
      </c>
      <c r="C2548" s="2" t="s">
        <v>32</v>
      </c>
      <c r="D2548" s="2" t="s">
        <v>18</v>
      </c>
      <c r="E2548" s="5">
        <v>-31248</v>
      </c>
      <c r="F2548" s="3" t="s">
        <v>1123</v>
      </c>
      <c r="G2548" s="3" t="s">
        <v>5679</v>
      </c>
      <c r="H2548" s="2" t="s">
        <v>62</v>
      </c>
      <c r="I2548" s="2" t="s">
        <v>5938</v>
      </c>
      <c r="J2548" s="3" t="str">
        <f>HYPERLINK("https://www.boe.es/gazeta/dias/1814/06/11/pdfs/GMD-1814-84.pdf#page=8","Abrir facsímil")</f>
        <v>Abrir facsímil</v>
      </c>
      <c r="K2548" s="3" t="s">
        <v>64</v>
      </c>
    </row>
    <row r="2549" spans="1:11" ht="42" customHeight="1">
      <c r="A2549" s="2" t="s">
        <v>5939</v>
      </c>
      <c r="B2549" s="2" t="s">
        <v>5940</v>
      </c>
      <c r="C2549" s="2" t="s">
        <v>38</v>
      </c>
      <c r="D2549" s="2" t="s">
        <v>39</v>
      </c>
      <c r="E2549" s="5">
        <v>-31217</v>
      </c>
      <c r="F2549" s="3" t="s">
        <v>506</v>
      </c>
      <c r="G2549" s="3" t="s">
        <v>99</v>
      </c>
      <c r="H2549" s="2" t="s">
        <v>62</v>
      </c>
      <c r="I2549" s="2" t="s">
        <v>5941</v>
      </c>
      <c r="J2549" s="3" t="str">
        <f>HYPERLINK("https://www.boe.es/gazeta/dias/1814/07/12/pdfs/GMD-1814-97.pdf#page=5","Abrir facsímil")</f>
        <v>Abrir facsímil</v>
      </c>
      <c r="K2549" s="3" t="s">
        <v>64</v>
      </c>
    </row>
    <row r="2550" spans="1:11" ht="42" customHeight="1">
      <c r="A2550" s="2" t="s">
        <v>5942</v>
      </c>
      <c r="B2550" s="2" t="s">
        <v>5943</v>
      </c>
      <c r="C2550" s="2" t="s">
        <v>17</v>
      </c>
      <c r="D2550" s="2" t="s">
        <v>18</v>
      </c>
      <c r="E2550" s="5">
        <v>-31231</v>
      </c>
      <c r="F2550" s="3" t="s">
        <v>861</v>
      </c>
      <c r="G2550" s="3" t="s">
        <v>322</v>
      </c>
      <c r="H2550" s="2" t="s">
        <v>62</v>
      </c>
      <c r="I2550" s="2" t="s">
        <v>5944</v>
      </c>
      <c r="J2550" s="3" t="str">
        <f>HYPERLINK("https://www.boe.es/gazeta/dias/1814/06/28/pdfs/GMD-1814-91.pdf#page=12","Abrir facsímil")</f>
        <v>Abrir facsímil</v>
      </c>
      <c r="K2550" s="3" t="s">
        <v>64</v>
      </c>
    </row>
    <row r="2551" spans="1:11" ht="42" customHeight="1">
      <c r="A2551" s="2" t="s">
        <v>5945</v>
      </c>
      <c r="B2551" s="2" t="s">
        <v>5946</v>
      </c>
      <c r="C2551" s="2" t="s">
        <v>38</v>
      </c>
      <c r="D2551" s="2" t="s">
        <v>39</v>
      </c>
      <c r="E2551" s="5">
        <v>-31348</v>
      </c>
      <c r="F2551" s="3" t="s">
        <v>898</v>
      </c>
      <c r="G2551" s="3" t="s">
        <v>961</v>
      </c>
      <c r="H2551" s="2" t="s">
        <v>62</v>
      </c>
      <c r="I2551" s="2" t="s">
        <v>5947</v>
      </c>
      <c r="J2551" s="3" t="str">
        <f>HYPERLINK("https://www.boe.es/gazeta/dias/1814/03/03/pdfs/GRE-1814-29.pdf#page=7","Abrir facsímil")</f>
        <v>Abrir facsímil</v>
      </c>
      <c r="K2551" s="3" t="s">
        <v>64</v>
      </c>
    </row>
    <row r="2552" spans="1:11" ht="42" customHeight="1">
      <c r="A2552" s="2" t="s">
        <v>5948</v>
      </c>
      <c r="B2552" s="2" t="s">
        <v>5949</v>
      </c>
      <c r="C2552" s="2" t="s">
        <v>38</v>
      </c>
      <c r="D2552" s="2" t="s">
        <v>39</v>
      </c>
      <c r="E2552" s="5">
        <v>-31206</v>
      </c>
      <c r="F2552" s="3" t="s">
        <v>1196</v>
      </c>
      <c r="G2552" s="3" t="s">
        <v>52</v>
      </c>
      <c r="H2552" s="2" t="s">
        <v>62</v>
      </c>
      <c r="I2552" s="2" t="s">
        <v>5950</v>
      </c>
      <c r="J2552" s="3" t="str">
        <f>HYPERLINK("https://www.boe.es/gazeta/dias/1814/07/23/pdfs/GMD-1814-102.pdf#page=8","Abrir facsímil")</f>
        <v>Abrir facsímil</v>
      </c>
      <c r="K2552" s="3" t="s">
        <v>64</v>
      </c>
    </row>
    <row r="2553" spans="1:11" ht="42" customHeight="1">
      <c r="A2553" s="2" t="s">
        <v>5951</v>
      </c>
      <c r="B2553" s="2" t="s">
        <v>5952</v>
      </c>
      <c r="C2553" s="2" t="s">
        <v>38</v>
      </c>
      <c r="D2553" s="2" t="s">
        <v>39</v>
      </c>
      <c r="E2553" s="5">
        <v>-31318</v>
      </c>
      <c r="F2553" s="3" t="s">
        <v>400</v>
      </c>
      <c r="G2553" s="3" t="s">
        <v>57</v>
      </c>
      <c r="H2553" s="2" t="s">
        <v>62</v>
      </c>
      <c r="I2553" s="2" t="s">
        <v>5953</v>
      </c>
      <c r="J2553" s="3" t="str">
        <f>HYPERLINK("https://www.boe.es/gazeta/dias/1814/04/02/pdfs/GRE-1814-47.pdf#page=6","Abrir facsímil")</f>
        <v>Abrir facsímil</v>
      </c>
      <c r="K2553" s="3" t="s">
        <v>64</v>
      </c>
    </row>
    <row r="2554" spans="1:11" ht="42" customHeight="1">
      <c r="A2554" s="2" t="s">
        <v>5954</v>
      </c>
      <c r="B2554" s="2" t="s">
        <v>5955</v>
      </c>
      <c r="C2554" s="2" t="s">
        <v>17</v>
      </c>
      <c r="D2554" s="2" t="s">
        <v>18</v>
      </c>
      <c r="E2554" s="5">
        <v>-31154</v>
      </c>
      <c r="F2554" s="3" t="s">
        <v>688</v>
      </c>
      <c r="G2554" s="3" t="s">
        <v>831</v>
      </c>
      <c r="H2554" s="2" t="s">
        <v>62</v>
      </c>
      <c r="I2554" s="2" t="s">
        <v>5956</v>
      </c>
      <c r="J2554" s="3" t="str">
        <f>HYPERLINK("https://www.boe.es/gazeta/dias/1814/09/13/pdfs/GMD-1814-125.pdf#page=3","Abrir facsímil")</f>
        <v>Abrir facsímil</v>
      </c>
      <c r="K2554" s="3" t="s">
        <v>64</v>
      </c>
    </row>
    <row r="2555" spans="1:11" ht="42" customHeight="1">
      <c r="A2555" s="2" t="s">
        <v>5954</v>
      </c>
      <c r="B2555" s="2" t="s">
        <v>5955</v>
      </c>
      <c r="C2555" s="2" t="s">
        <v>32</v>
      </c>
      <c r="D2555" s="2" t="s">
        <v>18</v>
      </c>
      <c r="E2555" s="5">
        <v>-31105</v>
      </c>
      <c r="F2555" s="3" t="s">
        <v>61</v>
      </c>
      <c r="G2555" s="3" t="s">
        <v>5957</v>
      </c>
      <c r="H2555" s="2" t="s">
        <v>62</v>
      </c>
      <c r="I2555" s="2" t="s">
        <v>5958</v>
      </c>
      <c r="J2555" s="3" t="str">
        <f>HYPERLINK("https://www.boe.es/gazeta/dias/1814/11/01/pdfs/GMD-1814-146.pdf#page=7","Abrir facsímil")</f>
        <v>Abrir facsímil</v>
      </c>
      <c r="K2555" s="3" t="s">
        <v>64</v>
      </c>
    </row>
    <row r="2556" spans="1:11" ht="42" customHeight="1">
      <c r="A2556" s="2" t="s">
        <v>5954</v>
      </c>
      <c r="B2556" s="2" t="s">
        <v>5955</v>
      </c>
      <c r="C2556" s="2" t="s">
        <v>26</v>
      </c>
      <c r="D2556" s="2" t="s">
        <v>27</v>
      </c>
      <c r="E2556" s="5">
        <v>-31075</v>
      </c>
      <c r="F2556" s="3" t="s">
        <v>537</v>
      </c>
      <c r="G2556" s="3" t="s">
        <v>52</v>
      </c>
      <c r="H2556" s="2" t="s">
        <v>62</v>
      </c>
      <c r="I2556" s="2" t="s">
        <v>5959</v>
      </c>
      <c r="J2556" s="3" t="str">
        <f>HYPERLINK("https://www.boe.es/gazeta/dias/1814/12/01/pdfs/GMD-1814-159.pdf#page=8","Abrir facsímil")</f>
        <v>Abrir facsímil</v>
      </c>
      <c r="K2556" s="3" t="s">
        <v>64</v>
      </c>
    </row>
    <row r="2557" spans="1:11" ht="42" customHeight="1">
      <c r="A2557" s="2" t="s">
        <v>5960</v>
      </c>
      <c r="B2557" s="2" t="s">
        <v>5961</v>
      </c>
      <c r="C2557" s="2" t="s">
        <v>17</v>
      </c>
      <c r="D2557" s="2" t="s">
        <v>18</v>
      </c>
      <c r="E2557" s="5">
        <v>-31285</v>
      </c>
      <c r="F2557" s="3" t="s">
        <v>1141</v>
      </c>
      <c r="G2557" s="3" t="s">
        <v>1142</v>
      </c>
      <c r="H2557" s="2" t="s">
        <v>62</v>
      </c>
      <c r="I2557" s="2" t="s">
        <v>5962</v>
      </c>
      <c r="J2557" s="3" t="str">
        <f>HYPERLINK("https://www.boe.es/gazeta/dias/1814/05/05/pdfs/GRE-1814-66.pdf#page=8","Abrir facsímil")</f>
        <v>Abrir facsímil</v>
      </c>
      <c r="K2557" s="3" t="s">
        <v>64</v>
      </c>
    </row>
    <row r="2558" spans="1:11" ht="42" customHeight="1">
      <c r="A2558" s="2" t="s">
        <v>5963</v>
      </c>
      <c r="B2558" s="2" t="s">
        <v>5964</v>
      </c>
      <c r="C2558" s="2" t="s">
        <v>38</v>
      </c>
      <c r="D2558" s="2" t="s">
        <v>39</v>
      </c>
      <c r="E2558" s="5">
        <v>-31355</v>
      </c>
      <c r="F2558" s="3" t="s">
        <v>50</v>
      </c>
      <c r="G2558" s="3" t="s">
        <v>20</v>
      </c>
      <c r="H2558" s="2" t="s">
        <v>62</v>
      </c>
      <c r="I2558" s="2" t="s">
        <v>5965</v>
      </c>
      <c r="J2558" s="3" t="str">
        <f>HYPERLINK("https://www.boe.es/gazeta/dias/1814/02/24/pdfs/GRE-1814-26.pdf#page=7","Abrir facsímil")</f>
        <v>Abrir facsímil</v>
      </c>
      <c r="K2558" s="3" t="s">
        <v>64</v>
      </c>
    </row>
    <row r="2559" spans="1:11" ht="42" customHeight="1">
      <c r="A2559" s="2" t="s">
        <v>5966</v>
      </c>
      <c r="B2559" s="2" t="s">
        <v>5967</v>
      </c>
      <c r="C2559" s="2" t="s">
        <v>26</v>
      </c>
      <c r="D2559" s="2" t="s">
        <v>27</v>
      </c>
      <c r="E2559" s="5">
        <v>-31327</v>
      </c>
      <c r="F2559" s="3" t="s">
        <v>180</v>
      </c>
      <c r="G2559" s="3" t="s">
        <v>57</v>
      </c>
      <c r="H2559" s="2" t="s">
        <v>62</v>
      </c>
      <c r="I2559" s="2" t="s">
        <v>5968</v>
      </c>
      <c r="J2559" s="3" t="str">
        <f>HYPERLINK("https://www.boe.es/gazeta/dias/1814/03/24/pdfs/GRE-1814-41.pdf#page=6","Abrir facsímil")</f>
        <v>Abrir facsímil</v>
      </c>
      <c r="K2559" s="3" t="s">
        <v>64</v>
      </c>
    </row>
    <row r="2560" spans="1:11" ht="42" customHeight="1">
      <c r="A2560" s="2" t="s">
        <v>5969</v>
      </c>
      <c r="B2560" s="2" t="s">
        <v>5970</v>
      </c>
      <c r="C2560" s="2" t="s">
        <v>26</v>
      </c>
      <c r="D2560" s="2" t="s">
        <v>27</v>
      </c>
      <c r="E2560" s="5">
        <v>-31124</v>
      </c>
      <c r="F2560" s="3" t="s">
        <v>383</v>
      </c>
      <c r="G2560" s="3" t="s">
        <v>574</v>
      </c>
      <c r="H2560" s="2" t="s">
        <v>62</v>
      </c>
      <c r="I2560" s="2" t="s">
        <v>5971</v>
      </c>
      <c r="J2560" s="3" t="str">
        <f>HYPERLINK("https://www.boe.es/gazeta/dias/1814/10/13/pdfs/GMD-1814-138.pdf#page=10","Abrir facsímil")</f>
        <v>Abrir facsímil</v>
      </c>
      <c r="K2560" s="3" t="s">
        <v>64</v>
      </c>
    </row>
    <row r="2561" spans="1:11" ht="42" customHeight="1">
      <c r="A2561" s="2" t="s">
        <v>5972</v>
      </c>
      <c r="B2561" s="2" t="s">
        <v>5973</v>
      </c>
      <c r="C2561" s="2" t="s">
        <v>38</v>
      </c>
      <c r="D2561" s="2" t="s">
        <v>39</v>
      </c>
      <c r="E2561" s="5">
        <v>-31192</v>
      </c>
      <c r="F2561" s="3" t="s">
        <v>388</v>
      </c>
      <c r="G2561" s="3" t="s">
        <v>57</v>
      </c>
      <c r="H2561" s="2" t="s">
        <v>62</v>
      </c>
      <c r="I2561" s="2" t="s">
        <v>5974</v>
      </c>
      <c r="J2561" s="3" t="str">
        <f>HYPERLINK("https://www.boe.es/gazeta/dias/1814/08/06/pdfs/GMD-1814-108.pdf#page=6","Abrir facsímil")</f>
        <v>Abrir facsímil</v>
      </c>
      <c r="K2561" s="3" t="s">
        <v>64</v>
      </c>
    </row>
    <row r="2562" spans="1:11" ht="42" customHeight="1">
      <c r="A2562" s="2" t="s">
        <v>5975</v>
      </c>
      <c r="B2562" s="2" t="s">
        <v>5976</v>
      </c>
      <c r="C2562" s="2" t="s">
        <v>38</v>
      </c>
      <c r="D2562" s="2" t="s">
        <v>39</v>
      </c>
      <c r="E2562" s="5">
        <v>-31276</v>
      </c>
      <c r="F2562" s="3" t="s">
        <v>494</v>
      </c>
      <c r="G2562" s="3" t="s">
        <v>99</v>
      </c>
      <c r="H2562" s="2" t="s">
        <v>62</v>
      </c>
      <c r="I2562" s="2" t="s">
        <v>5977</v>
      </c>
      <c r="J2562" s="3" t="str">
        <f>HYPERLINK("https://www.boe.es/gazeta/dias/1814/05/14/pdfs/GMD-1814-71.pdf#page=5","Abrir facsímil")</f>
        <v>Abrir facsímil</v>
      </c>
      <c r="K2562" s="3" t="s">
        <v>64</v>
      </c>
    </row>
    <row r="2563" spans="1:11" ht="42" customHeight="1">
      <c r="A2563" s="2" t="s">
        <v>5978</v>
      </c>
      <c r="B2563" s="2" t="s">
        <v>5979</v>
      </c>
      <c r="C2563" s="2" t="s">
        <v>309</v>
      </c>
      <c r="D2563" s="2" t="s">
        <v>18</v>
      </c>
      <c r="E2563" s="5">
        <v>-31308</v>
      </c>
      <c r="F2563" s="3" t="s">
        <v>210</v>
      </c>
      <c r="G2563" s="3" t="s">
        <v>52</v>
      </c>
      <c r="H2563" s="2" t="s">
        <v>62</v>
      </c>
      <c r="I2563" s="2" t="s">
        <v>5980</v>
      </c>
      <c r="J2563" s="3" t="str">
        <f>HYPERLINK("https://www.boe.es/gazeta/dias/1814/04/12/pdfs/GRE-1814-52.pdf#page=8","Abrir facsímil")</f>
        <v>Abrir facsímil</v>
      </c>
      <c r="K2563" s="3" t="s">
        <v>64</v>
      </c>
    </row>
    <row r="2564" spans="1:11" ht="42" customHeight="1">
      <c r="A2564" s="2" t="s">
        <v>5981</v>
      </c>
      <c r="B2564" s="2" t="s">
        <v>5982</v>
      </c>
      <c r="C2564" s="2" t="s">
        <v>17</v>
      </c>
      <c r="D2564" s="2" t="s">
        <v>18</v>
      </c>
      <c r="E2564" s="5">
        <v>-31119</v>
      </c>
      <c r="F2564" s="3" t="s">
        <v>136</v>
      </c>
      <c r="G2564" s="3" t="s">
        <v>384</v>
      </c>
      <c r="H2564" s="2" t="s">
        <v>62</v>
      </c>
      <c r="I2564" s="2" t="s">
        <v>5983</v>
      </c>
      <c r="J2564" s="3" t="str">
        <f>HYPERLINK("https://www.boe.es/gazeta/dias/1814/10/18/pdfs/GMD-1814-140.pdf#page=11","Abrir facsímil")</f>
        <v>Abrir facsímil</v>
      </c>
      <c r="K2564" s="3" t="s">
        <v>64</v>
      </c>
    </row>
    <row r="2565" spans="1:11" ht="42" customHeight="1">
      <c r="A2565" s="2" t="s">
        <v>5981</v>
      </c>
      <c r="B2565" s="2" t="s">
        <v>5982</v>
      </c>
      <c r="C2565" s="2" t="s">
        <v>17</v>
      </c>
      <c r="D2565" s="2" t="s">
        <v>18</v>
      </c>
      <c r="E2565" s="5">
        <v>-31115</v>
      </c>
      <c r="F2565" s="3" t="s">
        <v>805</v>
      </c>
      <c r="G2565" s="3" t="s">
        <v>20</v>
      </c>
      <c r="H2565" s="2" t="s">
        <v>62</v>
      </c>
      <c r="I2565" s="2" t="s">
        <v>5984</v>
      </c>
      <c r="J2565" s="3" t="str">
        <f>HYPERLINK("https://www.boe.es/gazeta/dias/1814/10/22/pdfs/GMD-1814-142.pdf#page=7","Abrir facsímil")</f>
        <v>Abrir facsímil</v>
      </c>
      <c r="K2565" s="3" t="s">
        <v>64</v>
      </c>
    </row>
    <row r="2566" spans="1:11" ht="42" customHeight="1">
      <c r="A2566" s="2" t="s">
        <v>5981</v>
      </c>
      <c r="B2566" s="2" t="s">
        <v>5982</v>
      </c>
      <c r="C2566" s="2" t="s">
        <v>17</v>
      </c>
      <c r="D2566" s="2" t="s">
        <v>18</v>
      </c>
      <c r="E2566" s="5">
        <v>-31110</v>
      </c>
      <c r="F2566" s="3" t="s">
        <v>149</v>
      </c>
      <c r="G2566" s="3" t="s">
        <v>20</v>
      </c>
      <c r="H2566" s="2" t="s">
        <v>62</v>
      </c>
      <c r="I2566" s="2" t="s">
        <v>5985</v>
      </c>
      <c r="J2566" s="3" t="str">
        <f>HYPERLINK("https://www.boe.es/gazeta/dias/1814/10/27/pdfs/GMD-1814-144.pdf#page=7","Abrir facsímil")</f>
        <v>Abrir facsímil</v>
      </c>
      <c r="K2566" s="3" t="s">
        <v>64</v>
      </c>
    </row>
    <row r="2567" spans="1:11" ht="42" customHeight="1">
      <c r="A2567" s="2" t="s">
        <v>5986</v>
      </c>
      <c r="B2567" s="2" t="s">
        <v>5987</v>
      </c>
      <c r="C2567" s="2" t="s">
        <v>38</v>
      </c>
      <c r="D2567" s="2" t="s">
        <v>39</v>
      </c>
      <c r="E2567" s="5">
        <v>-31315</v>
      </c>
      <c r="F2567" s="3" t="s">
        <v>645</v>
      </c>
      <c r="G2567" s="3" t="s">
        <v>57</v>
      </c>
      <c r="H2567" s="2" t="s">
        <v>62</v>
      </c>
      <c r="I2567" s="2" t="s">
        <v>5988</v>
      </c>
      <c r="J2567" s="3" t="str">
        <f>HYPERLINK("https://www.boe.es/gazeta/dias/1814/04/05/pdfs/GRE-1814-49.pdf#page=6","Abrir facsímil")</f>
        <v>Abrir facsímil</v>
      </c>
      <c r="K2567" s="3" t="s">
        <v>64</v>
      </c>
    </row>
    <row r="2568" spans="1:11" ht="42" customHeight="1">
      <c r="A2568" s="2" t="s">
        <v>5989</v>
      </c>
      <c r="B2568" s="2" t="s">
        <v>5990</v>
      </c>
      <c r="C2568" s="2" t="s">
        <v>45</v>
      </c>
      <c r="D2568" s="2" t="s">
        <v>18</v>
      </c>
      <c r="E2568" s="5">
        <v>-31143</v>
      </c>
      <c r="F2568" s="3" t="s">
        <v>787</v>
      </c>
      <c r="G2568" s="3" t="s">
        <v>20</v>
      </c>
      <c r="H2568" s="2" t="s">
        <v>62</v>
      </c>
      <c r="I2568" s="2" t="s">
        <v>5991</v>
      </c>
      <c r="J2568" s="3" t="str">
        <f>HYPERLINK("https://www.boe.es/gazeta/dias/1814/09/24/pdfs/GMD-1814-130.pdf#page=7","Abrir facsímil")</f>
        <v>Abrir facsímil</v>
      </c>
      <c r="K2568" s="3" t="s">
        <v>64</v>
      </c>
    </row>
    <row r="2569" spans="1:11" ht="42" customHeight="1">
      <c r="A2569" s="2" t="s">
        <v>5992</v>
      </c>
      <c r="B2569" s="2" t="s">
        <v>5993</v>
      </c>
      <c r="C2569" s="2" t="s">
        <v>38</v>
      </c>
      <c r="D2569" s="2" t="s">
        <v>39</v>
      </c>
      <c r="E2569" s="5">
        <v>-31159</v>
      </c>
      <c r="F2569" s="3" t="s">
        <v>1175</v>
      </c>
      <c r="G2569" s="3" t="s">
        <v>52</v>
      </c>
      <c r="H2569" s="2" t="s">
        <v>62</v>
      </c>
      <c r="I2569" s="2" t="s">
        <v>5994</v>
      </c>
      <c r="J2569" s="3" t="str">
        <f>HYPERLINK("https://www.boe.es/gazeta/dias/1814/09/08/pdfs/GMD-1814-123.pdf#page=8","Abrir facsímil")</f>
        <v>Abrir facsímil</v>
      </c>
      <c r="K2569" s="3" t="s">
        <v>64</v>
      </c>
    </row>
    <row r="2570" spans="1:11" ht="42" customHeight="1">
      <c r="A2570" s="2" t="s">
        <v>5995</v>
      </c>
      <c r="B2570" s="2" t="s">
        <v>5996</v>
      </c>
      <c r="C2570" s="2" t="s">
        <v>45</v>
      </c>
      <c r="D2570" s="2" t="s">
        <v>18</v>
      </c>
      <c r="E2570" s="5">
        <v>-31140</v>
      </c>
      <c r="F2570" s="3" t="s">
        <v>525</v>
      </c>
      <c r="G2570" s="3" t="s">
        <v>99</v>
      </c>
      <c r="H2570" s="2" t="s">
        <v>62</v>
      </c>
      <c r="I2570" s="2" t="s">
        <v>5997</v>
      </c>
      <c r="J2570" s="3" t="str">
        <f>HYPERLINK("https://www.boe.es/gazeta/dias/1814/09/27/pdfs/GMD-1814-131.pdf#page=5","Abrir facsímil")</f>
        <v>Abrir facsímil</v>
      </c>
      <c r="K2570" s="3" t="s">
        <v>64</v>
      </c>
    </row>
    <row r="2571" spans="1:11" ht="42" customHeight="1">
      <c r="A2571" s="2" t="s">
        <v>5998</v>
      </c>
      <c r="B2571" s="2" t="s">
        <v>5999</v>
      </c>
      <c r="C2571" s="2" t="s">
        <v>38</v>
      </c>
      <c r="D2571" s="2" t="s">
        <v>39</v>
      </c>
      <c r="E2571" s="5">
        <v>-31292</v>
      </c>
      <c r="F2571" s="3" t="s">
        <v>557</v>
      </c>
      <c r="G2571" s="3" t="s">
        <v>4624</v>
      </c>
      <c r="H2571" s="2" t="s">
        <v>62</v>
      </c>
      <c r="I2571" s="2" t="s">
        <v>6000</v>
      </c>
      <c r="J2571" s="3" t="str">
        <f>HYPERLINK("https://www.boe.es/gazeta/dias/1814/04/28/pdfs/GRE-1814-63.pdf#page=6","Abrir facsímil")</f>
        <v>Abrir facsímil</v>
      </c>
      <c r="K2571" s="3" t="s">
        <v>64</v>
      </c>
    </row>
    <row r="2572" spans="1:11" ht="42" customHeight="1">
      <c r="A2572" s="2" t="s">
        <v>5998</v>
      </c>
      <c r="B2572" s="2" t="s">
        <v>5999</v>
      </c>
      <c r="C2572" s="2" t="s">
        <v>38</v>
      </c>
      <c r="D2572" s="2" t="s">
        <v>39</v>
      </c>
      <c r="E2572" s="5">
        <v>-31290</v>
      </c>
      <c r="F2572" s="3" t="s">
        <v>488</v>
      </c>
      <c r="G2572" s="3" t="s">
        <v>99</v>
      </c>
      <c r="H2572" s="2" t="s">
        <v>62</v>
      </c>
      <c r="I2572" s="2" t="s">
        <v>6001</v>
      </c>
      <c r="J2572" s="3" t="str">
        <f>HYPERLINK("https://www.boe.es/gazeta/dias/1814/04/30/pdfs/GRE-1814-64.pdf#page=5","Abrir facsímil")</f>
        <v>Abrir facsímil</v>
      </c>
      <c r="K2572" s="3" t="s">
        <v>64</v>
      </c>
    </row>
    <row r="2573" spans="1:11" ht="42" customHeight="1">
      <c r="A2573" s="2" t="s">
        <v>5998</v>
      </c>
      <c r="B2573" s="2" t="s">
        <v>5999</v>
      </c>
      <c r="C2573" s="2" t="s">
        <v>38</v>
      </c>
      <c r="D2573" s="2" t="s">
        <v>39</v>
      </c>
      <c r="E2573" s="5">
        <v>-31287</v>
      </c>
      <c r="F2573" s="3" t="s">
        <v>491</v>
      </c>
      <c r="G2573" s="3" t="s">
        <v>20</v>
      </c>
      <c r="H2573" s="2" t="s">
        <v>62</v>
      </c>
      <c r="I2573" s="2" t="s">
        <v>6002</v>
      </c>
      <c r="J2573" s="3" t="str">
        <f>HYPERLINK("https://www.boe.es/gazeta/dias/1814/05/03/pdfs/GRE-1814-65.pdf#page=7","Abrir facsímil")</f>
        <v>Abrir facsímil</v>
      </c>
      <c r="K2573" s="3" t="s">
        <v>64</v>
      </c>
    </row>
    <row r="2574" spans="1:11" ht="42" customHeight="1">
      <c r="A2574" s="2" t="s">
        <v>6003</v>
      </c>
      <c r="B2574" s="2" t="s">
        <v>6004</v>
      </c>
      <c r="C2574" s="2" t="s">
        <v>17</v>
      </c>
      <c r="D2574" s="2" t="s">
        <v>18</v>
      </c>
      <c r="E2574" s="5">
        <v>-31283</v>
      </c>
      <c r="F2574" s="3" t="s">
        <v>701</v>
      </c>
      <c r="G2574" s="3" t="s">
        <v>57</v>
      </c>
      <c r="H2574" s="2" t="s">
        <v>62</v>
      </c>
      <c r="I2574" s="2" t="s">
        <v>6005</v>
      </c>
      <c r="J2574" s="3" t="str">
        <f>HYPERLINK("https://www.boe.es/gazeta/dias/1814/05/07/pdfs/GRE-1814-67.pdf#page=6","Abrir facsímil")</f>
        <v>Abrir facsímil</v>
      </c>
      <c r="K2574" s="3" t="s">
        <v>64</v>
      </c>
    </row>
    <row r="2575" spans="1:11" ht="42" customHeight="1">
      <c r="A2575" s="2" t="s">
        <v>6006</v>
      </c>
      <c r="B2575" s="2" t="s">
        <v>6006</v>
      </c>
      <c r="C2575" s="2" t="s">
        <v>38</v>
      </c>
      <c r="D2575" s="2" t="s">
        <v>39</v>
      </c>
      <c r="E2575" s="5">
        <v>-31341</v>
      </c>
      <c r="F2575" s="3" t="s">
        <v>360</v>
      </c>
      <c r="G2575" s="3" t="s">
        <v>41</v>
      </c>
      <c r="H2575" s="2" t="s">
        <v>62</v>
      </c>
      <c r="I2575" s="2" t="s">
        <v>6007</v>
      </c>
      <c r="J2575" s="3" t="str">
        <f>HYPERLINK("https://www.boe.es/gazeta/dias/1814/03/10/pdfs/GRE-1814-33.pdf#page=4","Abrir facsímil")</f>
        <v>Abrir facsímil</v>
      </c>
      <c r="K2575" s="3" t="s">
        <v>64</v>
      </c>
    </row>
    <row r="2576" spans="1:11" ht="42" customHeight="1">
      <c r="A2576" s="2" t="s">
        <v>6008</v>
      </c>
      <c r="B2576" s="2" t="s">
        <v>6009</v>
      </c>
      <c r="C2576" s="2" t="s">
        <v>38</v>
      </c>
      <c r="D2576" s="2" t="s">
        <v>39</v>
      </c>
      <c r="E2576" s="5">
        <v>-31054</v>
      </c>
      <c r="F2576" s="3" t="s">
        <v>952</v>
      </c>
      <c r="G2576" s="3" t="s">
        <v>20</v>
      </c>
      <c r="H2576" s="2" t="s">
        <v>62</v>
      </c>
      <c r="I2576" s="2" t="s">
        <v>6010</v>
      </c>
      <c r="J2576" s="3" t="str">
        <f>HYPERLINK("https://www.boe.es/gazeta/dias/1814/12/22/pdfs/GMD-1814-169.pdf#page=7","Abrir facsímil")</f>
        <v>Abrir facsímil</v>
      </c>
      <c r="K2576" s="3" t="s">
        <v>64</v>
      </c>
    </row>
    <row r="2577" spans="1:11" ht="42" customHeight="1">
      <c r="A2577" s="2" t="s">
        <v>6011</v>
      </c>
      <c r="B2577" s="2" t="s">
        <v>6011</v>
      </c>
      <c r="C2577" s="2" t="s">
        <v>38</v>
      </c>
      <c r="D2577" s="2" t="s">
        <v>39</v>
      </c>
      <c r="E2577" s="5">
        <v>-31320</v>
      </c>
      <c r="F2577" s="3" t="s">
        <v>40</v>
      </c>
      <c r="G2577" s="3" t="s">
        <v>87</v>
      </c>
      <c r="H2577" s="2" t="s">
        <v>62</v>
      </c>
      <c r="I2577" s="2" t="s">
        <v>6012</v>
      </c>
      <c r="J2577" s="3" t="str">
        <f>HYPERLINK("https://www.boe.es/gazeta/dias/1814/03/31/pdfs/GRE-1814-46.pdf#page=2","Abrir facsímil")</f>
        <v>Abrir facsímil</v>
      </c>
      <c r="K2577" s="3" t="s">
        <v>64</v>
      </c>
    </row>
    <row r="2578" spans="1:11" ht="42" customHeight="1">
      <c r="A2578" s="2" t="s">
        <v>6013</v>
      </c>
      <c r="B2578" s="2" t="s">
        <v>6014</v>
      </c>
      <c r="C2578" s="2" t="s">
        <v>38</v>
      </c>
      <c r="D2578" s="2" t="s">
        <v>39</v>
      </c>
      <c r="E2578" s="5">
        <v>-31108</v>
      </c>
      <c r="F2578" s="3" t="s">
        <v>528</v>
      </c>
      <c r="G2578" s="3" t="s">
        <v>529</v>
      </c>
      <c r="H2578" s="2" t="s">
        <v>62</v>
      </c>
      <c r="I2578" s="2" t="s">
        <v>6015</v>
      </c>
      <c r="J2578" s="3" t="str">
        <f>HYPERLINK("https://www.boe.es/gazeta/dias/1814/10/29/pdfs/GMD-1814-145.pdf#page=2","Abrir facsímil")</f>
        <v>Abrir facsímil</v>
      </c>
      <c r="K2578" s="3" t="s">
        <v>64</v>
      </c>
    </row>
    <row r="2579" spans="1:11" ht="42" customHeight="1">
      <c r="A2579" s="2" t="s">
        <v>6016</v>
      </c>
      <c r="B2579" s="2" t="s">
        <v>6017</v>
      </c>
      <c r="C2579" s="2" t="s">
        <v>38</v>
      </c>
      <c r="D2579" s="2" t="s">
        <v>39</v>
      </c>
      <c r="E2579" s="5">
        <v>-31376</v>
      </c>
      <c r="F2579" s="3" t="s">
        <v>1954</v>
      </c>
      <c r="G2579" s="3" t="s">
        <v>6018</v>
      </c>
      <c r="H2579" s="2" t="s">
        <v>62</v>
      </c>
      <c r="I2579" s="2" t="s">
        <v>6019</v>
      </c>
      <c r="J2579" s="3" t="str">
        <f>HYPERLINK("https://www.boe.es/gazeta/dias/1814/02/03/pdfs/GRE-1814-16.pdf#page=4","Abrir facsímil")</f>
        <v>Abrir facsímil</v>
      </c>
      <c r="K2579" s="3" t="s">
        <v>64</v>
      </c>
    </row>
    <row r="2580" spans="1:11" ht="42" customHeight="1">
      <c r="A2580" s="2" t="s">
        <v>6020</v>
      </c>
      <c r="B2580" s="2" t="s">
        <v>6021</v>
      </c>
      <c r="C2580" s="2" t="s">
        <v>38</v>
      </c>
      <c r="D2580" s="2" t="s">
        <v>39</v>
      </c>
      <c r="E2580" s="5">
        <v>-31103</v>
      </c>
      <c r="F2580" s="3" t="s">
        <v>1260</v>
      </c>
      <c r="G2580" s="3" t="s">
        <v>82</v>
      </c>
      <c r="H2580" s="2" t="s">
        <v>62</v>
      </c>
      <c r="I2580" s="2" t="s">
        <v>6022</v>
      </c>
      <c r="J2580" s="3" t="str">
        <f>HYPERLINK("https://www.boe.es/gazeta/dias/1814/11/03/pdfs/GMD-1814-147.pdf#page=3","Abrir facsímil")</f>
        <v>Abrir facsímil</v>
      </c>
      <c r="K2580" s="3" t="s">
        <v>64</v>
      </c>
    </row>
    <row r="2581" spans="1:11" ht="42" customHeight="1">
      <c r="A2581" s="2" t="s">
        <v>6023</v>
      </c>
      <c r="B2581" s="2" t="s">
        <v>6023</v>
      </c>
      <c r="C2581" s="2" t="s">
        <v>26</v>
      </c>
      <c r="D2581" s="2" t="s">
        <v>27</v>
      </c>
      <c r="E2581" s="5">
        <v>-31178</v>
      </c>
      <c r="F2581" s="3" t="s">
        <v>1390</v>
      </c>
      <c r="G2581" s="3" t="s">
        <v>82</v>
      </c>
      <c r="H2581" s="2" t="s">
        <v>62</v>
      </c>
      <c r="I2581" s="2" t="s">
        <v>6024</v>
      </c>
      <c r="J2581" s="3" t="str">
        <f>HYPERLINK("https://www.boe.es/gazeta/dias/1814/08/20/pdfs/GMD-1814-114.pdf#page=3","Abrir facsímil")</f>
        <v>Abrir facsímil</v>
      </c>
      <c r="K2581" s="3" t="s">
        <v>64</v>
      </c>
    </row>
    <row r="2582" spans="1:11" ht="42" customHeight="1">
      <c r="A2582" s="2" t="s">
        <v>6025</v>
      </c>
      <c r="B2582" s="2" t="s">
        <v>6026</v>
      </c>
      <c r="C2582" s="2" t="s">
        <v>38</v>
      </c>
      <c r="D2582" s="2" t="s">
        <v>39</v>
      </c>
      <c r="E2582" s="5">
        <v>-31350</v>
      </c>
      <c r="F2582" s="3" t="s">
        <v>377</v>
      </c>
      <c r="G2582" s="3" t="s">
        <v>20</v>
      </c>
      <c r="H2582" s="2" t="s">
        <v>62</v>
      </c>
      <c r="I2582" s="2" t="s">
        <v>6027</v>
      </c>
      <c r="J2582" s="3" t="str">
        <f>HYPERLINK("https://www.boe.es/gazeta/dias/1814/03/01/pdfs/GRE-1814-28.pdf#page=7","Abrir facsímil")</f>
        <v>Abrir facsímil</v>
      </c>
      <c r="K2582" s="3" t="s">
        <v>64</v>
      </c>
    </row>
    <row r="2583" spans="1:11" ht="42" customHeight="1">
      <c r="A2583" s="2" t="s">
        <v>6028</v>
      </c>
      <c r="B2583" s="2" t="s">
        <v>6029</v>
      </c>
      <c r="C2583" s="2" t="s">
        <v>26</v>
      </c>
      <c r="D2583" s="2" t="s">
        <v>27</v>
      </c>
      <c r="E2583" s="5">
        <v>-31269</v>
      </c>
      <c r="F2583" s="3" t="s">
        <v>496</v>
      </c>
      <c r="G2583" s="3" t="s">
        <v>41</v>
      </c>
      <c r="H2583" s="2" t="s">
        <v>62</v>
      </c>
      <c r="I2583" s="2" t="s">
        <v>6030</v>
      </c>
      <c r="J2583" s="3" t="str">
        <f>HYPERLINK("https://www.boe.es/gazeta/dias/1814/05/21/pdfs/GMD-1814-75.pdf#page=4","Abrir facsímil")</f>
        <v>Abrir facsímil</v>
      </c>
      <c r="K2583" s="3" t="s">
        <v>64</v>
      </c>
    </row>
    <row r="2584" spans="1:11" ht="42" customHeight="1">
      <c r="A2584" s="2" t="s">
        <v>6031</v>
      </c>
      <c r="B2584" s="2" t="s">
        <v>6032</v>
      </c>
      <c r="C2584" s="2" t="s">
        <v>26</v>
      </c>
      <c r="D2584" s="2" t="s">
        <v>27</v>
      </c>
      <c r="E2584" s="5">
        <v>-31168</v>
      </c>
      <c r="F2584" s="3" t="s">
        <v>893</v>
      </c>
      <c r="G2584" s="3" t="s">
        <v>20</v>
      </c>
      <c r="H2584" s="2" t="s">
        <v>62</v>
      </c>
      <c r="I2584" s="2" t="s">
        <v>6033</v>
      </c>
      <c r="J2584" s="3" t="str">
        <f>HYPERLINK("https://www.boe.es/gazeta/dias/1814/08/30/pdfs/GMD-1814-118.pdf#page=7","Abrir facsímil")</f>
        <v>Abrir facsímil</v>
      </c>
      <c r="K2584" s="3" t="s">
        <v>64</v>
      </c>
    </row>
    <row r="2585" spans="1:11" ht="42" customHeight="1">
      <c r="A2585" s="2" t="s">
        <v>6034</v>
      </c>
      <c r="B2585" s="2" t="s">
        <v>6035</v>
      </c>
      <c r="C2585" s="2" t="s">
        <v>32</v>
      </c>
      <c r="D2585" s="2" t="s">
        <v>18</v>
      </c>
      <c r="E2585" s="5">
        <v>-31089</v>
      </c>
      <c r="F2585" s="3" t="s">
        <v>531</v>
      </c>
      <c r="G2585" s="3" t="s">
        <v>794</v>
      </c>
      <c r="H2585" s="2" t="s">
        <v>62</v>
      </c>
      <c r="I2585" s="2" t="s">
        <v>6036</v>
      </c>
      <c r="J2585" s="3" t="str">
        <f>HYPERLINK("https://www.boe.es/gazeta/dias/1814/11/17/pdfs/GMD-1814-153.pdf#page=8","Abrir facsímil")</f>
        <v>Abrir facsímil</v>
      </c>
      <c r="K2585" s="3" t="s">
        <v>64</v>
      </c>
    </row>
    <row r="2586" spans="1:11" ht="42" customHeight="1">
      <c r="A2586" s="2" t="s">
        <v>6037</v>
      </c>
      <c r="B2586" s="2" t="s">
        <v>6038</v>
      </c>
      <c r="C2586" s="2" t="s">
        <v>26</v>
      </c>
      <c r="D2586" s="2" t="s">
        <v>27</v>
      </c>
      <c r="E2586" s="5">
        <v>-31269</v>
      </c>
      <c r="F2586" s="3" t="s">
        <v>496</v>
      </c>
      <c r="G2586" s="3" t="s">
        <v>6039</v>
      </c>
      <c r="H2586" s="2" t="s">
        <v>62</v>
      </c>
      <c r="I2586" s="2" t="s">
        <v>6040</v>
      </c>
      <c r="J2586" s="3" t="str">
        <f>HYPERLINK("https://www.boe.es/gazeta/dias/1814/05/21/pdfs/GMD-1814-75.pdf#page=6","Abrir facsímil")</f>
        <v>Abrir facsímil</v>
      </c>
      <c r="K2586" s="3" t="s">
        <v>64</v>
      </c>
    </row>
    <row r="2587" spans="1:11" ht="42" customHeight="1">
      <c r="A2587" s="2" t="s">
        <v>6041</v>
      </c>
      <c r="B2587" s="2" t="s">
        <v>6042</v>
      </c>
      <c r="C2587" s="2" t="s">
        <v>38</v>
      </c>
      <c r="D2587" s="2" t="s">
        <v>314</v>
      </c>
      <c r="E2587" s="5">
        <v>-31296</v>
      </c>
      <c r="F2587" s="3" t="s">
        <v>315</v>
      </c>
      <c r="G2587" s="3" t="s">
        <v>52</v>
      </c>
      <c r="H2587" s="2" t="s">
        <v>62</v>
      </c>
      <c r="I2587" s="2" t="s">
        <v>6043</v>
      </c>
      <c r="J2587" s="3" t="str">
        <f>HYPERLINK("https://www.boe.es/gazeta/dias/1814/04/24/pdfs/GRE-1814-60E.pdf#page=8","Abrir facsímil")</f>
        <v>Abrir facsímil</v>
      </c>
      <c r="K2587" s="3" t="s">
        <v>64</v>
      </c>
    </row>
    <row r="2588" spans="1:11" ht="42" customHeight="1">
      <c r="A2588" s="2" t="s">
        <v>6044</v>
      </c>
      <c r="B2588" s="2" t="s">
        <v>6044</v>
      </c>
      <c r="C2588" s="2" t="s">
        <v>38</v>
      </c>
      <c r="D2588" s="2" t="s">
        <v>39</v>
      </c>
      <c r="E2588" s="5">
        <v>-31362</v>
      </c>
      <c r="F2588" s="3" t="s">
        <v>302</v>
      </c>
      <c r="G2588" s="3" t="s">
        <v>82</v>
      </c>
      <c r="H2588" s="2" t="s">
        <v>62</v>
      </c>
      <c r="I2588" s="2" t="s">
        <v>6045</v>
      </c>
      <c r="J2588" s="3" t="str">
        <f>HYPERLINK("https://www.boe.es/gazeta/dias/1814/02/17/pdfs/GRE-1814-22.pdf#page=3","Abrir facsímil")</f>
        <v>Abrir facsímil</v>
      </c>
      <c r="K2588" s="3" t="s">
        <v>64</v>
      </c>
    </row>
    <row r="2589" spans="1:11" ht="42" customHeight="1">
      <c r="A2589" s="2" t="s">
        <v>6046</v>
      </c>
      <c r="B2589" s="2" t="s">
        <v>6046</v>
      </c>
      <c r="C2589" s="2" t="s">
        <v>38</v>
      </c>
      <c r="D2589" s="2" t="s">
        <v>39</v>
      </c>
      <c r="E2589" s="5">
        <v>-31313</v>
      </c>
      <c r="F2589" s="3" t="s">
        <v>239</v>
      </c>
      <c r="G2589" s="3" t="s">
        <v>20</v>
      </c>
      <c r="H2589" s="2" t="s">
        <v>62</v>
      </c>
      <c r="I2589" s="2" t="s">
        <v>6047</v>
      </c>
      <c r="J2589" s="3" t="str">
        <f>HYPERLINK("https://www.boe.es/gazeta/dias/1814/04/07/pdfs/GRE-1814-50.pdf#page=7","Abrir facsímil")</f>
        <v>Abrir facsímil</v>
      </c>
      <c r="K2589" s="3" t="s">
        <v>64</v>
      </c>
    </row>
    <row r="2590" spans="1:11" ht="42" customHeight="1">
      <c r="A2590" s="2" t="s">
        <v>6046</v>
      </c>
      <c r="B2590" s="2" t="s">
        <v>6046</v>
      </c>
      <c r="C2590" s="2" t="s">
        <v>38</v>
      </c>
      <c r="D2590" s="2" t="s">
        <v>39</v>
      </c>
      <c r="E2590" s="5">
        <v>-31248</v>
      </c>
      <c r="F2590" s="3" t="s">
        <v>1123</v>
      </c>
      <c r="G2590" s="3" t="s">
        <v>82</v>
      </c>
      <c r="H2590" s="2" t="s">
        <v>62</v>
      </c>
      <c r="I2590" s="2" t="s">
        <v>6048</v>
      </c>
      <c r="J2590" s="3" t="str">
        <f>HYPERLINK("https://www.boe.es/gazeta/dias/1814/06/11/pdfs/GMD-1814-84.pdf#page=3","Abrir facsímil")</f>
        <v>Abrir facsímil</v>
      </c>
      <c r="K2590" s="3" t="s">
        <v>64</v>
      </c>
    </row>
    <row r="2591" spans="1:11" ht="42" customHeight="1">
      <c r="A2591" s="2" t="s">
        <v>6049</v>
      </c>
      <c r="B2591" s="2" t="s">
        <v>6049</v>
      </c>
      <c r="C2591" s="2" t="s">
        <v>38</v>
      </c>
      <c r="D2591" s="2" t="s">
        <v>39</v>
      </c>
      <c r="E2591" s="5">
        <v>-31304</v>
      </c>
      <c r="F2591" s="3" t="s">
        <v>1964</v>
      </c>
      <c r="G2591" s="3" t="s">
        <v>82</v>
      </c>
      <c r="H2591" s="2" t="s">
        <v>62</v>
      </c>
      <c r="I2591" s="2" t="s">
        <v>6050</v>
      </c>
      <c r="J2591" s="3" t="str">
        <f>HYPERLINK("https://www.boe.es/gazeta/dias/1814/04/16/pdfs/GRE-1814-55.pdf#page=3","Abrir facsímil")</f>
        <v>Abrir facsímil</v>
      </c>
      <c r="K2591" s="3" t="s">
        <v>64</v>
      </c>
    </row>
    <row r="2592" spans="1:11" ht="42" customHeight="1">
      <c r="A2592" s="2" t="s">
        <v>6051</v>
      </c>
      <c r="B2592" s="2" t="s">
        <v>6051</v>
      </c>
      <c r="C2592" s="2" t="s">
        <v>38</v>
      </c>
      <c r="D2592" s="2" t="s">
        <v>39</v>
      </c>
      <c r="E2592" s="5">
        <v>-31334</v>
      </c>
      <c r="F2592" s="3" t="s">
        <v>482</v>
      </c>
      <c r="G2592" s="3" t="s">
        <v>2020</v>
      </c>
      <c r="H2592" s="2" t="s">
        <v>62</v>
      </c>
      <c r="I2592" s="2" t="s">
        <v>6052</v>
      </c>
      <c r="J2592" s="3" t="str">
        <f>HYPERLINK("https://www.boe.es/gazeta/dias/1814/03/17/pdfs/GRE-1814-37.pdf#page=4","Abrir facsímil")</f>
        <v>Abrir facsímil</v>
      </c>
      <c r="K2592" s="3" t="s">
        <v>64</v>
      </c>
    </row>
    <row r="2593" spans="1:11" ht="42" customHeight="1">
      <c r="A2593" s="2" t="s">
        <v>6053</v>
      </c>
      <c r="B2593" s="2" t="s">
        <v>6053</v>
      </c>
      <c r="C2593" s="2" t="s">
        <v>38</v>
      </c>
      <c r="D2593" s="2" t="s">
        <v>39</v>
      </c>
      <c r="E2593" s="5">
        <v>-31404</v>
      </c>
      <c r="F2593" s="3" t="s">
        <v>630</v>
      </c>
      <c r="G2593" s="3" t="s">
        <v>57</v>
      </c>
      <c r="H2593" s="2" t="s">
        <v>62</v>
      </c>
      <c r="I2593" s="2" t="s">
        <v>6054</v>
      </c>
      <c r="J2593" s="3" t="str">
        <f>HYPERLINK("https://www.boe.es/gazeta/dias/1814/01/06/pdfs/GRE-1814-3.pdf#page=6","Abrir facsímil")</f>
        <v>Abrir facsímil</v>
      </c>
      <c r="K2593" s="3" t="s">
        <v>64</v>
      </c>
    </row>
    <row r="2594" spans="1:11" ht="42" customHeight="1">
      <c r="A2594" s="2" t="s">
        <v>6053</v>
      </c>
      <c r="B2594" s="2" t="s">
        <v>6053</v>
      </c>
      <c r="C2594" s="2" t="s">
        <v>38</v>
      </c>
      <c r="D2594" s="2" t="s">
        <v>39</v>
      </c>
      <c r="E2594" s="5">
        <v>-31390</v>
      </c>
      <c r="F2594" s="3" t="s">
        <v>349</v>
      </c>
      <c r="G2594" s="3" t="s">
        <v>4295</v>
      </c>
      <c r="H2594" s="2" t="s">
        <v>62</v>
      </c>
      <c r="I2594" s="2" t="s">
        <v>6055</v>
      </c>
      <c r="J2594" s="3" t="str">
        <f>HYPERLINK("https://www.boe.es/gazeta/dias/1814/01/20/pdfs/GRE-1814-10.pdf#page=6","Abrir facsímil")</f>
        <v>Abrir facsímil</v>
      </c>
      <c r="K2594" s="3" t="s">
        <v>64</v>
      </c>
    </row>
    <row r="2595" spans="1:11" ht="42" customHeight="1">
      <c r="A2595" s="2" t="s">
        <v>6053</v>
      </c>
      <c r="B2595" s="2" t="s">
        <v>6053</v>
      </c>
      <c r="C2595" s="2" t="s">
        <v>38</v>
      </c>
      <c r="D2595" s="2" t="s">
        <v>39</v>
      </c>
      <c r="E2595" s="5">
        <v>-31353</v>
      </c>
      <c r="F2595" s="3" t="s">
        <v>247</v>
      </c>
      <c r="G2595" s="3" t="s">
        <v>20</v>
      </c>
      <c r="H2595" s="2" t="s">
        <v>62</v>
      </c>
      <c r="I2595" s="2" t="s">
        <v>6056</v>
      </c>
      <c r="J2595" s="3" t="str">
        <f>HYPERLINK("https://www.boe.es/gazeta/dias/1814/02/26/pdfs/GRE-1814-27.pdf#page=7","Abrir facsímil")</f>
        <v>Abrir facsímil</v>
      </c>
      <c r="K2595" s="3" t="s">
        <v>64</v>
      </c>
    </row>
    <row r="2596" spans="1:11" ht="42" customHeight="1">
      <c r="A2596" s="2" t="s">
        <v>6053</v>
      </c>
      <c r="B2596" s="2" t="s">
        <v>6053</v>
      </c>
      <c r="C2596" s="2" t="s">
        <v>38</v>
      </c>
      <c r="D2596" s="2" t="s">
        <v>39</v>
      </c>
      <c r="E2596" s="5">
        <v>-31350</v>
      </c>
      <c r="F2596" s="3" t="s">
        <v>377</v>
      </c>
      <c r="G2596" s="3" t="s">
        <v>20</v>
      </c>
      <c r="H2596" s="2" t="s">
        <v>62</v>
      </c>
      <c r="I2596" s="2" t="s">
        <v>6057</v>
      </c>
      <c r="J2596" s="3" t="str">
        <f>HYPERLINK("https://www.boe.es/gazeta/dias/1814/03/01/pdfs/GRE-1814-28.pdf#page=7","Abrir facsímil")</f>
        <v>Abrir facsímil</v>
      </c>
      <c r="K2596" s="3" t="s">
        <v>64</v>
      </c>
    </row>
    <row r="2597" spans="1:11" ht="42" customHeight="1">
      <c r="A2597" s="2" t="s">
        <v>6053</v>
      </c>
      <c r="B2597" s="2" t="s">
        <v>6053</v>
      </c>
      <c r="C2597" s="2" t="s">
        <v>38</v>
      </c>
      <c r="D2597" s="2" t="s">
        <v>39</v>
      </c>
      <c r="E2597" s="5">
        <v>-31350</v>
      </c>
      <c r="F2597" s="3" t="s">
        <v>377</v>
      </c>
      <c r="G2597" s="3" t="s">
        <v>52</v>
      </c>
      <c r="H2597" s="2" t="s">
        <v>62</v>
      </c>
      <c r="I2597" s="2" t="s">
        <v>6058</v>
      </c>
      <c r="J2597" s="3" t="str">
        <f>HYPERLINK("https://www.boe.es/gazeta/dias/1814/03/01/pdfs/GRE-1814-28.pdf#page=8","Abrir facsímil")</f>
        <v>Abrir facsímil</v>
      </c>
      <c r="K2597" s="3" t="s">
        <v>64</v>
      </c>
    </row>
    <row r="2598" spans="1:11" ht="42" customHeight="1">
      <c r="A2598" s="2" t="s">
        <v>6053</v>
      </c>
      <c r="B2598" s="2" t="s">
        <v>6053</v>
      </c>
      <c r="C2598" s="2" t="s">
        <v>38</v>
      </c>
      <c r="D2598" s="2" t="s">
        <v>39</v>
      </c>
      <c r="E2598" s="5">
        <v>-31346</v>
      </c>
      <c r="F2598" s="3" t="s">
        <v>78</v>
      </c>
      <c r="G2598" s="3" t="s">
        <v>20</v>
      </c>
      <c r="H2598" s="2" t="s">
        <v>62</v>
      </c>
      <c r="I2598" s="2" t="s">
        <v>6059</v>
      </c>
      <c r="J2598" s="3" t="str">
        <f>HYPERLINK("https://www.boe.es/gazeta/dias/1814/03/05/pdfs/GRE-1814-30.pdf#page=7","Abrir facsímil")</f>
        <v>Abrir facsímil</v>
      </c>
      <c r="K2598" s="3" t="s">
        <v>64</v>
      </c>
    </row>
    <row r="2599" spans="1:11" ht="42" customHeight="1">
      <c r="A2599" s="2" t="s">
        <v>6060</v>
      </c>
      <c r="B2599" s="2" t="s">
        <v>6060</v>
      </c>
      <c r="C2599" s="2" t="s">
        <v>38</v>
      </c>
      <c r="D2599" s="2" t="s">
        <v>314</v>
      </c>
      <c r="E2599" s="5">
        <v>-31341</v>
      </c>
      <c r="F2599" s="3" t="s">
        <v>354</v>
      </c>
      <c r="G2599" s="3" t="s">
        <v>87</v>
      </c>
      <c r="H2599" s="2" t="s">
        <v>62</v>
      </c>
      <c r="I2599" s="2" t="s">
        <v>6061</v>
      </c>
      <c r="J2599" s="3" t="str">
        <f>HYPERLINK("https://www.boe.es/gazeta/dias/1814/03/10/pdfs/GRE-1814-34E.pdf#page=2","Abrir facsímil")</f>
        <v>Abrir facsímil</v>
      </c>
      <c r="K2599" s="3" t="s">
        <v>64</v>
      </c>
    </row>
    <row r="2600" spans="1:11" ht="42" customHeight="1">
      <c r="A2600" s="2" t="s">
        <v>6053</v>
      </c>
      <c r="B2600" s="2" t="s">
        <v>6053</v>
      </c>
      <c r="C2600" s="2" t="s">
        <v>38</v>
      </c>
      <c r="D2600" s="2" t="s">
        <v>314</v>
      </c>
      <c r="E2600" s="5">
        <v>-31341</v>
      </c>
      <c r="F2600" s="3" t="s">
        <v>354</v>
      </c>
      <c r="G2600" s="3" t="s">
        <v>82</v>
      </c>
      <c r="H2600" s="2" t="s">
        <v>62</v>
      </c>
      <c r="I2600" s="2" t="s">
        <v>6062</v>
      </c>
      <c r="J2600" s="3" t="str">
        <f>HYPERLINK("https://www.boe.es/gazeta/dias/1814/03/10/pdfs/GRE-1814-34E.pdf#page=3","Abrir facsímil")</f>
        <v>Abrir facsímil</v>
      </c>
      <c r="K2600" s="3" t="s">
        <v>64</v>
      </c>
    </row>
    <row r="2601" spans="1:11" ht="42" customHeight="1">
      <c r="A2601" s="2" t="s">
        <v>6053</v>
      </c>
      <c r="B2601" s="2" t="s">
        <v>6053</v>
      </c>
      <c r="C2601" s="2" t="s">
        <v>38</v>
      </c>
      <c r="D2601" s="2" t="s">
        <v>314</v>
      </c>
      <c r="E2601" s="5">
        <v>-31341</v>
      </c>
      <c r="F2601" s="3" t="s">
        <v>354</v>
      </c>
      <c r="G2601" s="3" t="s">
        <v>57</v>
      </c>
      <c r="H2601" s="2" t="s">
        <v>62</v>
      </c>
      <c r="I2601" s="2" t="s">
        <v>6063</v>
      </c>
      <c r="J2601" s="3" t="str">
        <f>HYPERLINK("https://www.boe.es/gazeta/dias/1814/03/10/pdfs/GRE-1814-34E.pdf#page=6","Abrir facsímil")</f>
        <v>Abrir facsímil</v>
      </c>
      <c r="K2601" s="3" t="s">
        <v>64</v>
      </c>
    </row>
    <row r="2602" spans="1:11" ht="42" customHeight="1">
      <c r="A2602" s="2" t="s">
        <v>6053</v>
      </c>
      <c r="B2602" s="2" t="s">
        <v>6053</v>
      </c>
      <c r="C2602" s="2" t="s">
        <v>38</v>
      </c>
      <c r="D2602" s="2" t="s">
        <v>314</v>
      </c>
      <c r="E2602" s="5">
        <v>-31328</v>
      </c>
      <c r="F2602" s="3" t="s">
        <v>442</v>
      </c>
      <c r="G2602" s="3" t="s">
        <v>52</v>
      </c>
      <c r="H2602" s="2" t="s">
        <v>62</v>
      </c>
      <c r="I2602" s="2" t="s">
        <v>6064</v>
      </c>
      <c r="J2602" s="3" t="str">
        <f>HYPERLINK("https://www.boe.es/gazeta/dias/1814/03/23/pdfs/GRE-1814-40E.pdf#page=8","Abrir facsímil")</f>
        <v>Abrir facsímil</v>
      </c>
      <c r="K2602" s="3" t="s">
        <v>64</v>
      </c>
    </row>
    <row r="2603" spans="1:11" ht="42" customHeight="1">
      <c r="A2603" s="2" t="s">
        <v>6065</v>
      </c>
      <c r="B2603" s="2" t="s">
        <v>6065</v>
      </c>
      <c r="C2603" s="2" t="s">
        <v>38</v>
      </c>
      <c r="D2603" s="2" t="s">
        <v>39</v>
      </c>
      <c r="E2603" s="5">
        <v>-31313</v>
      </c>
      <c r="F2603" s="3" t="s">
        <v>239</v>
      </c>
      <c r="G2603" s="3" t="s">
        <v>20</v>
      </c>
      <c r="H2603" s="2" t="s">
        <v>62</v>
      </c>
      <c r="I2603" s="2" t="s">
        <v>6066</v>
      </c>
      <c r="J2603" s="3" t="str">
        <f>HYPERLINK("https://www.boe.es/gazeta/dias/1814/04/07/pdfs/GRE-1814-50.pdf#page=7","Abrir facsímil")</f>
        <v>Abrir facsímil</v>
      </c>
      <c r="K2603" s="3" t="s">
        <v>64</v>
      </c>
    </row>
    <row r="2604" spans="1:11" ht="42" customHeight="1">
      <c r="A2604" s="2" t="s">
        <v>6053</v>
      </c>
      <c r="B2604" s="2" t="s">
        <v>6053</v>
      </c>
      <c r="C2604" s="2" t="s">
        <v>38</v>
      </c>
      <c r="D2604" s="2" t="s">
        <v>39</v>
      </c>
      <c r="E2604" s="5">
        <v>-31306</v>
      </c>
      <c r="F2604" s="3" t="s">
        <v>670</v>
      </c>
      <c r="G2604" s="3" t="s">
        <v>20</v>
      </c>
      <c r="H2604" s="2" t="s">
        <v>62</v>
      </c>
      <c r="I2604" s="2" t="s">
        <v>6067</v>
      </c>
      <c r="J2604" s="3" t="str">
        <f>HYPERLINK("https://www.boe.es/gazeta/dias/1814/04/14/pdfs/GRE-1814-53.pdf#page=7","Abrir facsímil")</f>
        <v>Abrir facsímil</v>
      </c>
      <c r="K2604" s="3" t="s">
        <v>64</v>
      </c>
    </row>
    <row r="2605" spans="1:11" ht="42" customHeight="1">
      <c r="A2605" s="2" t="s">
        <v>6053</v>
      </c>
      <c r="B2605" s="2" t="s">
        <v>6053</v>
      </c>
      <c r="C2605" s="2" t="s">
        <v>38</v>
      </c>
      <c r="D2605" s="2" t="s">
        <v>39</v>
      </c>
      <c r="E2605" s="5">
        <v>-31299</v>
      </c>
      <c r="F2605" s="3" t="s">
        <v>71</v>
      </c>
      <c r="G2605" s="3" t="s">
        <v>41</v>
      </c>
      <c r="H2605" s="2" t="s">
        <v>62</v>
      </c>
      <c r="I2605" s="2" t="s">
        <v>6068</v>
      </c>
      <c r="J2605" s="3" t="str">
        <f>HYPERLINK("https://www.boe.es/gazeta/dias/1814/04/21/pdfs/GRE-1814-57.pdf#page=4","Abrir facsímil")</f>
        <v>Abrir facsímil</v>
      </c>
      <c r="K2605" s="3" t="s">
        <v>64</v>
      </c>
    </row>
    <row r="2606" spans="1:11" ht="42" customHeight="1">
      <c r="A2606" s="2" t="s">
        <v>6053</v>
      </c>
      <c r="B2606" s="2" t="s">
        <v>6053</v>
      </c>
      <c r="C2606" s="2" t="s">
        <v>38</v>
      </c>
      <c r="D2606" s="2" t="s">
        <v>39</v>
      </c>
      <c r="E2606" s="5">
        <v>-31222</v>
      </c>
      <c r="F2606" s="3" t="s">
        <v>153</v>
      </c>
      <c r="G2606" s="3" t="s">
        <v>41</v>
      </c>
      <c r="H2606" s="2" t="s">
        <v>62</v>
      </c>
      <c r="I2606" s="2" t="s">
        <v>6069</v>
      </c>
      <c r="J2606" s="3" t="str">
        <f>HYPERLINK("https://www.boe.es/gazeta/dias/1814/07/07/pdfs/GMD-1814-95.pdf#page=4","Abrir facsímil")</f>
        <v>Abrir facsímil</v>
      </c>
      <c r="K2606" s="3" t="s">
        <v>64</v>
      </c>
    </row>
    <row r="2607" spans="1:11" ht="42" customHeight="1">
      <c r="A2607" s="2" t="s">
        <v>6053</v>
      </c>
      <c r="B2607" s="2" t="s">
        <v>6053</v>
      </c>
      <c r="C2607" s="2" t="s">
        <v>38</v>
      </c>
      <c r="D2607" s="2" t="s">
        <v>39</v>
      </c>
      <c r="E2607" s="5">
        <v>-31124</v>
      </c>
      <c r="F2607" s="3" t="s">
        <v>383</v>
      </c>
      <c r="G2607" s="3" t="s">
        <v>87</v>
      </c>
      <c r="H2607" s="2" t="s">
        <v>62</v>
      </c>
      <c r="I2607" s="2" t="s">
        <v>6070</v>
      </c>
      <c r="J2607" s="3" t="str">
        <f>HYPERLINK("https://www.boe.es/gazeta/dias/1814/10/13/pdfs/GMD-1814-138.pdf#page=2","Abrir facsímil")</f>
        <v>Abrir facsímil</v>
      </c>
      <c r="K2607" s="3" t="s">
        <v>64</v>
      </c>
    </row>
    <row r="2608" spans="1:11" ht="42" customHeight="1">
      <c r="A2608" s="2" t="s">
        <v>6053</v>
      </c>
      <c r="B2608" s="2" t="s">
        <v>6053</v>
      </c>
      <c r="C2608" s="2" t="s">
        <v>38</v>
      </c>
      <c r="D2608" s="2" t="s">
        <v>39</v>
      </c>
      <c r="E2608" s="5">
        <v>-31063</v>
      </c>
      <c r="F2608" s="3" t="s">
        <v>649</v>
      </c>
      <c r="G2608" s="3" t="s">
        <v>87</v>
      </c>
      <c r="H2608" s="2" t="s">
        <v>62</v>
      </c>
      <c r="I2608" s="2" t="s">
        <v>6071</v>
      </c>
      <c r="J2608" s="3" t="str">
        <f>HYPERLINK("https://www.boe.es/gazeta/dias/1814/12/13/pdfs/GMD-1814-164.pdf#page=2","Abrir facsímil")</f>
        <v>Abrir facsímil</v>
      </c>
      <c r="K2608" s="3" t="s">
        <v>64</v>
      </c>
    </row>
    <row r="2609" spans="1:11" ht="42" customHeight="1">
      <c r="A2609" s="2" t="s">
        <v>6072</v>
      </c>
      <c r="B2609" s="2" t="s">
        <v>6073</v>
      </c>
      <c r="C2609" s="2" t="s">
        <v>38</v>
      </c>
      <c r="D2609" s="2" t="s">
        <v>39</v>
      </c>
      <c r="E2609" s="5">
        <v>-31350</v>
      </c>
      <c r="F2609" s="3" t="s">
        <v>377</v>
      </c>
      <c r="G2609" s="3" t="s">
        <v>20</v>
      </c>
      <c r="H2609" s="2" t="s">
        <v>62</v>
      </c>
      <c r="I2609" s="2" t="s">
        <v>6074</v>
      </c>
      <c r="J2609" s="3" t="str">
        <f>HYPERLINK("https://www.boe.es/gazeta/dias/1814/03/01/pdfs/GRE-1814-28.pdf#page=7","Abrir facsímil")</f>
        <v>Abrir facsímil</v>
      </c>
      <c r="K2609" s="3" t="s">
        <v>64</v>
      </c>
    </row>
    <row r="2610" spans="1:11" ht="42" customHeight="1">
      <c r="A2610" s="2" t="s">
        <v>6075</v>
      </c>
      <c r="B2610" s="2" t="s">
        <v>6076</v>
      </c>
      <c r="C2610" s="2" t="s">
        <v>38</v>
      </c>
      <c r="D2610" s="2" t="s">
        <v>39</v>
      </c>
      <c r="E2610" s="5">
        <v>-31353</v>
      </c>
      <c r="F2610" s="3" t="s">
        <v>247</v>
      </c>
      <c r="G2610" s="3" t="s">
        <v>20</v>
      </c>
      <c r="H2610" s="2" t="s">
        <v>62</v>
      </c>
      <c r="I2610" s="2" t="s">
        <v>6077</v>
      </c>
      <c r="J2610" s="3" t="str">
        <f>HYPERLINK("https://www.boe.es/gazeta/dias/1814/02/26/pdfs/GRE-1814-27.pdf#page=7","Abrir facsímil")</f>
        <v>Abrir facsímil</v>
      </c>
      <c r="K2610" s="3" t="s">
        <v>64</v>
      </c>
    </row>
    <row r="2611" spans="1:11" ht="42" customHeight="1">
      <c r="A2611" s="2" t="s">
        <v>6078</v>
      </c>
      <c r="B2611" s="2" t="s">
        <v>6078</v>
      </c>
      <c r="C2611" s="2" t="s">
        <v>45</v>
      </c>
      <c r="D2611" s="2" t="s">
        <v>18</v>
      </c>
      <c r="E2611" s="5">
        <v>-31059</v>
      </c>
      <c r="F2611" s="3" t="s">
        <v>263</v>
      </c>
      <c r="G2611" s="3" t="s">
        <v>264</v>
      </c>
      <c r="H2611" s="2" t="s">
        <v>62</v>
      </c>
      <c r="I2611" s="2" t="s">
        <v>6079</v>
      </c>
      <c r="J2611" s="3" t="str">
        <f>HYPERLINK("https://www.boe.es/gazeta/dias/1814/12/17/pdfs/GMD-1814-167.pdf#page=7","Abrir facsímil")</f>
        <v>Abrir facsímil</v>
      </c>
      <c r="K2611" s="3" t="s">
        <v>64</v>
      </c>
    </row>
    <row r="2612" spans="1:11" ht="42" customHeight="1">
      <c r="A2612" s="2" t="s">
        <v>6080</v>
      </c>
      <c r="B2612" s="2" t="s">
        <v>6080</v>
      </c>
      <c r="C2612" s="2" t="s">
        <v>38</v>
      </c>
      <c r="D2612" s="2" t="s">
        <v>39</v>
      </c>
      <c r="E2612" s="5">
        <v>-31318</v>
      </c>
      <c r="F2612" s="3" t="s">
        <v>400</v>
      </c>
      <c r="G2612" s="3" t="s">
        <v>20</v>
      </c>
      <c r="H2612" s="2" t="s">
        <v>62</v>
      </c>
      <c r="I2612" s="2" t="s">
        <v>6081</v>
      </c>
      <c r="J2612" s="3" t="str">
        <f>HYPERLINK("https://www.boe.es/gazeta/dias/1814/04/02/pdfs/GRE-1814-47.pdf#page=7","Abrir facsímil")</f>
        <v>Abrir facsímil</v>
      </c>
      <c r="K2612" s="3" t="s">
        <v>64</v>
      </c>
    </row>
    <row r="2613" spans="1:11" ht="42" customHeight="1">
      <c r="A2613" s="2" t="s">
        <v>6082</v>
      </c>
      <c r="B2613" s="2" t="s">
        <v>6082</v>
      </c>
      <c r="C2613" s="2" t="s">
        <v>38</v>
      </c>
      <c r="D2613" s="2" t="s">
        <v>314</v>
      </c>
      <c r="E2613" s="5">
        <v>-31165</v>
      </c>
      <c r="F2613" s="3" t="s">
        <v>2087</v>
      </c>
      <c r="G2613" s="3" t="s">
        <v>82</v>
      </c>
      <c r="H2613" s="2" t="s">
        <v>62</v>
      </c>
      <c r="I2613" s="2" t="s">
        <v>6083</v>
      </c>
      <c r="J2613" s="3" t="str">
        <f>HYPERLINK("https://www.boe.es/gazeta/dias/1814/09/02/pdfs/GMD-1814-120E.pdf#page=3","Abrir facsímil")</f>
        <v>Abrir facsímil</v>
      </c>
      <c r="K2613" s="3" t="s">
        <v>64</v>
      </c>
    </row>
    <row r="2614" spans="1:11" ht="42" customHeight="1">
      <c r="A2614" s="2" t="s">
        <v>6084</v>
      </c>
      <c r="B2614" s="2" t="s">
        <v>6085</v>
      </c>
      <c r="C2614" s="2" t="s">
        <v>17</v>
      </c>
      <c r="D2614" s="2" t="s">
        <v>18</v>
      </c>
      <c r="E2614" s="5">
        <v>-31131</v>
      </c>
      <c r="F2614" s="3" t="s">
        <v>132</v>
      </c>
      <c r="G2614" s="3" t="s">
        <v>4347</v>
      </c>
      <c r="H2614" s="2" t="s">
        <v>62</v>
      </c>
      <c r="I2614" s="2" t="s">
        <v>6086</v>
      </c>
      <c r="J2614" s="3" t="str">
        <f>HYPERLINK("https://www.boe.es/gazeta/dias/1814/10/06/pdfs/GMD-1814-135.pdf#page=8","Abrir facsímil")</f>
        <v>Abrir facsímil</v>
      </c>
      <c r="K2614" s="3" t="s">
        <v>64</v>
      </c>
    </row>
    <row r="2615" spans="1:11" ht="42" customHeight="1">
      <c r="A2615" s="2" t="s">
        <v>6087</v>
      </c>
      <c r="B2615" s="2" t="s">
        <v>6088</v>
      </c>
      <c r="C2615" s="2" t="s">
        <v>32</v>
      </c>
      <c r="D2615" s="2" t="s">
        <v>18</v>
      </c>
      <c r="E2615" s="5">
        <v>-31234</v>
      </c>
      <c r="F2615" s="3" t="s">
        <v>462</v>
      </c>
      <c r="G2615" s="3" t="s">
        <v>41</v>
      </c>
      <c r="H2615" s="2" t="s">
        <v>62</v>
      </c>
      <c r="I2615" s="2" t="s">
        <v>6089</v>
      </c>
      <c r="J2615" s="3" t="str">
        <f>HYPERLINK("https://www.boe.es/gazeta/dias/1814/06/25/pdfs/GMD-1814-90.pdf#page=4","Abrir facsímil")</f>
        <v>Abrir facsímil</v>
      </c>
      <c r="K2615" s="3" t="s">
        <v>64</v>
      </c>
    </row>
    <row r="2616" spans="1:11" ht="42" customHeight="1">
      <c r="A2616" s="2" t="s">
        <v>6090</v>
      </c>
      <c r="B2616" s="2" t="s">
        <v>6090</v>
      </c>
      <c r="C2616" s="2" t="s">
        <v>38</v>
      </c>
      <c r="D2616" s="2" t="s">
        <v>39</v>
      </c>
      <c r="E2616" s="5">
        <v>-31341</v>
      </c>
      <c r="F2616" s="3" t="s">
        <v>360</v>
      </c>
      <c r="G2616" s="3" t="s">
        <v>41</v>
      </c>
      <c r="H2616" s="2" t="s">
        <v>62</v>
      </c>
      <c r="I2616" s="2" t="s">
        <v>6091</v>
      </c>
      <c r="J2616" s="3" t="str">
        <f>HYPERLINK("https://www.boe.es/gazeta/dias/1814/03/10/pdfs/GRE-1814-33.pdf#page=4","Abrir facsímil")</f>
        <v>Abrir facsímil</v>
      </c>
      <c r="K2616" s="3" t="s">
        <v>64</v>
      </c>
    </row>
    <row r="2617" spans="1:11" ht="42" customHeight="1">
      <c r="A2617" s="2" t="s">
        <v>6092</v>
      </c>
      <c r="B2617" s="2" t="s">
        <v>6092</v>
      </c>
      <c r="C2617" s="2" t="s">
        <v>38</v>
      </c>
      <c r="D2617" s="2" t="s">
        <v>39</v>
      </c>
      <c r="E2617" s="5">
        <v>-31371</v>
      </c>
      <c r="F2617" s="3" t="s">
        <v>476</v>
      </c>
      <c r="G2617" s="3" t="s">
        <v>477</v>
      </c>
      <c r="H2617" s="2" t="s">
        <v>62</v>
      </c>
      <c r="I2617" s="2" t="s">
        <v>6093</v>
      </c>
      <c r="J2617" s="3" t="str">
        <f>HYPERLINK("https://www.boe.es/gazeta/dias/1814/02/08/pdfs/GRE-1814-31.pdf#page=6","Abrir facsímil")</f>
        <v>Abrir facsímil</v>
      </c>
      <c r="K2617" s="3" t="s">
        <v>64</v>
      </c>
    </row>
    <row r="2618" spans="1:11" ht="42" customHeight="1">
      <c r="A2618" s="2" t="s">
        <v>6092</v>
      </c>
      <c r="B2618" s="2" t="s">
        <v>6092</v>
      </c>
      <c r="C2618" s="2" t="s">
        <v>38</v>
      </c>
      <c r="D2618" s="2" t="s">
        <v>39</v>
      </c>
      <c r="E2618" s="5">
        <v>-31346</v>
      </c>
      <c r="F2618" s="3" t="s">
        <v>78</v>
      </c>
      <c r="G2618" s="3" t="s">
        <v>20</v>
      </c>
      <c r="H2618" s="2" t="s">
        <v>62</v>
      </c>
      <c r="I2618" s="2" t="s">
        <v>6094</v>
      </c>
      <c r="J2618" s="3" t="str">
        <f>HYPERLINK("https://www.boe.es/gazeta/dias/1814/03/05/pdfs/GRE-1814-30.pdf#page=7","Abrir facsímil")</f>
        <v>Abrir facsímil</v>
      </c>
      <c r="K2618" s="3" t="s">
        <v>64</v>
      </c>
    </row>
    <row r="2619" spans="1:11" ht="42" customHeight="1">
      <c r="A2619" s="2" t="s">
        <v>6092</v>
      </c>
      <c r="B2619" s="2" t="s">
        <v>6092</v>
      </c>
      <c r="C2619" s="2" t="s">
        <v>38</v>
      </c>
      <c r="D2619" s="2" t="s">
        <v>39</v>
      </c>
      <c r="E2619" s="5">
        <v>-31343</v>
      </c>
      <c r="F2619" s="3" t="s">
        <v>476</v>
      </c>
      <c r="G2619" s="3" t="s">
        <v>477</v>
      </c>
      <c r="H2619" s="2" t="s">
        <v>62</v>
      </c>
      <c r="I2619" s="2" t="s">
        <v>6093</v>
      </c>
      <c r="J2619" s="3" t="str">
        <f>HYPERLINK("https://www.boe.es/gazeta/dias/1814/03/08/pdfs/GRE-1814-31.pdf#page=6","Abrir facsímil")</f>
        <v>Abrir facsímil</v>
      </c>
      <c r="K2619" s="3" t="s">
        <v>64</v>
      </c>
    </row>
    <row r="2620" spans="1:11" ht="42" customHeight="1">
      <c r="A2620" s="2" t="s">
        <v>6092</v>
      </c>
      <c r="B2620" s="2" t="s">
        <v>6092</v>
      </c>
      <c r="C2620" s="2" t="s">
        <v>38</v>
      </c>
      <c r="D2620" s="2" t="s">
        <v>314</v>
      </c>
      <c r="E2620" s="5">
        <v>-31341</v>
      </c>
      <c r="F2620" s="3" t="s">
        <v>354</v>
      </c>
      <c r="G2620" s="3" t="s">
        <v>1841</v>
      </c>
      <c r="H2620" s="2" t="s">
        <v>62</v>
      </c>
      <c r="I2620" s="2" t="s">
        <v>6095</v>
      </c>
      <c r="J2620" s="3" t="str">
        <f>HYPERLINK("https://www.boe.es/gazeta/dias/1814/03/10/pdfs/GRE-1814-34E.pdf#page=4","Abrir facsímil")</f>
        <v>Abrir facsímil</v>
      </c>
      <c r="K2620" s="3" t="s">
        <v>64</v>
      </c>
    </row>
    <row r="2621" spans="1:11" ht="42" customHeight="1">
      <c r="A2621" s="2" t="s">
        <v>6096</v>
      </c>
      <c r="B2621" s="2" t="s">
        <v>6097</v>
      </c>
      <c r="C2621" s="2" t="s">
        <v>38</v>
      </c>
      <c r="D2621" s="2" t="s">
        <v>39</v>
      </c>
      <c r="E2621" s="5">
        <v>-31171</v>
      </c>
      <c r="F2621" s="3" t="s">
        <v>157</v>
      </c>
      <c r="G2621" s="3" t="s">
        <v>57</v>
      </c>
      <c r="H2621" s="2" t="s">
        <v>62</v>
      </c>
      <c r="I2621" s="2" t="s">
        <v>6098</v>
      </c>
      <c r="J2621" s="3" t="str">
        <f>HYPERLINK("https://www.boe.es/gazeta/dias/1814/08/27/pdfs/GMD-1814-117.pdf#page=6","Abrir facsímil")</f>
        <v>Abrir facsímil</v>
      </c>
      <c r="K2621" s="3" t="s">
        <v>64</v>
      </c>
    </row>
    <row r="2622" spans="1:11" ht="42" customHeight="1">
      <c r="A2622" s="2" t="s">
        <v>6099</v>
      </c>
      <c r="B2622" s="2" t="s">
        <v>6100</v>
      </c>
      <c r="C2622" s="2" t="s">
        <v>38</v>
      </c>
      <c r="D2622" s="2" t="s">
        <v>39</v>
      </c>
      <c r="E2622" s="5">
        <v>-31192</v>
      </c>
      <c r="F2622" s="3" t="s">
        <v>388</v>
      </c>
      <c r="G2622" s="3" t="s">
        <v>865</v>
      </c>
      <c r="H2622" s="2" t="s">
        <v>62</v>
      </c>
      <c r="I2622" s="2" t="s">
        <v>6101</v>
      </c>
      <c r="J2622" s="3" t="str">
        <f>HYPERLINK("https://www.boe.es/gazeta/dias/1814/08/06/pdfs/GMD-1814-108.pdf#page=5","Abrir facsímil")</f>
        <v>Abrir facsímil</v>
      </c>
      <c r="K2622" s="3" t="s">
        <v>64</v>
      </c>
    </row>
    <row r="2623" spans="1:11" ht="42" customHeight="1">
      <c r="A2623" s="2" t="s">
        <v>6102</v>
      </c>
      <c r="B2623" s="2" t="s">
        <v>6103</v>
      </c>
      <c r="C2623" s="2" t="s">
        <v>38</v>
      </c>
      <c r="D2623" s="2" t="s">
        <v>39</v>
      </c>
      <c r="E2623" s="5">
        <v>-31136</v>
      </c>
      <c r="F2623" s="3" t="s">
        <v>956</v>
      </c>
      <c r="G2623" s="3" t="s">
        <v>1254</v>
      </c>
      <c r="H2623" s="2" t="s">
        <v>62</v>
      </c>
      <c r="I2623" s="2" t="s">
        <v>6104</v>
      </c>
      <c r="J2623" s="3" t="str">
        <f>HYPERLINK("https://www.boe.es/gazeta/dias/1814/10/01/pdfs/GMD-1814-133.pdf#page=9","Abrir facsímil")</f>
        <v>Abrir facsímil</v>
      </c>
      <c r="K2623" s="3" t="s">
        <v>64</v>
      </c>
    </row>
    <row r="2624" spans="1:11" ht="42" customHeight="1">
      <c r="A2624" s="2" t="s">
        <v>6105</v>
      </c>
      <c r="B2624" s="2" t="s">
        <v>6106</v>
      </c>
      <c r="C2624" s="2" t="s">
        <v>38</v>
      </c>
      <c r="D2624" s="2" t="s">
        <v>39</v>
      </c>
      <c r="E2624" s="5">
        <v>-31089</v>
      </c>
      <c r="F2624" s="3" t="s">
        <v>531</v>
      </c>
      <c r="G2624" s="3" t="s">
        <v>20</v>
      </c>
      <c r="H2624" s="2" t="s">
        <v>62</v>
      </c>
      <c r="I2624" s="2" t="s">
        <v>6107</v>
      </c>
      <c r="J2624" s="3" t="str">
        <f>HYPERLINK("https://www.boe.es/gazeta/dias/1814/11/17/pdfs/GMD-1814-153.pdf#page=7","Abrir facsímil")</f>
        <v>Abrir facsímil</v>
      </c>
      <c r="K2624" s="3" t="s">
        <v>64</v>
      </c>
    </row>
    <row r="2625" spans="1:11" ht="42" customHeight="1">
      <c r="A2625" s="2" t="s">
        <v>6108</v>
      </c>
      <c r="B2625" s="2" t="s">
        <v>6109</v>
      </c>
      <c r="C2625" s="2" t="s">
        <v>144</v>
      </c>
      <c r="D2625" s="2" t="s">
        <v>18</v>
      </c>
      <c r="E2625" s="5">
        <v>-31119</v>
      </c>
      <c r="F2625" s="3" t="s">
        <v>136</v>
      </c>
      <c r="G2625" s="3" t="s">
        <v>322</v>
      </c>
      <c r="H2625" s="2" t="s">
        <v>62</v>
      </c>
      <c r="I2625" s="2" t="s">
        <v>6110</v>
      </c>
      <c r="J2625" s="3" t="str">
        <f>HYPERLINK("https://www.boe.es/gazeta/dias/1814/10/18/pdfs/GMD-1814-140.pdf#page=12","Abrir facsímil")</f>
        <v>Abrir facsímil</v>
      </c>
      <c r="K2625" s="3" t="s">
        <v>64</v>
      </c>
    </row>
    <row r="2626" spans="1:11" ht="42" customHeight="1">
      <c r="A2626" s="2" t="s">
        <v>6108</v>
      </c>
      <c r="B2626" s="2" t="s">
        <v>6109</v>
      </c>
      <c r="C2626" s="2" t="s">
        <v>687</v>
      </c>
      <c r="D2626" s="2" t="s">
        <v>27</v>
      </c>
      <c r="E2626" s="5">
        <v>-31115</v>
      </c>
      <c r="F2626" s="3" t="s">
        <v>805</v>
      </c>
      <c r="G2626" s="3" t="s">
        <v>52</v>
      </c>
      <c r="H2626" s="2" t="s">
        <v>62</v>
      </c>
      <c r="I2626" s="2" t="s">
        <v>6111</v>
      </c>
      <c r="J2626" s="3" t="str">
        <f>HYPERLINK("https://www.boe.es/gazeta/dias/1814/10/22/pdfs/GMD-1814-142.pdf#page=8","Abrir facsímil")</f>
        <v>Abrir facsímil</v>
      </c>
      <c r="K2626" s="3" t="s">
        <v>64</v>
      </c>
    </row>
    <row r="2627" spans="1:11" ht="42" customHeight="1">
      <c r="A2627" s="2" t="s">
        <v>6108</v>
      </c>
      <c r="B2627" s="2" t="s">
        <v>6109</v>
      </c>
      <c r="C2627" s="2" t="s">
        <v>26</v>
      </c>
      <c r="D2627" s="2" t="s">
        <v>27</v>
      </c>
      <c r="E2627" s="5">
        <v>-31110</v>
      </c>
      <c r="F2627" s="3" t="s">
        <v>149</v>
      </c>
      <c r="G2627" s="3" t="s">
        <v>52</v>
      </c>
      <c r="H2627" s="2" t="s">
        <v>62</v>
      </c>
      <c r="I2627" s="2" t="s">
        <v>6112</v>
      </c>
      <c r="J2627" s="3" t="str">
        <f>HYPERLINK("https://www.boe.es/gazeta/dias/1814/10/27/pdfs/GMD-1814-144.pdf#page=8","Abrir facsímil")</f>
        <v>Abrir facsímil</v>
      </c>
      <c r="K2627" s="3" t="s">
        <v>64</v>
      </c>
    </row>
    <row r="2628" spans="1:11" ht="42" customHeight="1">
      <c r="A2628" s="2" t="s">
        <v>6113</v>
      </c>
      <c r="B2628" s="2" t="s">
        <v>6113</v>
      </c>
      <c r="C2628" s="2" t="s">
        <v>38</v>
      </c>
      <c r="D2628" s="2" t="s">
        <v>39</v>
      </c>
      <c r="E2628" s="5">
        <v>-31360</v>
      </c>
      <c r="F2628" s="3" t="s">
        <v>480</v>
      </c>
      <c r="G2628" s="3" t="s">
        <v>20</v>
      </c>
      <c r="H2628" s="2" t="s">
        <v>62</v>
      </c>
      <c r="I2628" s="2" t="s">
        <v>6114</v>
      </c>
      <c r="J2628" s="3" t="str">
        <f>HYPERLINK("https://www.boe.es/gazeta/dias/1814/02/19/pdfs/GRE-1814-23.pdf#page=7","Abrir facsímil")</f>
        <v>Abrir facsímil</v>
      </c>
      <c r="K2628" s="3" t="s">
        <v>64</v>
      </c>
    </row>
    <row r="2629" spans="1:11" ht="42" customHeight="1">
      <c r="A2629" s="2" t="s">
        <v>6115</v>
      </c>
      <c r="B2629" s="2" t="s">
        <v>6115</v>
      </c>
      <c r="C2629" s="2" t="s">
        <v>38</v>
      </c>
      <c r="D2629" s="2" t="s">
        <v>314</v>
      </c>
      <c r="E2629" s="5">
        <v>-31296</v>
      </c>
      <c r="F2629" s="3" t="s">
        <v>315</v>
      </c>
      <c r="G2629" s="3" t="s">
        <v>41</v>
      </c>
      <c r="H2629" s="2" t="s">
        <v>62</v>
      </c>
      <c r="I2629" s="2" t="s">
        <v>6116</v>
      </c>
      <c r="J2629" s="3" t="str">
        <f>HYPERLINK("https://www.boe.es/gazeta/dias/1814/04/24/pdfs/GRE-1814-60E.pdf#page=4","Abrir facsímil")</f>
        <v>Abrir facsímil</v>
      </c>
      <c r="K2629" s="3" t="s">
        <v>64</v>
      </c>
    </row>
    <row r="2630" spans="1:11" ht="42" customHeight="1">
      <c r="A2630" s="2" t="s">
        <v>6117</v>
      </c>
      <c r="B2630" s="2" t="s">
        <v>6118</v>
      </c>
      <c r="C2630" s="2" t="s">
        <v>17</v>
      </c>
      <c r="D2630" s="2" t="s">
        <v>18</v>
      </c>
      <c r="E2630" s="5">
        <v>-31371</v>
      </c>
      <c r="F2630" s="3" t="s">
        <v>1017</v>
      </c>
      <c r="G2630" s="3" t="s">
        <v>41</v>
      </c>
      <c r="H2630" s="2" t="s">
        <v>62</v>
      </c>
      <c r="I2630" s="2" t="s">
        <v>6119</v>
      </c>
      <c r="J2630" s="3" t="str">
        <f>HYPERLINK("https://www.boe.es/gazeta/dias/1814/02/08/pdfs/GRE-1814-18.pdf#page=4","Abrir facsímil")</f>
        <v>Abrir facsímil</v>
      </c>
      <c r="K2630" s="3" t="s">
        <v>64</v>
      </c>
    </row>
    <row r="2631" spans="1:11" ht="42" customHeight="1">
      <c r="A2631" s="2" t="s">
        <v>6120</v>
      </c>
      <c r="B2631" s="2" t="s">
        <v>6120</v>
      </c>
      <c r="C2631" s="2" t="s">
        <v>38</v>
      </c>
      <c r="D2631" s="2" t="s">
        <v>39</v>
      </c>
      <c r="E2631" s="5">
        <v>-31390</v>
      </c>
      <c r="F2631" s="3" t="s">
        <v>349</v>
      </c>
      <c r="G2631" s="3" t="s">
        <v>20</v>
      </c>
      <c r="H2631" s="2" t="s">
        <v>62</v>
      </c>
      <c r="I2631" s="2" t="s">
        <v>6121</v>
      </c>
      <c r="J2631" s="3" t="str">
        <f>HYPERLINK("https://www.boe.es/gazeta/dias/1814/01/20/pdfs/GRE-1814-10.pdf#page=7","Abrir facsímil")</f>
        <v>Abrir facsímil</v>
      </c>
      <c r="K2631" s="3" t="s">
        <v>64</v>
      </c>
    </row>
    <row r="2632" spans="1:11" ht="42" customHeight="1">
      <c r="A2632" s="2" t="s">
        <v>6122</v>
      </c>
      <c r="B2632" s="2" t="s">
        <v>6122</v>
      </c>
      <c r="C2632" s="2" t="s">
        <v>38</v>
      </c>
      <c r="D2632" s="2" t="s">
        <v>39</v>
      </c>
      <c r="E2632" s="5">
        <v>-31297</v>
      </c>
      <c r="F2632" s="3" t="s">
        <v>737</v>
      </c>
      <c r="G2632" s="3" t="s">
        <v>2067</v>
      </c>
      <c r="H2632" s="2" t="s">
        <v>62</v>
      </c>
      <c r="I2632" s="2" t="s">
        <v>6123</v>
      </c>
      <c r="J2632" s="3" t="str">
        <f>HYPERLINK("https://www.boe.es/gazeta/dias/1814/04/23/pdfs/GRE-1814-59.pdf#page=3","Abrir facsímil")</f>
        <v>Abrir facsímil</v>
      </c>
      <c r="K2632" s="3" t="s">
        <v>64</v>
      </c>
    </row>
    <row r="2633" spans="1:11" ht="42" customHeight="1">
      <c r="A2633" s="2" t="s">
        <v>6124</v>
      </c>
      <c r="B2633" s="2" t="s">
        <v>6124</v>
      </c>
      <c r="C2633" s="2" t="s">
        <v>38</v>
      </c>
      <c r="D2633" s="2" t="s">
        <v>39</v>
      </c>
      <c r="E2633" s="5">
        <v>-31201</v>
      </c>
      <c r="F2633" s="3" t="s">
        <v>863</v>
      </c>
      <c r="G2633" s="3" t="s">
        <v>41</v>
      </c>
      <c r="H2633" s="2" t="s">
        <v>62</v>
      </c>
      <c r="I2633" s="2" t="s">
        <v>6125</v>
      </c>
      <c r="J2633" s="3" t="str">
        <f>HYPERLINK("https://www.boe.es/gazeta/dias/1814/07/28/pdfs/GMD-1814-104.pdf#page=4","Abrir facsímil")</f>
        <v>Abrir facsímil</v>
      </c>
      <c r="K2633" s="3" t="s">
        <v>64</v>
      </c>
    </row>
    <row r="2634" spans="1:11" ht="42" customHeight="1">
      <c r="A2634" s="2" t="s">
        <v>6126</v>
      </c>
      <c r="B2634" s="2" t="s">
        <v>6127</v>
      </c>
      <c r="C2634" s="2" t="s">
        <v>26</v>
      </c>
      <c r="D2634" s="2" t="s">
        <v>27</v>
      </c>
      <c r="E2634" s="5">
        <v>-31248</v>
      </c>
      <c r="F2634" s="3" t="s">
        <v>1123</v>
      </c>
      <c r="G2634" s="3" t="s">
        <v>2411</v>
      </c>
      <c r="H2634" s="2" t="s">
        <v>21</v>
      </c>
      <c r="I2634" s="2" t="s">
        <v>6128</v>
      </c>
      <c r="J2634" s="3" t="str">
        <f>HYPERLINK("https://www.boe.es/gazeta/dias/1814/06/11/pdfs/GMD-1814-84.pdf#page=6","Abrir facsímil")</f>
        <v>Abrir facsímil</v>
      </c>
      <c r="K2634" s="3" t="s">
        <v>23</v>
      </c>
    </row>
    <row r="2635" spans="1:11" ht="42" customHeight="1">
      <c r="A2635" s="2" t="s">
        <v>6129</v>
      </c>
      <c r="B2635" s="2" t="s">
        <v>6130</v>
      </c>
      <c r="C2635" s="2" t="s">
        <v>26</v>
      </c>
      <c r="D2635" s="2" t="s">
        <v>27</v>
      </c>
      <c r="E2635" s="5">
        <v>-31297</v>
      </c>
      <c r="F2635" s="3" t="s">
        <v>737</v>
      </c>
      <c r="G2635" s="3" t="s">
        <v>52</v>
      </c>
      <c r="H2635" s="2" t="s">
        <v>62</v>
      </c>
      <c r="I2635" s="2" t="s">
        <v>6131</v>
      </c>
      <c r="J2635" s="3" t="str">
        <f>HYPERLINK("https://www.boe.es/gazeta/dias/1814/04/23/pdfs/GRE-1814-59.pdf#page=8","Abrir facsímil")</f>
        <v>Abrir facsímil</v>
      </c>
      <c r="K2635" s="3" t="s">
        <v>64</v>
      </c>
    </row>
    <row r="2636" spans="1:11" ht="42" customHeight="1">
      <c r="A2636" s="2" t="s">
        <v>6132</v>
      </c>
      <c r="B2636" s="2" t="s">
        <v>6133</v>
      </c>
      <c r="C2636" s="2" t="s">
        <v>38</v>
      </c>
      <c r="D2636" s="2" t="s">
        <v>39</v>
      </c>
      <c r="E2636" s="5">
        <v>-31371</v>
      </c>
      <c r="F2636" s="3" t="s">
        <v>1017</v>
      </c>
      <c r="G2636" s="3" t="s">
        <v>82</v>
      </c>
      <c r="H2636" s="2" t="s">
        <v>62</v>
      </c>
      <c r="I2636" s="2" t="s">
        <v>6134</v>
      </c>
      <c r="J2636" s="3" t="str">
        <f>HYPERLINK("https://www.boe.es/gazeta/dias/1814/02/08/pdfs/GRE-1814-18.pdf#page=3","Abrir facsímil")</f>
        <v>Abrir facsímil</v>
      </c>
      <c r="K2636" s="3" t="s">
        <v>64</v>
      </c>
    </row>
    <row r="2637" spans="1:11" ht="42" customHeight="1">
      <c r="A2637" s="2" t="s">
        <v>6135</v>
      </c>
      <c r="B2637" s="2" t="s">
        <v>6136</v>
      </c>
      <c r="C2637" s="2" t="s">
        <v>38</v>
      </c>
      <c r="D2637" s="2" t="s">
        <v>39</v>
      </c>
      <c r="E2637" s="5">
        <v>-31131</v>
      </c>
      <c r="F2637" s="3" t="s">
        <v>132</v>
      </c>
      <c r="G2637" s="3" t="s">
        <v>82</v>
      </c>
      <c r="H2637" s="2" t="s">
        <v>62</v>
      </c>
      <c r="I2637" s="2" t="s">
        <v>6137</v>
      </c>
      <c r="J2637" s="3" t="str">
        <f>HYPERLINK("https://www.boe.es/gazeta/dias/1814/10/06/pdfs/GMD-1814-135.pdf#page=3","Abrir facsímil")</f>
        <v>Abrir facsímil</v>
      </c>
      <c r="K2637" s="3" t="s">
        <v>64</v>
      </c>
    </row>
    <row r="2638" spans="1:11" ht="42" customHeight="1">
      <c r="A2638" s="2" t="s">
        <v>6138</v>
      </c>
      <c r="B2638" s="2" t="s">
        <v>6139</v>
      </c>
      <c r="C2638" s="2" t="s">
        <v>26</v>
      </c>
      <c r="D2638" s="2" t="s">
        <v>27</v>
      </c>
      <c r="E2638" s="5">
        <v>-31145</v>
      </c>
      <c r="F2638" s="3" t="s">
        <v>523</v>
      </c>
      <c r="G2638" s="3" t="s">
        <v>6140</v>
      </c>
      <c r="H2638" s="2" t="s">
        <v>21</v>
      </c>
      <c r="I2638" s="2" t="s">
        <v>6141</v>
      </c>
      <c r="J2638" s="3" t="str">
        <f>HYPERLINK("https://www.boe.es/gazeta/dias/1814/09/22/pdfs/GMD-1814-129.pdf#page=6","Abrir facsímil")</f>
        <v>Abrir facsímil</v>
      </c>
      <c r="K2638" s="3" t="s">
        <v>23</v>
      </c>
    </row>
    <row r="2639" spans="1:11" ht="42" customHeight="1">
      <c r="A2639" s="2" t="s">
        <v>6142</v>
      </c>
      <c r="B2639" s="2" t="s">
        <v>6143</v>
      </c>
      <c r="C2639" s="2" t="s">
        <v>17</v>
      </c>
      <c r="D2639" s="2" t="s">
        <v>18</v>
      </c>
      <c r="E2639" s="5">
        <v>-31355</v>
      </c>
      <c r="F2639" s="3" t="s">
        <v>50</v>
      </c>
      <c r="G2639" s="3" t="s">
        <v>20</v>
      </c>
      <c r="H2639" s="2" t="s">
        <v>21</v>
      </c>
      <c r="I2639" s="2" t="s">
        <v>6144</v>
      </c>
      <c r="J2639" s="3" t="str">
        <f>HYPERLINK("https://www.boe.es/gazeta/dias/1814/02/24/pdfs/GRE-1814-26.pdf#page=7","Abrir facsímil")</f>
        <v>Abrir facsímil</v>
      </c>
      <c r="K2639" s="3" t="s">
        <v>23</v>
      </c>
    </row>
    <row r="2640" spans="1:11" ht="42" customHeight="1">
      <c r="A2640" s="2" t="s">
        <v>6145</v>
      </c>
      <c r="B2640" s="2" t="s">
        <v>6146</v>
      </c>
      <c r="C2640" s="2" t="s">
        <v>38</v>
      </c>
      <c r="D2640" s="2" t="s">
        <v>39</v>
      </c>
      <c r="E2640" s="5">
        <v>-31236</v>
      </c>
      <c r="F2640" s="3" t="s">
        <v>33</v>
      </c>
      <c r="G2640" s="3" t="s">
        <v>20</v>
      </c>
      <c r="H2640" s="2" t="s">
        <v>21</v>
      </c>
      <c r="I2640" s="2" t="s">
        <v>6147</v>
      </c>
      <c r="J2640" s="3" t="str">
        <f>HYPERLINK("https://www.boe.es/gazeta/dias/1814/06/23/pdfs/GMD-1814-89.pdf#page=7","Abrir facsímil")</f>
        <v>Abrir facsímil</v>
      </c>
      <c r="K2640" s="3" t="s">
        <v>23</v>
      </c>
    </row>
    <row r="2641" spans="1:11" ht="42" customHeight="1">
      <c r="A2641" s="2" t="s">
        <v>6148</v>
      </c>
      <c r="B2641" s="2" t="s">
        <v>6149</v>
      </c>
      <c r="C2641" s="2" t="s">
        <v>26</v>
      </c>
      <c r="D2641" s="2" t="s">
        <v>27</v>
      </c>
      <c r="E2641" s="5">
        <v>-31297</v>
      </c>
      <c r="F2641" s="3" t="s">
        <v>737</v>
      </c>
      <c r="G2641" s="3" t="s">
        <v>52</v>
      </c>
      <c r="H2641" s="2" t="s">
        <v>62</v>
      </c>
      <c r="I2641" s="2" t="s">
        <v>6150</v>
      </c>
      <c r="J2641" s="3" t="str">
        <f>HYPERLINK("https://www.boe.es/gazeta/dias/1814/04/23/pdfs/GRE-1814-59.pdf#page=8","Abrir facsímil")</f>
        <v>Abrir facsímil</v>
      </c>
      <c r="K2641" s="3" t="s">
        <v>64</v>
      </c>
    </row>
    <row r="2642" spans="1:11" ht="42" customHeight="1">
      <c r="A2642" s="2" t="s">
        <v>6151</v>
      </c>
      <c r="B2642" s="2" t="s">
        <v>6152</v>
      </c>
      <c r="C2642" s="2" t="s">
        <v>17</v>
      </c>
      <c r="D2642" s="2" t="s">
        <v>18</v>
      </c>
      <c r="E2642" s="5">
        <v>-31115</v>
      </c>
      <c r="F2642" s="3" t="s">
        <v>805</v>
      </c>
      <c r="G2642" s="3" t="s">
        <v>20</v>
      </c>
      <c r="H2642" s="2" t="s">
        <v>62</v>
      </c>
      <c r="I2642" s="2" t="s">
        <v>6153</v>
      </c>
      <c r="J2642" s="3" t="str">
        <f>HYPERLINK("https://www.boe.es/gazeta/dias/1814/10/22/pdfs/GMD-1814-142.pdf#page=7","Abrir facsímil")</f>
        <v>Abrir facsímil</v>
      </c>
      <c r="K2642" s="3" t="s">
        <v>64</v>
      </c>
    </row>
    <row r="2643" spans="1:11" ht="42" customHeight="1">
      <c r="A2643" s="2" t="s">
        <v>6154</v>
      </c>
      <c r="B2643" s="2" t="s">
        <v>6155</v>
      </c>
      <c r="C2643" s="2" t="s">
        <v>38</v>
      </c>
      <c r="D2643" s="2" t="s">
        <v>39</v>
      </c>
      <c r="E2643" s="5">
        <v>-31168</v>
      </c>
      <c r="F2643" s="3" t="s">
        <v>893</v>
      </c>
      <c r="G2643" s="3" t="s">
        <v>1981</v>
      </c>
      <c r="H2643" s="2" t="s">
        <v>62</v>
      </c>
      <c r="I2643" s="2" t="s">
        <v>6156</v>
      </c>
      <c r="J2643" s="3" t="str">
        <f>HYPERLINK("https://www.boe.es/gazeta/dias/1814/08/30/pdfs/GMD-1814-118.pdf#page=8","Abrir facsímil")</f>
        <v>Abrir facsímil</v>
      </c>
      <c r="K2643" s="3" t="s">
        <v>64</v>
      </c>
    </row>
    <row r="2644" spans="1:11" ht="42" customHeight="1">
      <c r="A2644" s="2" t="s">
        <v>6157</v>
      </c>
      <c r="B2644" s="2" t="s">
        <v>6158</v>
      </c>
      <c r="C2644" s="2" t="s">
        <v>144</v>
      </c>
      <c r="D2644" s="2" t="s">
        <v>18</v>
      </c>
      <c r="E2644" s="5">
        <v>-31355</v>
      </c>
      <c r="F2644" s="3" t="s">
        <v>50</v>
      </c>
      <c r="G2644" s="3" t="s">
        <v>52</v>
      </c>
      <c r="H2644" s="2" t="s">
        <v>62</v>
      </c>
      <c r="I2644" s="2" t="s">
        <v>6159</v>
      </c>
      <c r="J2644" s="3" t="str">
        <f>HYPERLINK("https://www.boe.es/gazeta/dias/1814/02/24/pdfs/GRE-1814-26.pdf#page=8","Abrir facsímil")</f>
        <v>Abrir facsímil</v>
      </c>
      <c r="K2644" s="3" t="s">
        <v>64</v>
      </c>
    </row>
    <row r="2645" spans="1:11" ht="42" customHeight="1">
      <c r="A2645" s="2" t="s">
        <v>6160</v>
      </c>
      <c r="B2645" s="2" t="s">
        <v>6161</v>
      </c>
      <c r="C2645" s="2" t="s">
        <v>26</v>
      </c>
      <c r="D2645" s="2" t="s">
        <v>27</v>
      </c>
      <c r="E2645" s="5">
        <v>-31194</v>
      </c>
      <c r="F2645" s="3" t="s">
        <v>333</v>
      </c>
      <c r="G2645" s="3" t="s">
        <v>52</v>
      </c>
      <c r="H2645" s="2" t="s">
        <v>62</v>
      </c>
      <c r="I2645" s="2" t="s">
        <v>6162</v>
      </c>
      <c r="J2645" s="3" t="str">
        <f>HYPERLINK("https://www.boe.es/gazeta/dias/1814/08/04/pdfs/GMD-1814-107.pdf#page=8","Abrir facsímil")</f>
        <v>Abrir facsímil</v>
      </c>
      <c r="K2645" s="3" t="s">
        <v>64</v>
      </c>
    </row>
    <row r="2646" spans="1:11" ht="42" customHeight="1">
      <c r="A2646" s="2" t="s">
        <v>6163</v>
      </c>
      <c r="B2646" s="2" t="s">
        <v>6164</v>
      </c>
      <c r="C2646" s="2" t="s">
        <v>38</v>
      </c>
      <c r="D2646" s="2" t="s">
        <v>39</v>
      </c>
      <c r="E2646" s="5">
        <v>-31315</v>
      </c>
      <c r="F2646" s="3" t="s">
        <v>645</v>
      </c>
      <c r="G2646" s="3" t="s">
        <v>57</v>
      </c>
      <c r="H2646" s="2" t="s">
        <v>62</v>
      </c>
      <c r="I2646" s="2" t="s">
        <v>6165</v>
      </c>
      <c r="J2646" s="3" t="str">
        <f>HYPERLINK("https://www.boe.es/gazeta/dias/1814/04/05/pdfs/GRE-1814-49.pdf#page=6","Abrir facsímil")</f>
        <v>Abrir facsímil</v>
      </c>
      <c r="K2646" s="3" t="s">
        <v>64</v>
      </c>
    </row>
    <row r="2647" spans="1:11" ht="42" customHeight="1">
      <c r="A2647" s="2" t="s">
        <v>6166</v>
      </c>
      <c r="B2647" s="2" t="s">
        <v>6167</v>
      </c>
      <c r="C2647" s="2" t="s">
        <v>26</v>
      </c>
      <c r="D2647" s="2" t="s">
        <v>27</v>
      </c>
      <c r="E2647" s="5">
        <v>-31182</v>
      </c>
      <c r="F2647" s="3" t="s">
        <v>19</v>
      </c>
      <c r="G2647" s="3" t="s">
        <v>57</v>
      </c>
      <c r="H2647" s="2" t="s">
        <v>62</v>
      </c>
      <c r="I2647" s="2" t="s">
        <v>6168</v>
      </c>
      <c r="J2647" s="3" t="str">
        <f>HYPERLINK("https://www.boe.es/gazeta/dias/1814/08/16/pdfs/GMD-1814-112.pdf#page=6","Abrir facsímil")</f>
        <v>Abrir facsímil</v>
      </c>
      <c r="K2647" s="3" t="s">
        <v>64</v>
      </c>
    </row>
    <row r="2648" spans="1:11" ht="42" customHeight="1">
      <c r="A2648" s="2" t="s">
        <v>6169</v>
      </c>
      <c r="B2648" s="2" t="s">
        <v>6170</v>
      </c>
      <c r="C2648" s="2" t="s">
        <v>17</v>
      </c>
      <c r="D2648" s="2" t="s">
        <v>18</v>
      </c>
      <c r="E2648" s="5">
        <v>-31119</v>
      </c>
      <c r="F2648" s="3" t="s">
        <v>136</v>
      </c>
      <c r="G2648" s="3" t="s">
        <v>137</v>
      </c>
      <c r="H2648" s="2" t="s">
        <v>62</v>
      </c>
      <c r="I2648" s="2" t="s">
        <v>6171</v>
      </c>
      <c r="J2648" s="3" t="str">
        <f>HYPERLINK("https://www.boe.es/gazeta/dias/1814/10/18/pdfs/GMD-1814-140.pdf#page=9","Abrir facsímil")</f>
        <v>Abrir facsímil</v>
      </c>
      <c r="K2648" s="3" t="s">
        <v>64</v>
      </c>
    </row>
    <row r="2649" spans="1:11" ht="42" customHeight="1">
      <c r="A2649" s="2" t="s">
        <v>6172</v>
      </c>
      <c r="B2649" s="2" t="s">
        <v>6173</v>
      </c>
      <c r="C2649" s="2" t="s">
        <v>26</v>
      </c>
      <c r="D2649" s="2" t="s">
        <v>27</v>
      </c>
      <c r="E2649" s="5">
        <v>-31182</v>
      </c>
      <c r="F2649" s="3" t="s">
        <v>19</v>
      </c>
      <c r="G2649" s="3" t="s">
        <v>57</v>
      </c>
      <c r="H2649" s="2" t="s">
        <v>62</v>
      </c>
      <c r="I2649" s="2" t="s">
        <v>6174</v>
      </c>
      <c r="J2649" s="3" t="str">
        <f>HYPERLINK("https://www.boe.es/gazeta/dias/1814/08/16/pdfs/GMD-1814-112.pdf#page=6","Abrir facsímil")</f>
        <v>Abrir facsímil</v>
      </c>
      <c r="K2649" s="3" t="s">
        <v>64</v>
      </c>
    </row>
    <row r="2650" spans="1:11" ht="42" customHeight="1">
      <c r="A2650" s="2" t="s">
        <v>6172</v>
      </c>
      <c r="B2650" s="2" t="s">
        <v>6173</v>
      </c>
      <c r="C2650" s="2" t="s">
        <v>38</v>
      </c>
      <c r="D2650" s="2" t="s">
        <v>39</v>
      </c>
      <c r="E2650" s="5">
        <v>-31182</v>
      </c>
      <c r="F2650" s="3" t="s">
        <v>19</v>
      </c>
      <c r="G2650" s="3" t="s">
        <v>20</v>
      </c>
      <c r="H2650" s="2" t="s">
        <v>62</v>
      </c>
      <c r="I2650" s="2" t="s">
        <v>6175</v>
      </c>
      <c r="J2650" s="3" t="str">
        <f>HYPERLINK("https://www.boe.es/gazeta/dias/1814/08/16/pdfs/GMD-1814-112.pdf#page=7","Abrir facsímil")</f>
        <v>Abrir facsímil</v>
      </c>
      <c r="K2650" s="3" t="s">
        <v>64</v>
      </c>
    </row>
    <row r="2651" spans="1:11" ht="42" customHeight="1">
      <c r="A2651" s="2" t="s">
        <v>6176</v>
      </c>
      <c r="B2651" s="2" t="s">
        <v>6177</v>
      </c>
      <c r="C2651" s="2" t="s">
        <v>38</v>
      </c>
      <c r="D2651" s="2" t="s">
        <v>39</v>
      </c>
      <c r="E2651" s="5">
        <v>-31192</v>
      </c>
      <c r="F2651" s="3" t="s">
        <v>388</v>
      </c>
      <c r="G2651" s="3" t="s">
        <v>20</v>
      </c>
      <c r="H2651" s="2" t="s">
        <v>62</v>
      </c>
      <c r="I2651" s="2" t="s">
        <v>6178</v>
      </c>
      <c r="J2651" s="3" t="str">
        <f>HYPERLINK("https://www.boe.es/gazeta/dias/1814/08/06/pdfs/GMD-1814-108.pdf#page=7","Abrir facsímil")</f>
        <v>Abrir facsímil</v>
      </c>
      <c r="K2651" s="3" t="s">
        <v>64</v>
      </c>
    </row>
    <row r="2652" spans="1:11" ht="42" customHeight="1">
      <c r="A2652" s="2" t="s">
        <v>6179</v>
      </c>
      <c r="B2652" s="2" t="s">
        <v>6180</v>
      </c>
      <c r="C2652" s="2" t="s">
        <v>38</v>
      </c>
      <c r="D2652" s="2" t="s">
        <v>39</v>
      </c>
      <c r="E2652" s="5">
        <v>-31182</v>
      </c>
      <c r="F2652" s="3" t="s">
        <v>19</v>
      </c>
      <c r="G2652" s="3" t="s">
        <v>20</v>
      </c>
      <c r="H2652" s="2" t="s">
        <v>62</v>
      </c>
      <c r="I2652" s="2" t="s">
        <v>6181</v>
      </c>
      <c r="J2652" s="3" t="str">
        <f>HYPERLINK("https://www.boe.es/gazeta/dias/1814/08/16/pdfs/GMD-1814-112.pdf#page=7","Abrir facsímil")</f>
        <v>Abrir facsímil</v>
      </c>
      <c r="K2652" s="3" t="s">
        <v>64</v>
      </c>
    </row>
    <row r="2653" spans="1:11" ht="42" customHeight="1">
      <c r="A2653" s="2" t="s">
        <v>6182</v>
      </c>
      <c r="B2653" s="2" t="s">
        <v>6183</v>
      </c>
      <c r="C2653" s="2" t="s">
        <v>38</v>
      </c>
      <c r="D2653" s="2" t="s">
        <v>39</v>
      </c>
      <c r="E2653" s="5">
        <v>-31318</v>
      </c>
      <c r="F2653" s="3" t="s">
        <v>400</v>
      </c>
      <c r="G2653" s="3" t="s">
        <v>57</v>
      </c>
      <c r="H2653" s="2" t="s">
        <v>62</v>
      </c>
      <c r="I2653" s="2" t="s">
        <v>6184</v>
      </c>
      <c r="J2653" s="3" t="str">
        <f>HYPERLINK("https://www.boe.es/gazeta/dias/1814/04/02/pdfs/GRE-1814-47.pdf#page=6","Abrir facsímil")</f>
        <v>Abrir facsímil</v>
      </c>
      <c r="K2653" s="3" t="s">
        <v>64</v>
      </c>
    </row>
    <row r="2654" spans="1:11" ht="42" customHeight="1">
      <c r="A2654" s="2" t="s">
        <v>6185</v>
      </c>
      <c r="B2654" s="2" t="s">
        <v>6186</v>
      </c>
      <c r="C2654" s="2" t="s">
        <v>26</v>
      </c>
      <c r="D2654" s="2" t="s">
        <v>27</v>
      </c>
      <c r="E2654" s="5">
        <v>-31082</v>
      </c>
      <c r="F2654" s="3" t="s">
        <v>535</v>
      </c>
      <c r="G2654" s="3" t="s">
        <v>2461</v>
      </c>
      <c r="H2654" s="2" t="s">
        <v>62</v>
      </c>
      <c r="I2654" s="2" t="s">
        <v>6187</v>
      </c>
      <c r="J2654" s="3" t="str">
        <f>HYPERLINK("https://www.boe.es/gazeta/dias/1814/11/24/pdfs/GMD-1814-156.pdf#page=7","Abrir facsímil")</f>
        <v>Abrir facsímil</v>
      </c>
      <c r="K2654" s="3" t="s">
        <v>64</v>
      </c>
    </row>
    <row r="2655" spans="1:11" ht="42" customHeight="1">
      <c r="A2655" s="2" t="s">
        <v>6188</v>
      </c>
      <c r="B2655" s="2" t="s">
        <v>6189</v>
      </c>
      <c r="C2655" s="2" t="s">
        <v>38</v>
      </c>
      <c r="D2655" s="2" t="s">
        <v>39</v>
      </c>
      <c r="E2655" s="5">
        <v>-31390</v>
      </c>
      <c r="F2655" s="3" t="s">
        <v>349</v>
      </c>
      <c r="G2655" s="3" t="s">
        <v>20</v>
      </c>
      <c r="H2655" s="2" t="s">
        <v>62</v>
      </c>
      <c r="I2655" s="2" t="s">
        <v>6190</v>
      </c>
      <c r="J2655" s="3" t="str">
        <f>HYPERLINK("https://www.boe.es/gazeta/dias/1814/01/20/pdfs/GRE-1814-10.pdf#page=7","Abrir facsímil")</f>
        <v>Abrir facsímil</v>
      </c>
      <c r="K2655" s="3" t="s">
        <v>64</v>
      </c>
    </row>
    <row r="2656" spans="1:11" ht="42" customHeight="1">
      <c r="A2656" s="2" t="s">
        <v>6191</v>
      </c>
      <c r="B2656" s="2" t="s">
        <v>6191</v>
      </c>
      <c r="C2656" s="2" t="s">
        <v>38</v>
      </c>
      <c r="D2656" s="2" t="s">
        <v>39</v>
      </c>
      <c r="E2656" s="5">
        <v>-31308</v>
      </c>
      <c r="F2656" s="3" t="s">
        <v>210</v>
      </c>
      <c r="G2656" s="3" t="s">
        <v>20</v>
      </c>
      <c r="H2656" s="2" t="s">
        <v>62</v>
      </c>
      <c r="I2656" s="2" t="s">
        <v>6192</v>
      </c>
      <c r="J2656" s="3" t="str">
        <f>HYPERLINK("https://www.boe.es/gazeta/dias/1814/04/12/pdfs/GRE-1814-52.pdf#page=7","Abrir facsímil")</f>
        <v>Abrir facsímil</v>
      </c>
      <c r="K2656" s="3" t="s">
        <v>64</v>
      </c>
    </row>
    <row r="2657" spans="1:11" ht="42" customHeight="1">
      <c r="A2657" s="2" t="s">
        <v>6193</v>
      </c>
      <c r="B2657" s="2" t="s">
        <v>6194</v>
      </c>
      <c r="C2657" s="2" t="s">
        <v>26</v>
      </c>
      <c r="D2657" s="2" t="s">
        <v>27</v>
      </c>
      <c r="E2657" s="5">
        <v>-31255</v>
      </c>
      <c r="F2657" s="3" t="s">
        <v>983</v>
      </c>
      <c r="G2657" s="3" t="s">
        <v>57</v>
      </c>
      <c r="H2657" s="2" t="s">
        <v>62</v>
      </c>
      <c r="I2657" s="2" t="s">
        <v>6195</v>
      </c>
      <c r="J2657" s="3" t="str">
        <f>HYPERLINK("https://www.boe.es/gazeta/dias/1814/06/04/pdfs/GMD-1814-81.pdf#page=6","Abrir facsímil")</f>
        <v>Abrir facsímil</v>
      </c>
      <c r="K2657" s="3" t="s">
        <v>64</v>
      </c>
    </row>
    <row r="2658" spans="1:11" ht="42" customHeight="1">
      <c r="A2658" s="2" t="s">
        <v>6196</v>
      </c>
      <c r="B2658" s="2" t="s">
        <v>6196</v>
      </c>
      <c r="C2658" s="2" t="s">
        <v>38</v>
      </c>
      <c r="D2658" s="2" t="s">
        <v>39</v>
      </c>
      <c r="E2658" s="5">
        <v>-31150</v>
      </c>
      <c r="F2658" s="3" t="s">
        <v>106</v>
      </c>
      <c r="G2658" s="3" t="s">
        <v>52</v>
      </c>
      <c r="H2658" s="2" t="s">
        <v>62</v>
      </c>
      <c r="I2658" s="2" t="s">
        <v>6197</v>
      </c>
      <c r="J2658" s="3" t="str">
        <f>HYPERLINK("https://www.boe.es/gazeta/dias/1814/09/17/pdfs/GMD-1814-127.pdf#page=8","Abrir facsímil")</f>
        <v>Abrir facsímil</v>
      </c>
      <c r="K2658" s="3" t="s">
        <v>64</v>
      </c>
    </row>
    <row r="2659" spans="1:11" ht="42" customHeight="1">
      <c r="A2659" s="2" t="s">
        <v>6196</v>
      </c>
      <c r="B2659" s="2" t="s">
        <v>6196</v>
      </c>
      <c r="C2659" s="2" t="s">
        <v>26</v>
      </c>
      <c r="D2659" s="2" t="s">
        <v>27</v>
      </c>
      <c r="E2659" s="5">
        <v>-31124</v>
      </c>
      <c r="F2659" s="3" t="s">
        <v>383</v>
      </c>
      <c r="G2659" s="3" t="s">
        <v>841</v>
      </c>
      <c r="H2659" s="2" t="s">
        <v>62</v>
      </c>
      <c r="I2659" s="2" t="s">
        <v>6198</v>
      </c>
      <c r="J2659" s="3" t="str">
        <f>HYPERLINK("https://www.boe.es/gazeta/dias/1814/10/13/pdfs/GMD-1814-138.pdf#page=9","Abrir facsímil")</f>
        <v>Abrir facsímil</v>
      </c>
      <c r="K2659" s="3" t="s">
        <v>64</v>
      </c>
    </row>
    <row r="2660" spans="1:11" ht="42" customHeight="1">
      <c r="A2660" s="2" t="s">
        <v>6199</v>
      </c>
      <c r="B2660" s="2" t="s">
        <v>6200</v>
      </c>
      <c r="C2660" s="2" t="s">
        <v>26</v>
      </c>
      <c r="D2660" s="2" t="s">
        <v>27</v>
      </c>
      <c r="E2660" s="5">
        <v>-31185</v>
      </c>
      <c r="F2660" s="3" t="s">
        <v>1238</v>
      </c>
      <c r="G2660" s="3" t="s">
        <v>1359</v>
      </c>
      <c r="H2660" s="2" t="s">
        <v>62</v>
      </c>
      <c r="I2660" s="2" t="s">
        <v>6201</v>
      </c>
      <c r="J2660" s="3" t="str">
        <f>HYPERLINK("https://www.boe.es/gazeta/dias/1814/08/13/pdfs/GMD-1814-111.pdf#page=6","Abrir facsímil")</f>
        <v>Abrir facsímil</v>
      </c>
      <c r="K2660" s="3" t="s">
        <v>64</v>
      </c>
    </row>
    <row r="2661" spans="1:11" ht="42" customHeight="1">
      <c r="A2661" s="2" t="s">
        <v>6202</v>
      </c>
      <c r="B2661" s="2" t="s">
        <v>6203</v>
      </c>
      <c r="C2661" s="2" t="s">
        <v>26</v>
      </c>
      <c r="D2661" s="2" t="s">
        <v>27</v>
      </c>
      <c r="E2661" s="5">
        <v>-31192</v>
      </c>
      <c r="F2661" s="3" t="s">
        <v>388</v>
      </c>
      <c r="G2661" s="3" t="s">
        <v>57</v>
      </c>
      <c r="H2661" s="2" t="s">
        <v>62</v>
      </c>
      <c r="I2661" s="2" t="s">
        <v>6204</v>
      </c>
      <c r="J2661" s="3" t="str">
        <f>HYPERLINK("https://www.boe.es/gazeta/dias/1814/08/06/pdfs/GMD-1814-108.pdf#page=6","Abrir facsímil")</f>
        <v>Abrir facsímil</v>
      </c>
      <c r="K2661" s="3" t="s">
        <v>64</v>
      </c>
    </row>
    <row r="2662" spans="1:11" ht="42" customHeight="1">
      <c r="A2662" s="2" t="s">
        <v>6205</v>
      </c>
      <c r="B2662" s="2" t="s">
        <v>6205</v>
      </c>
      <c r="C2662" s="2" t="s">
        <v>38</v>
      </c>
      <c r="D2662" s="2" t="s">
        <v>39</v>
      </c>
      <c r="E2662" s="5">
        <v>-31238</v>
      </c>
      <c r="F2662" s="3" t="s">
        <v>127</v>
      </c>
      <c r="G2662" s="3" t="s">
        <v>322</v>
      </c>
      <c r="H2662" s="2" t="s">
        <v>62</v>
      </c>
      <c r="I2662" s="2" t="s">
        <v>6206</v>
      </c>
      <c r="J2662" s="3" t="str">
        <f>HYPERLINK("https://www.boe.es/gazeta/dias/1814/06/21/pdfs/GMD-1814-88.pdf#page=12","Abrir facsímil")</f>
        <v>Abrir facsímil</v>
      </c>
      <c r="K2662" s="3" t="s">
        <v>64</v>
      </c>
    </row>
    <row r="2663" spans="1:11" ht="42" customHeight="1">
      <c r="A2663" s="2" t="s">
        <v>6207</v>
      </c>
      <c r="B2663" s="2" t="s">
        <v>6207</v>
      </c>
      <c r="C2663" s="2" t="s">
        <v>26</v>
      </c>
      <c r="D2663" s="2" t="s">
        <v>27</v>
      </c>
      <c r="E2663" s="5">
        <v>-31367</v>
      </c>
      <c r="F2663" s="3" t="s">
        <v>857</v>
      </c>
      <c r="G2663" s="3" t="s">
        <v>52</v>
      </c>
      <c r="H2663" s="2" t="s">
        <v>62</v>
      </c>
      <c r="I2663" s="2" t="s">
        <v>6208</v>
      </c>
      <c r="J2663" s="3" t="str">
        <f>HYPERLINK("https://www.boe.es/gazeta/dias/1814/02/12/pdfs/GRE-1814-20.pdf#page=8","Abrir facsímil")</f>
        <v>Abrir facsímil</v>
      </c>
      <c r="K2663" s="3" t="s">
        <v>64</v>
      </c>
    </row>
    <row r="2664" spans="1:11" ht="42" customHeight="1">
      <c r="A2664" s="2" t="s">
        <v>6207</v>
      </c>
      <c r="B2664" s="2" t="s">
        <v>6207</v>
      </c>
      <c r="C2664" s="2" t="s">
        <v>26</v>
      </c>
      <c r="D2664" s="2" t="s">
        <v>27</v>
      </c>
      <c r="E2664" s="5">
        <v>-31229</v>
      </c>
      <c r="F2664" s="3" t="s">
        <v>502</v>
      </c>
      <c r="G2664" s="3" t="s">
        <v>384</v>
      </c>
      <c r="H2664" s="2" t="s">
        <v>62</v>
      </c>
      <c r="I2664" s="2" t="s">
        <v>6209</v>
      </c>
      <c r="J2664" s="3" t="str">
        <f>HYPERLINK("https://www.boe.es/gazeta/dias/1814/06/30/pdfs/GMD-1814-92.pdf#page=11","Abrir facsímil")</f>
        <v>Abrir facsímil</v>
      </c>
      <c r="K2664" s="3" t="s">
        <v>64</v>
      </c>
    </row>
    <row r="2665" spans="1:11" ht="42" customHeight="1">
      <c r="A2665" s="2" t="s">
        <v>6207</v>
      </c>
      <c r="B2665" s="2" t="s">
        <v>6207</v>
      </c>
      <c r="C2665" s="2" t="s">
        <v>26</v>
      </c>
      <c r="D2665" s="2" t="s">
        <v>27</v>
      </c>
      <c r="E2665" s="5">
        <v>-31182</v>
      </c>
      <c r="F2665" s="3" t="s">
        <v>19</v>
      </c>
      <c r="G2665" s="3" t="s">
        <v>20</v>
      </c>
      <c r="H2665" s="2" t="s">
        <v>62</v>
      </c>
      <c r="I2665" s="2" t="s">
        <v>6210</v>
      </c>
      <c r="J2665" s="3" t="str">
        <f>HYPERLINK("https://www.boe.es/gazeta/dias/1814/08/16/pdfs/GMD-1814-112.pdf#page=7","Abrir facsímil")</f>
        <v>Abrir facsímil</v>
      </c>
      <c r="K2665" s="3" t="s">
        <v>64</v>
      </c>
    </row>
    <row r="2666" spans="1:11" ht="42" customHeight="1">
      <c r="A2666" s="2" t="s">
        <v>6211</v>
      </c>
      <c r="B2666" s="2" t="s">
        <v>6212</v>
      </c>
      <c r="C2666" s="2" t="s">
        <v>17</v>
      </c>
      <c r="D2666" s="2" t="s">
        <v>18</v>
      </c>
      <c r="E2666" s="5">
        <v>-31224</v>
      </c>
      <c r="F2666" s="3" t="s">
        <v>609</v>
      </c>
      <c r="G2666" s="3" t="s">
        <v>322</v>
      </c>
      <c r="H2666" s="2" t="s">
        <v>62</v>
      </c>
      <c r="I2666" s="2" t="s">
        <v>6213</v>
      </c>
      <c r="J2666" s="3" t="str">
        <f>HYPERLINK("https://www.boe.es/gazeta/dias/1814/07/05/pdfs/GMD-1814-94.pdf#page=12","Abrir facsímil")</f>
        <v>Abrir facsímil</v>
      </c>
      <c r="K2666" s="3" t="s">
        <v>64</v>
      </c>
    </row>
    <row r="2667" spans="1:11" ht="42" customHeight="1">
      <c r="A2667" s="2" t="s">
        <v>6214</v>
      </c>
      <c r="B2667" s="2" t="s">
        <v>6215</v>
      </c>
      <c r="C2667" s="2" t="s">
        <v>26</v>
      </c>
      <c r="D2667" s="2" t="s">
        <v>27</v>
      </c>
      <c r="E2667" s="5">
        <v>-31217</v>
      </c>
      <c r="F2667" s="3" t="s">
        <v>506</v>
      </c>
      <c r="G2667" s="3" t="s">
        <v>704</v>
      </c>
      <c r="H2667" s="2" t="s">
        <v>62</v>
      </c>
      <c r="I2667" s="2" t="s">
        <v>6216</v>
      </c>
      <c r="J2667" s="3" t="str">
        <f>HYPERLINK("https://www.boe.es/gazeta/dias/1814/07/12/pdfs/GMD-1814-97.pdf#page=10","Abrir facsímil")</f>
        <v>Abrir facsímil</v>
      </c>
      <c r="K2667" s="3" t="s">
        <v>64</v>
      </c>
    </row>
    <row r="2668" spans="1:11" ht="42" customHeight="1">
      <c r="A2668" s="2" t="s">
        <v>6217</v>
      </c>
      <c r="B2668" s="2" t="s">
        <v>6218</v>
      </c>
      <c r="C2668" s="2" t="s">
        <v>17</v>
      </c>
      <c r="D2668" s="2" t="s">
        <v>18</v>
      </c>
      <c r="E2668" s="5">
        <v>-31129</v>
      </c>
      <c r="F2668" s="3" t="s">
        <v>418</v>
      </c>
      <c r="G2668" s="3" t="s">
        <v>82</v>
      </c>
      <c r="H2668" s="2" t="s">
        <v>62</v>
      </c>
      <c r="I2668" s="2" t="s">
        <v>6219</v>
      </c>
      <c r="J2668" s="3" t="str">
        <f>HYPERLINK("https://www.boe.es/gazeta/dias/1814/10/08/pdfs/GMD-1814-136.pdf#page=3","Abrir facsímil")</f>
        <v>Abrir facsímil</v>
      </c>
      <c r="K2668" s="3" t="s">
        <v>64</v>
      </c>
    </row>
    <row r="2669" spans="1:11" ht="42" customHeight="1">
      <c r="A2669" s="2" t="s">
        <v>6220</v>
      </c>
      <c r="B2669" s="2" t="s">
        <v>6221</v>
      </c>
      <c r="C2669" s="2" t="s">
        <v>38</v>
      </c>
      <c r="D2669" s="2" t="s">
        <v>39</v>
      </c>
      <c r="E2669" s="5">
        <v>-31360</v>
      </c>
      <c r="F2669" s="3" t="s">
        <v>480</v>
      </c>
      <c r="G2669" s="3" t="s">
        <v>99</v>
      </c>
      <c r="H2669" s="2" t="s">
        <v>62</v>
      </c>
      <c r="I2669" s="2" t="s">
        <v>6222</v>
      </c>
      <c r="J2669" s="3" t="str">
        <f>HYPERLINK("https://www.boe.es/gazeta/dias/1814/02/19/pdfs/GRE-1814-23.pdf#page=5","Abrir facsímil")</f>
        <v>Abrir facsímil</v>
      </c>
      <c r="K2669" s="3" t="s">
        <v>64</v>
      </c>
    </row>
    <row r="2670" spans="1:11" ht="42" customHeight="1">
      <c r="A2670" s="2" t="s">
        <v>6223</v>
      </c>
      <c r="B2670" s="2" t="s">
        <v>6224</v>
      </c>
      <c r="C2670" s="2" t="s">
        <v>309</v>
      </c>
      <c r="D2670" s="2" t="s">
        <v>18</v>
      </c>
      <c r="E2670" s="5">
        <v>-31084</v>
      </c>
      <c r="F2670" s="3" t="s">
        <v>282</v>
      </c>
      <c r="G2670" s="3" t="s">
        <v>52</v>
      </c>
      <c r="H2670" s="2" t="s">
        <v>62</v>
      </c>
      <c r="I2670" s="2" t="s">
        <v>6225</v>
      </c>
      <c r="J2670" s="3" t="str">
        <f>HYPERLINK("https://www.boe.es/gazeta/dias/1814/11/22/pdfs/GMD-1814-155.pdf#page=8","Abrir facsímil")</f>
        <v>Abrir facsímil</v>
      </c>
      <c r="K2670" s="3" t="s">
        <v>64</v>
      </c>
    </row>
    <row r="2671" spans="1:11" ht="42" customHeight="1">
      <c r="A2671" s="2" t="s">
        <v>6226</v>
      </c>
      <c r="B2671" s="2" t="s">
        <v>6227</v>
      </c>
      <c r="C2671" s="2" t="s">
        <v>26</v>
      </c>
      <c r="D2671" s="2" t="s">
        <v>27</v>
      </c>
      <c r="E2671" s="5">
        <v>-31217</v>
      </c>
      <c r="F2671" s="3" t="s">
        <v>506</v>
      </c>
      <c r="G2671" s="3" t="s">
        <v>704</v>
      </c>
      <c r="H2671" s="2" t="s">
        <v>62</v>
      </c>
      <c r="I2671" s="2" t="s">
        <v>6228</v>
      </c>
      <c r="J2671" s="3" t="str">
        <f>HYPERLINK("https://www.boe.es/gazeta/dias/1814/07/12/pdfs/GMD-1814-97.pdf#page=10","Abrir facsímil")</f>
        <v>Abrir facsímil</v>
      </c>
      <c r="K2671" s="3" t="s">
        <v>64</v>
      </c>
    </row>
    <row r="2672" spans="1:11" ht="42" customHeight="1">
      <c r="A2672" s="2" t="s">
        <v>6229</v>
      </c>
      <c r="B2672" s="2" t="s">
        <v>6229</v>
      </c>
      <c r="C2672" s="2" t="s">
        <v>38</v>
      </c>
      <c r="D2672" s="2" t="s">
        <v>39</v>
      </c>
      <c r="E2672" s="5">
        <v>-31257</v>
      </c>
      <c r="F2672" s="3" t="s">
        <v>437</v>
      </c>
      <c r="G2672" s="3" t="s">
        <v>57</v>
      </c>
      <c r="H2672" s="2" t="s">
        <v>62</v>
      </c>
      <c r="I2672" s="2" t="s">
        <v>6230</v>
      </c>
      <c r="J2672" s="3" t="str">
        <f>HYPERLINK("https://www.boe.es/gazeta/dias/1814/06/02/pdfs/GMD-1814-80.pdf#page=6","Abrir facsímil")</f>
        <v>Abrir facsímil</v>
      </c>
      <c r="K2672" s="3" t="s">
        <v>64</v>
      </c>
    </row>
    <row r="2673" spans="1:11" ht="42" customHeight="1">
      <c r="A2673" s="2" t="s">
        <v>6231</v>
      </c>
      <c r="B2673" s="2" t="s">
        <v>6232</v>
      </c>
      <c r="C2673" s="2" t="s">
        <v>17</v>
      </c>
      <c r="D2673" s="2" t="s">
        <v>18</v>
      </c>
      <c r="E2673" s="5">
        <v>-31178</v>
      </c>
      <c r="F2673" s="3" t="s">
        <v>1390</v>
      </c>
      <c r="G2673" s="3" t="s">
        <v>99</v>
      </c>
      <c r="H2673" s="2" t="s">
        <v>62</v>
      </c>
      <c r="I2673" s="2" t="s">
        <v>6233</v>
      </c>
      <c r="J2673" s="3" t="str">
        <f>HYPERLINK("https://www.boe.es/gazeta/dias/1814/08/20/pdfs/GMD-1814-114.pdf#page=5","Abrir facsímil")</f>
        <v>Abrir facsímil</v>
      </c>
      <c r="K2673" s="3" t="s">
        <v>64</v>
      </c>
    </row>
    <row r="2674" spans="1:11" ht="42" customHeight="1">
      <c r="A2674" s="2" t="s">
        <v>6234</v>
      </c>
      <c r="B2674" s="2" t="s">
        <v>6235</v>
      </c>
      <c r="C2674" s="2" t="s">
        <v>17</v>
      </c>
      <c r="D2674" s="2" t="s">
        <v>18</v>
      </c>
      <c r="E2674" s="5">
        <v>-31376</v>
      </c>
      <c r="F2674" s="3" t="s">
        <v>1954</v>
      </c>
      <c r="G2674" s="3" t="s">
        <v>82</v>
      </c>
      <c r="H2674" s="2" t="s">
        <v>62</v>
      </c>
      <c r="I2674" s="2" t="s">
        <v>6236</v>
      </c>
      <c r="J2674" s="3" t="str">
        <f>HYPERLINK("https://www.boe.es/gazeta/dias/1814/02/03/pdfs/GRE-1814-16.pdf#page=3","Abrir facsímil")</f>
        <v>Abrir facsímil</v>
      </c>
      <c r="K2674" s="3" t="s">
        <v>64</v>
      </c>
    </row>
    <row r="2675" spans="1:11" ht="42" customHeight="1">
      <c r="A2675" s="2" t="s">
        <v>6237</v>
      </c>
      <c r="B2675" s="2" t="s">
        <v>6238</v>
      </c>
      <c r="C2675" s="2" t="s">
        <v>38</v>
      </c>
      <c r="D2675" s="2" t="s">
        <v>39</v>
      </c>
      <c r="E2675" s="5">
        <v>-31182</v>
      </c>
      <c r="F2675" s="3" t="s">
        <v>19</v>
      </c>
      <c r="G2675" s="3" t="s">
        <v>20</v>
      </c>
      <c r="H2675" s="2" t="s">
        <v>62</v>
      </c>
      <c r="I2675" s="2" t="s">
        <v>6239</v>
      </c>
      <c r="J2675" s="3" t="str">
        <f>HYPERLINK("https://www.boe.es/gazeta/dias/1814/08/16/pdfs/GMD-1814-112.pdf#page=7","Abrir facsímil")</f>
        <v>Abrir facsímil</v>
      </c>
      <c r="K2675" s="3" t="s">
        <v>64</v>
      </c>
    </row>
    <row r="2676" spans="1:11" ht="42" customHeight="1">
      <c r="A2676" s="2" t="s">
        <v>6240</v>
      </c>
      <c r="B2676" s="2" t="s">
        <v>6240</v>
      </c>
      <c r="C2676" s="2" t="s">
        <v>38</v>
      </c>
      <c r="D2676" s="2" t="s">
        <v>39</v>
      </c>
      <c r="E2676" s="5">
        <v>-31208</v>
      </c>
      <c r="F2676" s="3" t="s">
        <v>509</v>
      </c>
      <c r="G2676" s="3" t="s">
        <v>20</v>
      </c>
      <c r="H2676" s="2" t="s">
        <v>62</v>
      </c>
      <c r="I2676" s="2" t="s">
        <v>6241</v>
      </c>
      <c r="J2676" s="3" t="str">
        <f>HYPERLINK("https://www.boe.es/gazeta/dias/1814/07/21/pdfs/GMD-1814-101.pdf#page=7","Abrir facsímil")</f>
        <v>Abrir facsímil</v>
      </c>
      <c r="K2676" s="3" t="s">
        <v>64</v>
      </c>
    </row>
    <row r="2677" spans="1:11" ht="42" customHeight="1">
      <c r="A2677" s="2" t="s">
        <v>6240</v>
      </c>
      <c r="B2677" s="2" t="s">
        <v>6240</v>
      </c>
      <c r="C2677" s="2" t="s">
        <v>38</v>
      </c>
      <c r="D2677" s="2" t="s">
        <v>39</v>
      </c>
      <c r="E2677" s="5">
        <v>-31175</v>
      </c>
      <c r="F2677" s="3" t="s">
        <v>145</v>
      </c>
      <c r="G2677" s="3" t="s">
        <v>41</v>
      </c>
      <c r="H2677" s="2" t="s">
        <v>62</v>
      </c>
      <c r="I2677" s="2" t="s">
        <v>6242</v>
      </c>
      <c r="J2677" s="3" t="str">
        <f>HYPERLINK("https://www.boe.es/gazeta/dias/1814/08/23/pdfs/GMD-1814-115.pdf#page=4","Abrir facsímil")</f>
        <v>Abrir facsímil</v>
      </c>
      <c r="K2677" s="3" t="s">
        <v>64</v>
      </c>
    </row>
    <row r="2678" spans="1:11" ht="42" customHeight="1">
      <c r="A2678" s="2" t="s">
        <v>6243</v>
      </c>
      <c r="B2678" s="2" t="s">
        <v>6244</v>
      </c>
      <c r="C2678" s="2" t="s">
        <v>26</v>
      </c>
      <c r="D2678" s="2" t="s">
        <v>27</v>
      </c>
      <c r="E2678" s="5">
        <v>-31173</v>
      </c>
      <c r="F2678" s="3" t="s">
        <v>46</v>
      </c>
      <c r="G2678" s="3" t="s">
        <v>20</v>
      </c>
      <c r="H2678" s="2" t="s">
        <v>62</v>
      </c>
      <c r="I2678" s="2" t="s">
        <v>6245</v>
      </c>
      <c r="J2678" s="3" t="str">
        <f>HYPERLINK("https://www.boe.es/gazeta/dias/1814/08/25/pdfs/GMD-1814-116.pdf#page=7","Abrir facsímil")</f>
        <v>Abrir facsímil</v>
      </c>
      <c r="K2678" s="3" t="s">
        <v>64</v>
      </c>
    </row>
    <row r="2679" spans="1:11" ht="42" customHeight="1">
      <c r="A2679" s="2" t="s">
        <v>6246</v>
      </c>
      <c r="B2679" s="2" t="s">
        <v>6247</v>
      </c>
      <c r="C2679" s="2" t="s">
        <v>38</v>
      </c>
      <c r="D2679" s="2" t="s">
        <v>39</v>
      </c>
      <c r="E2679" s="5">
        <v>-31122</v>
      </c>
      <c r="F2679" s="3" t="s">
        <v>28</v>
      </c>
      <c r="G2679" s="3" t="s">
        <v>20</v>
      </c>
      <c r="H2679" s="2" t="s">
        <v>62</v>
      </c>
      <c r="I2679" s="2" t="s">
        <v>6248</v>
      </c>
      <c r="J2679" s="3" t="str">
        <f>HYPERLINK("https://www.boe.es/gazeta/dias/1814/10/15/pdfs/GMD-1814-139.pdf#page=7","Abrir facsímil")</f>
        <v>Abrir facsímil</v>
      </c>
      <c r="K2679" s="3" t="s">
        <v>64</v>
      </c>
    </row>
    <row r="2680" spans="1:11" ht="42" customHeight="1">
      <c r="A2680" s="2" t="s">
        <v>6249</v>
      </c>
      <c r="B2680" s="2" t="s">
        <v>6250</v>
      </c>
      <c r="C2680" s="2" t="s">
        <v>144</v>
      </c>
      <c r="D2680" s="2" t="s">
        <v>18</v>
      </c>
      <c r="E2680" s="5">
        <v>-31227</v>
      </c>
      <c r="F2680" s="3" t="s">
        <v>102</v>
      </c>
      <c r="G2680" s="3" t="s">
        <v>52</v>
      </c>
      <c r="H2680" s="2" t="s">
        <v>62</v>
      </c>
      <c r="I2680" s="2" t="s">
        <v>6251</v>
      </c>
      <c r="J2680" s="3" t="str">
        <f>HYPERLINK("https://www.boe.es/gazeta/dias/1814/07/02/pdfs/GMD-1814-93.pdf#page=8","Abrir facsímil")</f>
        <v>Abrir facsímil</v>
      </c>
      <c r="K2680" s="3" t="s">
        <v>64</v>
      </c>
    </row>
    <row r="2681" spans="1:11" ht="42" customHeight="1">
      <c r="A2681" s="2" t="s">
        <v>6252</v>
      </c>
      <c r="B2681" s="2" t="s">
        <v>6253</v>
      </c>
      <c r="C2681" s="2" t="s">
        <v>26</v>
      </c>
      <c r="D2681" s="2" t="s">
        <v>27</v>
      </c>
      <c r="E2681" s="5">
        <v>-31224</v>
      </c>
      <c r="F2681" s="3" t="s">
        <v>609</v>
      </c>
      <c r="G2681" s="3" t="s">
        <v>20</v>
      </c>
      <c r="H2681" s="2" t="s">
        <v>62</v>
      </c>
      <c r="I2681" s="2" t="s">
        <v>6254</v>
      </c>
      <c r="J2681" s="3" t="str">
        <f>HYPERLINK("https://www.boe.es/gazeta/dias/1814/07/05/pdfs/GMD-1814-94.pdf#page=7","Abrir facsímil")</f>
        <v>Abrir facsímil</v>
      </c>
      <c r="K2681" s="3" t="s">
        <v>64</v>
      </c>
    </row>
    <row r="2682" spans="1:11" ht="42" customHeight="1">
      <c r="A2682" s="2" t="s">
        <v>6255</v>
      </c>
      <c r="B2682" s="2" t="s">
        <v>6255</v>
      </c>
      <c r="C2682" s="2" t="s">
        <v>17</v>
      </c>
      <c r="D2682" s="2" t="s">
        <v>18</v>
      </c>
      <c r="E2682" s="5">
        <v>-31301</v>
      </c>
      <c r="F2682" s="3" t="s">
        <v>81</v>
      </c>
      <c r="G2682" s="3" t="s">
        <v>52</v>
      </c>
      <c r="H2682" s="2" t="s">
        <v>62</v>
      </c>
      <c r="I2682" s="2" t="s">
        <v>6256</v>
      </c>
      <c r="J2682" s="3" t="str">
        <f>HYPERLINK("https://www.boe.es/gazeta/dias/1814/04/19/pdfs/GRE-1814-56.pdf#page=8","Abrir facsímil")</f>
        <v>Abrir facsímil</v>
      </c>
      <c r="K2682" s="3" t="s">
        <v>64</v>
      </c>
    </row>
    <row r="2683" spans="1:11" ht="42" customHeight="1">
      <c r="A2683" s="2" t="s">
        <v>6257</v>
      </c>
      <c r="B2683" s="2" t="s">
        <v>6258</v>
      </c>
      <c r="C2683" s="2" t="s">
        <v>32</v>
      </c>
      <c r="D2683" s="2" t="s">
        <v>18</v>
      </c>
      <c r="E2683" s="5">
        <v>-31166</v>
      </c>
      <c r="F2683" s="3" t="s">
        <v>2799</v>
      </c>
      <c r="G2683" s="3" t="s">
        <v>6259</v>
      </c>
      <c r="H2683" s="2" t="s">
        <v>62</v>
      </c>
      <c r="I2683" s="2" t="s">
        <v>6260</v>
      </c>
      <c r="J2683" s="3" t="str">
        <f>HYPERLINK("https://www.boe.es/gazeta/dias/1814/09/01/pdfs/GMD-1814-119.pdf#page=16","Abrir facsímil")</f>
        <v>Abrir facsímil</v>
      </c>
      <c r="K2683" s="3" t="s">
        <v>64</v>
      </c>
    </row>
    <row r="2684" spans="1:11" ht="42" customHeight="1">
      <c r="A2684" s="2" t="s">
        <v>6257</v>
      </c>
      <c r="B2684" s="2" t="s">
        <v>6258</v>
      </c>
      <c r="C2684" s="2" t="s">
        <v>26</v>
      </c>
      <c r="D2684" s="2" t="s">
        <v>27</v>
      </c>
      <c r="E2684" s="5">
        <v>-31152</v>
      </c>
      <c r="F2684" s="3" t="s">
        <v>199</v>
      </c>
      <c r="G2684" s="3" t="s">
        <v>99</v>
      </c>
      <c r="H2684" s="2" t="s">
        <v>62</v>
      </c>
      <c r="I2684" s="2" t="s">
        <v>6261</v>
      </c>
      <c r="J2684" s="3" t="str">
        <f>HYPERLINK("https://www.boe.es/gazeta/dias/1814/09/15/pdfs/GMD-1814-126.pdf#page=5","Abrir facsímil")</f>
        <v>Abrir facsímil</v>
      </c>
      <c r="K2684" s="3" t="s">
        <v>64</v>
      </c>
    </row>
    <row r="2685" spans="1:11" ht="42" customHeight="1">
      <c r="A2685" s="2" t="s">
        <v>6262</v>
      </c>
      <c r="B2685" s="2" t="s">
        <v>6263</v>
      </c>
      <c r="C2685" s="2" t="s">
        <v>38</v>
      </c>
      <c r="D2685" s="2" t="s">
        <v>39</v>
      </c>
      <c r="E2685" s="5">
        <v>-31110</v>
      </c>
      <c r="F2685" s="3" t="s">
        <v>149</v>
      </c>
      <c r="G2685" s="3" t="s">
        <v>99</v>
      </c>
      <c r="H2685" s="2" t="s">
        <v>62</v>
      </c>
      <c r="I2685" s="2" t="s">
        <v>6264</v>
      </c>
      <c r="J2685" s="3" t="str">
        <f>HYPERLINK("https://www.boe.es/gazeta/dias/1814/10/27/pdfs/GMD-1814-144.pdf#page=5","Abrir facsímil")</f>
        <v>Abrir facsímil</v>
      </c>
      <c r="K2685" s="3" t="s">
        <v>64</v>
      </c>
    </row>
    <row r="2686" spans="1:11" ht="42" customHeight="1">
      <c r="A2686" s="2" t="s">
        <v>6265</v>
      </c>
      <c r="B2686" s="2" t="s">
        <v>6265</v>
      </c>
      <c r="C2686" s="2" t="s">
        <v>38</v>
      </c>
      <c r="D2686" s="2" t="s">
        <v>314</v>
      </c>
      <c r="E2686" s="5">
        <v>-31322</v>
      </c>
      <c r="F2686" s="3" t="s">
        <v>883</v>
      </c>
      <c r="G2686" s="3" t="s">
        <v>107</v>
      </c>
      <c r="H2686" s="2" t="s">
        <v>62</v>
      </c>
      <c r="I2686" s="2" t="s">
        <v>6266</v>
      </c>
      <c r="J2686" s="3" t="str">
        <f>HYPERLINK("https://www.boe.es/gazeta/dias/1814/03/29/pdfs/GRE-1814-45E.pdf#page=1","Abrir facsímil")</f>
        <v>Abrir facsímil</v>
      </c>
      <c r="K2686" s="3" t="s">
        <v>64</v>
      </c>
    </row>
    <row r="2687" spans="1:11" ht="42" customHeight="1">
      <c r="A2687" s="2" t="s">
        <v>6265</v>
      </c>
      <c r="B2687" s="2" t="s">
        <v>6265</v>
      </c>
      <c r="C2687" s="2" t="s">
        <v>17</v>
      </c>
      <c r="D2687" s="2" t="s">
        <v>314</v>
      </c>
      <c r="E2687" s="5">
        <v>-31317</v>
      </c>
      <c r="F2687" s="3" t="s">
        <v>2780</v>
      </c>
      <c r="G2687" s="3" t="s">
        <v>107</v>
      </c>
      <c r="H2687" s="2" t="s">
        <v>62</v>
      </c>
      <c r="I2687" s="2" t="s">
        <v>6267</v>
      </c>
      <c r="J2687" s="3" t="str">
        <f>HYPERLINK("https://www.boe.es/gazeta/dias/1814/04/03/pdfs/GRE-1814-48E.pdf#page=1","Abrir facsímil")</f>
        <v>Abrir facsímil</v>
      </c>
      <c r="K2687" s="3" t="s">
        <v>64</v>
      </c>
    </row>
    <row r="2688" spans="1:11" ht="42" customHeight="1">
      <c r="A2688" s="2" t="s">
        <v>6265</v>
      </c>
      <c r="B2688" s="2" t="s">
        <v>6265</v>
      </c>
      <c r="C2688" s="2" t="s">
        <v>17</v>
      </c>
      <c r="D2688" s="2" t="s">
        <v>18</v>
      </c>
      <c r="E2688" s="5">
        <v>-31315</v>
      </c>
      <c r="F2688" s="3" t="s">
        <v>645</v>
      </c>
      <c r="G2688" s="3" t="s">
        <v>41</v>
      </c>
      <c r="H2688" s="2" t="s">
        <v>62</v>
      </c>
      <c r="I2688" s="2" t="s">
        <v>6268</v>
      </c>
      <c r="J2688" s="3" t="str">
        <f>HYPERLINK("https://www.boe.es/gazeta/dias/1814/04/05/pdfs/GRE-1814-49.pdf#page=4","Abrir facsímil")</f>
        <v>Abrir facsímil</v>
      </c>
      <c r="K2688" s="3" t="s">
        <v>64</v>
      </c>
    </row>
    <row r="2689" spans="1:11" ht="42" customHeight="1">
      <c r="A2689" s="2" t="s">
        <v>6265</v>
      </c>
      <c r="B2689" s="2" t="s">
        <v>6265</v>
      </c>
      <c r="C2689" s="2" t="s">
        <v>17</v>
      </c>
      <c r="D2689" s="2" t="s">
        <v>18</v>
      </c>
      <c r="E2689" s="5">
        <v>-31311</v>
      </c>
      <c r="F2689" s="3" t="s">
        <v>3144</v>
      </c>
      <c r="G2689" s="3" t="s">
        <v>20</v>
      </c>
      <c r="H2689" s="2" t="s">
        <v>62</v>
      </c>
      <c r="I2689" s="2" t="s">
        <v>6269</v>
      </c>
      <c r="J2689" s="3" t="str">
        <f>HYPERLINK("https://www.boe.es/gazeta/dias/1814/04/09/pdfs/GRE-1814-51.pdf#page=7","Abrir facsímil")</f>
        <v>Abrir facsímil</v>
      </c>
      <c r="K2689" s="3" t="s">
        <v>64</v>
      </c>
    </row>
    <row r="2690" spans="1:11" ht="42" customHeight="1">
      <c r="A2690" s="2" t="s">
        <v>6265</v>
      </c>
      <c r="B2690" s="2" t="s">
        <v>6265</v>
      </c>
      <c r="C2690" s="2" t="s">
        <v>32</v>
      </c>
      <c r="D2690" s="2" t="s">
        <v>18</v>
      </c>
      <c r="E2690" s="5">
        <v>-31308</v>
      </c>
      <c r="F2690" s="3" t="s">
        <v>210</v>
      </c>
      <c r="G2690" s="3" t="s">
        <v>57</v>
      </c>
      <c r="H2690" s="2" t="s">
        <v>62</v>
      </c>
      <c r="I2690" s="2" t="s">
        <v>6270</v>
      </c>
      <c r="J2690" s="3" t="str">
        <f>HYPERLINK("https://www.boe.es/gazeta/dias/1814/04/12/pdfs/GRE-1814-52.pdf#page=6","Abrir facsímil")</f>
        <v>Abrir facsímil</v>
      </c>
      <c r="K2690" s="3" t="s">
        <v>64</v>
      </c>
    </row>
    <row r="2691" spans="1:11" ht="42" customHeight="1">
      <c r="A2691" s="2" t="s">
        <v>6265</v>
      </c>
      <c r="B2691" s="2" t="s">
        <v>6265</v>
      </c>
      <c r="C2691" s="2" t="s">
        <v>38</v>
      </c>
      <c r="D2691" s="2" t="s">
        <v>39</v>
      </c>
      <c r="E2691" s="5">
        <v>-31306</v>
      </c>
      <c r="F2691" s="3" t="s">
        <v>670</v>
      </c>
      <c r="G2691" s="3" t="s">
        <v>41</v>
      </c>
      <c r="H2691" s="2" t="s">
        <v>62</v>
      </c>
      <c r="I2691" s="2" t="s">
        <v>6271</v>
      </c>
      <c r="J2691" s="3" t="str">
        <f>HYPERLINK("https://www.boe.es/gazeta/dias/1814/04/14/pdfs/GRE-1814-53.pdf#page=4","Abrir facsímil")</f>
        <v>Abrir facsímil</v>
      </c>
      <c r="K2691" s="3" t="s">
        <v>64</v>
      </c>
    </row>
    <row r="2692" spans="1:11" ht="42" customHeight="1">
      <c r="A2692" s="2" t="s">
        <v>6265</v>
      </c>
      <c r="B2692" s="2" t="s">
        <v>6265</v>
      </c>
      <c r="C2692" s="2" t="s">
        <v>38</v>
      </c>
      <c r="D2692" s="2" t="s">
        <v>39</v>
      </c>
      <c r="E2692" s="5">
        <v>-31306</v>
      </c>
      <c r="F2692" s="3" t="s">
        <v>670</v>
      </c>
      <c r="G2692" s="3" t="s">
        <v>99</v>
      </c>
      <c r="H2692" s="2" t="s">
        <v>62</v>
      </c>
      <c r="I2692" s="2" t="s">
        <v>6272</v>
      </c>
      <c r="J2692" s="3" t="str">
        <f>HYPERLINK("https://www.boe.es/gazeta/dias/1814/04/14/pdfs/GRE-1814-53.pdf#page=5","Abrir facsímil")</f>
        <v>Abrir facsímil</v>
      </c>
      <c r="K2692" s="3" t="s">
        <v>64</v>
      </c>
    </row>
    <row r="2693" spans="1:11" ht="42" customHeight="1">
      <c r="A2693" s="2" t="s">
        <v>6265</v>
      </c>
      <c r="B2693" s="2" t="s">
        <v>6265</v>
      </c>
      <c r="C2693" s="2" t="s">
        <v>32</v>
      </c>
      <c r="D2693" s="2" t="s">
        <v>18</v>
      </c>
      <c r="E2693" s="5">
        <v>-31304</v>
      </c>
      <c r="F2693" s="3" t="s">
        <v>1964</v>
      </c>
      <c r="G2693" s="3" t="s">
        <v>57</v>
      </c>
      <c r="H2693" s="2" t="s">
        <v>62</v>
      </c>
      <c r="I2693" s="2" t="s">
        <v>6273</v>
      </c>
      <c r="J2693" s="3" t="str">
        <f>HYPERLINK("https://www.boe.es/gazeta/dias/1814/04/16/pdfs/GRE-1814-55.pdf#page=6","Abrir facsímil")</f>
        <v>Abrir facsímil</v>
      </c>
      <c r="K2693" s="3" t="s">
        <v>64</v>
      </c>
    </row>
    <row r="2694" spans="1:11" ht="42" customHeight="1">
      <c r="A2694" s="2" t="s">
        <v>6265</v>
      </c>
      <c r="B2694" s="2" t="s">
        <v>6265</v>
      </c>
      <c r="C2694" s="2" t="s">
        <v>38</v>
      </c>
      <c r="D2694" s="2" t="s">
        <v>39</v>
      </c>
      <c r="E2694" s="5">
        <v>-31304</v>
      </c>
      <c r="F2694" s="3" t="s">
        <v>1964</v>
      </c>
      <c r="G2694" s="3" t="s">
        <v>20</v>
      </c>
      <c r="H2694" s="2" t="s">
        <v>62</v>
      </c>
      <c r="I2694" s="2" t="s">
        <v>6274</v>
      </c>
      <c r="J2694" s="3" t="str">
        <f>HYPERLINK("https://www.boe.es/gazeta/dias/1814/04/16/pdfs/GRE-1814-55.pdf#page=7","Abrir facsímil")</f>
        <v>Abrir facsímil</v>
      </c>
      <c r="K2694" s="3" t="s">
        <v>64</v>
      </c>
    </row>
    <row r="2695" spans="1:11" ht="42" customHeight="1">
      <c r="A2695" s="2" t="s">
        <v>6265</v>
      </c>
      <c r="B2695" s="2" t="s">
        <v>6265</v>
      </c>
      <c r="C2695" s="2" t="s">
        <v>17</v>
      </c>
      <c r="D2695" s="2" t="s">
        <v>18</v>
      </c>
      <c r="E2695" s="5">
        <v>-31301</v>
      </c>
      <c r="F2695" s="3" t="s">
        <v>81</v>
      </c>
      <c r="G2695" s="3" t="s">
        <v>20</v>
      </c>
      <c r="H2695" s="2" t="s">
        <v>62</v>
      </c>
      <c r="I2695" s="2" t="s">
        <v>6275</v>
      </c>
      <c r="J2695" s="3" t="str">
        <f>HYPERLINK("https://www.boe.es/gazeta/dias/1814/04/19/pdfs/GRE-1814-56.pdf#page=7","Abrir facsímil")</f>
        <v>Abrir facsímil</v>
      </c>
      <c r="K2695" s="3" t="s">
        <v>64</v>
      </c>
    </row>
    <row r="2696" spans="1:11" ht="42" customHeight="1">
      <c r="A2696" s="2" t="s">
        <v>6265</v>
      </c>
      <c r="B2696" s="2" t="s">
        <v>6265</v>
      </c>
      <c r="C2696" s="2" t="s">
        <v>38</v>
      </c>
      <c r="D2696" s="2" t="s">
        <v>39</v>
      </c>
      <c r="E2696" s="5">
        <v>-31299</v>
      </c>
      <c r="F2696" s="3" t="s">
        <v>71</v>
      </c>
      <c r="G2696" s="3" t="s">
        <v>41</v>
      </c>
      <c r="H2696" s="2" t="s">
        <v>62</v>
      </c>
      <c r="I2696" s="2" t="s">
        <v>6276</v>
      </c>
      <c r="J2696" s="3" t="str">
        <f>HYPERLINK("https://www.boe.es/gazeta/dias/1814/04/21/pdfs/GRE-1814-57.pdf#page=4","Abrir facsímil")</f>
        <v>Abrir facsímil</v>
      </c>
      <c r="K2696" s="3" t="s">
        <v>64</v>
      </c>
    </row>
    <row r="2697" spans="1:11" ht="42" customHeight="1">
      <c r="A2697" s="2" t="s">
        <v>6265</v>
      </c>
      <c r="B2697" s="2" t="s">
        <v>6265</v>
      </c>
      <c r="C2697" s="2" t="s">
        <v>38</v>
      </c>
      <c r="D2697" s="2" t="s">
        <v>39</v>
      </c>
      <c r="E2697" s="5">
        <v>-31299</v>
      </c>
      <c r="F2697" s="3" t="s">
        <v>71</v>
      </c>
      <c r="G2697" s="3" t="s">
        <v>99</v>
      </c>
      <c r="H2697" s="2" t="s">
        <v>62</v>
      </c>
      <c r="I2697" s="2" t="s">
        <v>6277</v>
      </c>
      <c r="J2697" s="3" t="str">
        <f>HYPERLINK("https://www.boe.es/gazeta/dias/1814/04/21/pdfs/GRE-1814-57.pdf#page=5","Abrir facsímil")</f>
        <v>Abrir facsímil</v>
      </c>
      <c r="K2697" s="3" t="s">
        <v>64</v>
      </c>
    </row>
    <row r="2698" spans="1:11" ht="42" customHeight="1">
      <c r="A2698" s="2" t="s">
        <v>6265</v>
      </c>
      <c r="B2698" s="2" t="s">
        <v>6265</v>
      </c>
      <c r="C2698" s="2" t="s">
        <v>17</v>
      </c>
      <c r="D2698" s="2" t="s">
        <v>18</v>
      </c>
      <c r="E2698" s="5">
        <v>-31297</v>
      </c>
      <c r="F2698" s="3" t="s">
        <v>737</v>
      </c>
      <c r="G2698" s="3" t="s">
        <v>52</v>
      </c>
      <c r="H2698" s="2" t="s">
        <v>62</v>
      </c>
      <c r="I2698" s="2" t="s">
        <v>6278</v>
      </c>
      <c r="J2698" s="3" t="str">
        <f>HYPERLINK("https://www.boe.es/gazeta/dias/1814/04/23/pdfs/GRE-1814-59.pdf#page=8","Abrir facsímil")</f>
        <v>Abrir facsímil</v>
      </c>
      <c r="K2698" s="3" t="s">
        <v>64</v>
      </c>
    </row>
    <row r="2699" spans="1:11" ht="42" customHeight="1">
      <c r="A2699" s="2" t="s">
        <v>6265</v>
      </c>
      <c r="B2699" s="2" t="s">
        <v>6265</v>
      </c>
      <c r="C2699" s="2" t="s">
        <v>17</v>
      </c>
      <c r="D2699" s="2" t="s">
        <v>18</v>
      </c>
      <c r="E2699" s="5">
        <v>-31245</v>
      </c>
      <c r="F2699" s="3" t="s">
        <v>908</v>
      </c>
      <c r="G2699" s="3" t="s">
        <v>20</v>
      </c>
      <c r="H2699" s="2" t="s">
        <v>62</v>
      </c>
      <c r="I2699" s="2" t="s">
        <v>6279</v>
      </c>
      <c r="J2699" s="3" t="str">
        <f>HYPERLINK("https://www.boe.es/gazeta/dias/1814/06/14/pdfs/GMD-1814-85.pdf#page=7","Abrir facsímil")</f>
        <v>Abrir facsímil</v>
      </c>
      <c r="K2699" s="3" t="s">
        <v>64</v>
      </c>
    </row>
    <row r="2700" spans="1:11" ht="42" customHeight="1">
      <c r="A2700" s="2" t="s">
        <v>6265</v>
      </c>
      <c r="B2700" s="2" t="s">
        <v>6265</v>
      </c>
      <c r="C2700" s="2" t="s">
        <v>105</v>
      </c>
      <c r="D2700" s="2" t="s">
        <v>18</v>
      </c>
      <c r="E2700" s="5">
        <v>-31234</v>
      </c>
      <c r="F2700" s="3" t="s">
        <v>462</v>
      </c>
      <c r="G2700" s="3" t="s">
        <v>99</v>
      </c>
      <c r="H2700" s="2" t="s">
        <v>62</v>
      </c>
      <c r="I2700" s="2" t="s">
        <v>6280</v>
      </c>
      <c r="J2700" s="3" t="str">
        <f>HYPERLINK("https://www.boe.es/gazeta/dias/1814/06/25/pdfs/GMD-1814-90.pdf#page=5","Abrir facsímil")</f>
        <v>Abrir facsímil</v>
      </c>
      <c r="K2700" s="3" t="s">
        <v>64</v>
      </c>
    </row>
    <row r="2701" spans="1:11" ht="42" customHeight="1">
      <c r="A2701" s="2" t="s">
        <v>6265</v>
      </c>
      <c r="B2701" s="2" t="s">
        <v>6265</v>
      </c>
      <c r="C2701" s="2" t="s">
        <v>26</v>
      </c>
      <c r="D2701" s="2" t="s">
        <v>27</v>
      </c>
      <c r="E2701" s="5">
        <v>-31220</v>
      </c>
      <c r="F2701" s="3" t="s">
        <v>122</v>
      </c>
      <c r="G2701" s="3" t="s">
        <v>20</v>
      </c>
      <c r="H2701" s="2" t="s">
        <v>62</v>
      </c>
      <c r="I2701" s="2" t="s">
        <v>6281</v>
      </c>
      <c r="J2701" s="3" t="str">
        <f>HYPERLINK("https://www.boe.es/gazeta/dias/1814/07/09/pdfs/GMD-1814-96.pdf#page=7","Abrir facsímil")</f>
        <v>Abrir facsímil</v>
      </c>
      <c r="K2701" s="3" t="s">
        <v>64</v>
      </c>
    </row>
    <row r="2702" spans="1:11" ht="42" customHeight="1">
      <c r="A2702" s="2" t="s">
        <v>6265</v>
      </c>
      <c r="B2702" s="2" t="s">
        <v>6265</v>
      </c>
      <c r="C2702" s="2" t="s">
        <v>17</v>
      </c>
      <c r="D2702" s="2" t="s">
        <v>18</v>
      </c>
      <c r="E2702" s="5">
        <v>-31210</v>
      </c>
      <c r="F2702" s="3" t="s">
        <v>141</v>
      </c>
      <c r="G2702" s="3" t="s">
        <v>52</v>
      </c>
      <c r="H2702" s="2" t="s">
        <v>62</v>
      </c>
      <c r="I2702" s="2" t="s">
        <v>6282</v>
      </c>
      <c r="J2702" s="3" t="str">
        <f>HYPERLINK("https://www.boe.es/gazeta/dias/1814/07/19/pdfs/GMD-1814-100.pdf#page=8","Abrir facsímil")</f>
        <v>Abrir facsímil</v>
      </c>
      <c r="K2702" s="3" t="s">
        <v>64</v>
      </c>
    </row>
    <row r="2703" spans="1:11" ht="42" customHeight="1">
      <c r="A2703" s="2" t="s">
        <v>6265</v>
      </c>
      <c r="B2703" s="2" t="s">
        <v>6265</v>
      </c>
      <c r="C2703" s="2" t="s">
        <v>38</v>
      </c>
      <c r="D2703" s="2" t="s">
        <v>39</v>
      </c>
      <c r="E2703" s="5">
        <v>-31206</v>
      </c>
      <c r="F2703" s="3" t="s">
        <v>1196</v>
      </c>
      <c r="G2703" s="3" t="s">
        <v>3331</v>
      </c>
      <c r="H2703" s="2" t="s">
        <v>62</v>
      </c>
      <c r="I2703" s="2" t="s">
        <v>6283</v>
      </c>
      <c r="J2703" s="3" t="str">
        <f>HYPERLINK("https://www.boe.es/gazeta/dias/1814/07/23/pdfs/GMD-1814-102.pdf#page=6","Abrir facsímil")</f>
        <v>Abrir facsímil</v>
      </c>
      <c r="K2703" s="3" t="s">
        <v>64</v>
      </c>
    </row>
    <row r="2704" spans="1:11" ht="42" customHeight="1">
      <c r="A2704" s="2" t="s">
        <v>6265</v>
      </c>
      <c r="B2704" s="2" t="s">
        <v>6265</v>
      </c>
      <c r="C2704" s="2" t="s">
        <v>38</v>
      </c>
      <c r="D2704" s="2" t="s">
        <v>39</v>
      </c>
      <c r="E2704" s="5">
        <v>-31206</v>
      </c>
      <c r="F2704" s="3" t="s">
        <v>1196</v>
      </c>
      <c r="G2704" s="3" t="s">
        <v>82</v>
      </c>
      <c r="H2704" s="2" t="s">
        <v>62</v>
      </c>
      <c r="I2704" s="2" t="s">
        <v>6284</v>
      </c>
      <c r="J2704" s="3" t="str">
        <f>HYPERLINK("https://www.boe.es/gazeta/dias/1814/07/23/pdfs/GMD-1814-102.pdf#page=3","Abrir facsímil")</f>
        <v>Abrir facsímil</v>
      </c>
      <c r="K2704" s="3" t="s">
        <v>64</v>
      </c>
    </row>
    <row r="2705" spans="1:11" ht="42" customHeight="1">
      <c r="A2705" s="2" t="s">
        <v>6265</v>
      </c>
      <c r="B2705" s="2" t="s">
        <v>6265</v>
      </c>
      <c r="C2705" s="2" t="s">
        <v>17</v>
      </c>
      <c r="D2705" s="2" t="s">
        <v>18</v>
      </c>
      <c r="E2705" s="5">
        <v>-31147</v>
      </c>
      <c r="F2705" s="3" t="s">
        <v>86</v>
      </c>
      <c r="G2705" s="3" t="s">
        <v>57</v>
      </c>
      <c r="H2705" s="2" t="s">
        <v>62</v>
      </c>
      <c r="I2705" s="2" t="s">
        <v>6285</v>
      </c>
      <c r="J2705" s="3" t="str">
        <f>HYPERLINK("https://www.boe.es/gazeta/dias/1814/09/20/pdfs/GMD-1814-128.pdf#page=6","Abrir facsímil")</f>
        <v>Abrir facsímil</v>
      </c>
      <c r="K2705" s="3" t="s">
        <v>64</v>
      </c>
    </row>
    <row r="2706" spans="1:11" ht="42" customHeight="1">
      <c r="A2706" s="2" t="s">
        <v>6265</v>
      </c>
      <c r="B2706" s="2" t="s">
        <v>6265</v>
      </c>
      <c r="C2706" s="2" t="s">
        <v>26</v>
      </c>
      <c r="D2706" s="2" t="s">
        <v>27</v>
      </c>
      <c r="E2706" s="5">
        <v>-31147</v>
      </c>
      <c r="F2706" s="3" t="s">
        <v>86</v>
      </c>
      <c r="G2706" s="3" t="s">
        <v>137</v>
      </c>
      <c r="H2706" s="2" t="s">
        <v>62</v>
      </c>
      <c r="I2706" s="2" t="s">
        <v>6286</v>
      </c>
      <c r="J2706" s="3" t="str">
        <f>HYPERLINK("https://www.boe.es/gazeta/dias/1814/09/20/pdfs/GMD-1814-128.pdf#page=9","Abrir facsímil")</f>
        <v>Abrir facsímil</v>
      </c>
      <c r="K2706" s="3" t="s">
        <v>64</v>
      </c>
    </row>
    <row r="2707" spans="1:11" ht="42" customHeight="1">
      <c r="A2707" s="2" t="s">
        <v>6265</v>
      </c>
      <c r="B2707" s="2" t="s">
        <v>6265</v>
      </c>
      <c r="C2707" s="2" t="s">
        <v>26</v>
      </c>
      <c r="D2707" s="2" t="s">
        <v>27</v>
      </c>
      <c r="E2707" s="5">
        <v>-31131</v>
      </c>
      <c r="F2707" s="3" t="s">
        <v>132</v>
      </c>
      <c r="G2707" s="3" t="s">
        <v>82</v>
      </c>
      <c r="H2707" s="2" t="s">
        <v>62</v>
      </c>
      <c r="I2707" s="2" t="s">
        <v>6287</v>
      </c>
      <c r="J2707" s="3" t="str">
        <f>HYPERLINK("https://www.boe.es/gazeta/dias/1814/10/06/pdfs/GMD-1814-135.pdf#page=3","Abrir facsímil")</f>
        <v>Abrir facsímil</v>
      </c>
      <c r="K2707" s="3" t="s">
        <v>64</v>
      </c>
    </row>
    <row r="2708" spans="1:11" ht="42" customHeight="1">
      <c r="A2708" s="2" t="s">
        <v>6265</v>
      </c>
      <c r="B2708" s="2" t="s">
        <v>6265</v>
      </c>
      <c r="C2708" s="2" t="s">
        <v>38</v>
      </c>
      <c r="D2708" s="2" t="s">
        <v>39</v>
      </c>
      <c r="E2708" s="5">
        <v>-31101</v>
      </c>
      <c r="F2708" s="3" t="s">
        <v>2095</v>
      </c>
      <c r="G2708" s="3" t="s">
        <v>82</v>
      </c>
      <c r="H2708" s="2" t="s">
        <v>62</v>
      </c>
      <c r="I2708" s="2" t="s">
        <v>6288</v>
      </c>
      <c r="J2708" s="3" t="str">
        <f>HYPERLINK("https://www.boe.es/gazeta/dias/1814/11/05/pdfs/GMD-1814-148.pdf#page=3","Abrir facsímil")</f>
        <v>Abrir facsímil</v>
      </c>
      <c r="K2708" s="3" t="s">
        <v>64</v>
      </c>
    </row>
    <row r="2709" spans="1:11" ht="42" customHeight="1">
      <c r="A2709" s="2" t="s">
        <v>6265</v>
      </c>
      <c r="B2709" s="2" t="s">
        <v>6265</v>
      </c>
      <c r="C2709" s="2" t="s">
        <v>38</v>
      </c>
      <c r="D2709" s="2" t="s">
        <v>39</v>
      </c>
      <c r="E2709" s="5">
        <v>-31098</v>
      </c>
      <c r="F2709" s="3" t="s">
        <v>290</v>
      </c>
      <c r="G2709" s="3" t="s">
        <v>82</v>
      </c>
      <c r="H2709" s="2" t="s">
        <v>62</v>
      </c>
      <c r="I2709" s="2" t="s">
        <v>6289</v>
      </c>
      <c r="J2709" s="3" t="str">
        <f>HYPERLINK("https://www.boe.es/gazeta/dias/1814/11/08/pdfs/GMD-1814-149.pdf#page=3","Abrir facsímil")</f>
        <v>Abrir facsímil</v>
      </c>
      <c r="K2709" s="3" t="s">
        <v>64</v>
      </c>
    </row>
    <row r="2710" spans="1:11" ht="42" customHeight="1">
      <c r="A2710" s="2" t="s">
        <v>6265</v>
      </c>
      <c r="B2710" s="2" t="s">
        <v>6265</v>
      </c>
      <c r="C2710" s="2" t="s">
        <v>38</v>
      </c>
      <c r="D2710" s="2" t="s">
        <v>39</v>
      </c>
      <c r="E2710" s="5">
        <v>-31084</v>
      </c>
      <c r="F2710" s="3" t="s">
        <v>282</v>
      </c>
      <c r="G2710" s="3" t="s">
        <v>99</v>
      </c>
      <c r="H2710" s="2" t="s">
        <v>62</v>
      </c>
      <c r="I2710" s="2" t="s">
        <v>6290</v>
      </c>
      <c r="J2710" s="3" t="str">
        <f>HYPERLINK("https://www.boe.es/gazeta/dias/1814/11/22/pdfs/GMD-1814-155.pdf#page=5","Abrir facsímil")</f>
        <v>Abrir facsímil</v>
      </c>
      <c r="K2710" s="3" t="s">
        <v>64</v>
      </c>
    </row>
    <row r="2711" spans="1:11" ht="42" customHeight="1">
      <c r="A2711" s="2" t="s">
        <v>6265</v>
      </c>
      <c r="B2711" s="2" t="s">
        <v>6265</v>
      </c>
      <c r="C2711" s="2" t="s">
        <v>38</v>
      </c>
      <c r="D2711" s="2" t="s">
        <v>39</v>
      </c>
      <c r="E2711" s="5">
        <v>-31080</v>
      </c>
      <c r="F2711" s="3" t="s">
        <v>286</v>
      </c>
      <c r="G2711" s="3" t="s">
        <v>41</v>
      </c>
      <c r="H2711" s="2" t="s">
        <v>62</v>
      </c>
      <c r="I2711" s="2" t="s">
        <v>6291</v>
      </c>
      <c r="J2711" s="3" t="str">
        <f>HYPERLINK("https://www.boe.es/gazeta/dias/1814/11/26/pdfs/GMD-1814-157.pdf#page=4","Abrir facsímil")</f>
        <v>Abrir facsímil</v>
      </c>
      <c r="K2711" s="3" t="s">
        <v>64</v>
      </c>
    </row>
    <row r="2712" spans="1:11" ht="42" customHeight="1">
      <c r="A2712" s="2" t="s">
        <v>6292</v>
      </c>
      <c r="B2712" s="2" t="s">
        <v>6293</v>
      </c>
      <c r="C2712" s="2" t="s">
        <v>38</v>
      </c>
      <c r="D2712" s="2" t="s">
        <v>39</v>
      </c>
      <c r="E2712" s="5">
        <v>-31203</v>
      </c>
      <c r="F2712" s="3" t="s">
        <v>512</v>
      </c>
      <c r="G2712" s="3" t="s">
        <v>99</v>
      </c>
      <c r="H2712" s="2" t="s">
        <v>62</v>
      </c>
      <c r="I2712" s="2" t="s">
        <v>6294</v>
      </c>
      <c r="J2712" s="3" t="str">
        <f>HYPERLINK("https://www.boe.es/gazeta/dias/1814/07/26/pdfs/GMD-1814-103.pdf#page=5","Abrir facsímil")</f>
        <v>Abrir facsímil</v>
      </c>
      <c r="K2712" s="3" t="s">
        <v>64</v>
      </c>
    </row>
    <row r="2713" spans="1:11" ht="42" customHeight="1">
      <c r="A2713" s="2" t="s">
        <v>6295</v>
      </c>
      <c r="B2713" s="2" t="s">
        <v>6296</v>
      </c>
      <c r="C2713" s="2" t="s">
        <v>26</v>
      </c>
      <c r="D2713" s="2" t="s">
        <v>27</v>
      </c>
      <c r="E2713" s="5">
        <v>-31171</v>
      </c>
      <c r="F2713" s="3" t="s">
        <v>157</v>
      </c>
      <c r="G2713" s="3" t="s">
        <v>82</v>
      </c>
      <c r="H2713" s="2" t="s">
        <v>62</v>
      </c>
      <c r="I2713" s="2" t="s">
        <v>6297</v>
      </c>
      <c r="J2713" s="3" t="str">
        <f>HYPERLINK("https://www.boe.es/gazeta/dias/1814/08/27/pdfs/GMD-1814-117.pdf#page=3","Abrir facsímil")</f>
        <v>Abrir facsímil</v>
      </c>
      <c r="K2713" s="3" t="s">
        <v>64</v>
      </c>
    </row>
    <row r="2714" spans="1:11" ht="42" customHeight="1">
      <c r="A2714" s="2" t="s">
        <v>6298</v>
      </c>
      <c r="B2714" s="2" t="s">
        <v>6299</v>
      </c>
      <c r="C2714" s="2" t="s">
        <v>26</v>
      </c>
      <c r="D2714" s="2" t="s">
        <v>27</v>
      </c>
      <c r="E2714" s="5">
        <v>-31250</v>
      </c>
      <c r="F2714" s="3" t="s">
        <v>177</v>
      </c>
      <c r="G2714" s="3" t="s">
        <v>52</v>
      </c>
      <c r="H2714" s="2" t="s">
        <v>62</v>
      </c>
      <c r="I2714" s="2" t="s">
        <v>6300</v>
      </c>
      <c r="J2714" s="3" t="str">
        <f>HYPERLINK("https://www.boe.es/gazeta/dias/1814/06/09/pdfs/GMD-1814-83.pdf#page=8","Abrir facsímil")</f>
        <v>Abrir facsímil</v>
      </c>
      <c r="K2714" s="3" t="s">
        <v>64</v>
      </c>
    </row>
    <row r="2715" spans="1:11" ht="42" customHeight="1">
      <c r="A2715" s="2" t="s">
        <v>6301</v>
      </c>
      <c r="B2715" s="2" t="s">
        <v>6302</v>
      </c>
      <c r="C2715" s="2" t="s">
        <v>17</v>
      </c>
      <c r="D2715" s="2" t="s">
        <v>18</v>
      </c>
      <c r="E2715" s="5">
        <v>-31224</v>
      </c>
      <c r="F2715" s="3" t="s">
        <v>609</v>
      </c>
      <c r="G2715" s="3" t="s">
        <v>322</v>
      </c>
      <c r="H2715" s="2" t="s">
        <v>62</v>
      </c>
      <c r="I2715" s="2" t="s">
        <v>6303</v>
      </c>
      <c r="J2715" s="3" t="str">
        <f>HYPERLINK("https://www.boe.es/gazeta/dias/1814/07/05/pdfs/GMD-1814-94.pdf#page=12","Abrir facsímil")</f>
        <v>Abrir facsímil</v>
      </c>
      <c r="K2715" s="3" t="s">
        <v>64</v>
      </c>
    </row>
    <row r="2716" spans="1:11" ht="42" customHeight="1">
      <c r="A2716" s="2" t="s">
        <v>6304</v>
      </c>
      <c r="B2716" s="2" t="s">
        <v>6305</v>
      </c>
      <c r="C2716" s="2" t="s">
        <v>17</v>
      </c>
      <c r="D2716" s="2" t="s">
        <v>18</v>
      </c>
      <c r="E2716" s="5">
        <v>-31215</v>
      </c>
      <c r="F2716" s="3" t="s">
        <v>372</v>
      </c>
      <c r="G2716" s="3" t="s">
        <v>52</v>
      </c>
      <c r="H2716" s="2" t="s">
        <v>62</v>
      </c>
      <c r="I2716" s="2" t="s">
        <v>6306</v>
      </c>
      <c r="J2716" s="3" t="str">
        <f>HYPERLINK("https://www.boe.es/gazeta/dias/1814/07/14/pdfs/GMD-1814-98.pdf#page=8","Abrir facsímil")</f>
        <v>Abrir facsímil</v>
      </c>
      <c r="K2716" s="3" t="s">
        <v>64</v>
      </c>
    </row>
    <row r="2717" spans="1:11" ht="42" customHeight="1">
      <c r="A2717" s="2" t="s">
        <v>6304</v>
      </c>
      <c r="B2717" s="2" t="s">
        <v>6305</v>
      </c>
      <c r="C2717" s="2" t="s">
        <v>38</v>
      </c>
      <c r="D2717" s="2" t="s">
        <v>39</v>
      </c>
      <c r="E2717" s="5">
        <v>-31185</v>
      </c>
      <c r="F2717" s="3" t="s">
        <v>1238</v>
      </c>
      <c r="G2717" s="3" t="s">
        <v>3166</v>
      </c>
      <c r="H2717" s="2" t="s">
        <v>62</v>
      </c>
      <c r="I2717" s="2" t="s">
        <v>6307</v>
      </c>
      <c r="J2717" s="3" t="str">
        <f>HYPERLINK("https://www.boe.es/gazeta/dias/1814/08/13/pdfs/GMD-1814-111.pdf#page=7","Abrir facsímil")</f>
        <v>Abrir facsímil</v>
      </c>
      <c r="K2717" s="3" t="s">
        <v>64</v>
      </c>
    </row>
    <row r="2718" spans="1:11" ht="42" customHeight="1">
      <c r="A2718" s="2" t="s">
        <v>6308</v>
      </c>
      <c r="B2718" s="2" t="s">
        <v>6309</v>
      </c>
      <c r="C2718" s="2" t="s">
        <v>17</v>
      </c>
      <c r="D2718" s="2" t="s">
        <v>18</v>
      </c>
      <c r="E2718" s="5">
        <v>-31194</v>
      </c>
      <c r="F2718" s="3" t="s">
        <v>333</v>
      </c>
      <c r="G2718" s="3" t="s">
        <v>57</v>
      </c>
      <c r="H2718" s="2" t="s">
        <v>62</v>
      </c>
      <c r="I2718" s="2" t="s">
        <v>6310</v>
      </c>
      <c r="J2718" s="3" t="str">
        <f>HYPERLINK("https://www.boe.es/gazeta/dias/1814/08/04/pdfs/GMD-1814-107.pdf#page=6","Abrir facsímil")</f>
        <v>Abrir facsímil</v>
      </c>
      <c r="K2718" s="3" t="s">
        <v>64</v>
      </c>
    </row>
    <row r="2719" spans="1:11" ht="42" customHeight="1">
      <c r="A2719" s="2" t="s">
        <v>6311</v>
      </c>
      <c r="B2719" s="2" t="s">
        <v>6312</v>
      </c>
      <c r="C2719" s="2" t="s">
        <v>45</v>
      </c>
      <c r="D2719" s="2" t="s">
        <v>18</v>
      </c>
      <c r="E2719" s="5">
        <v>-31075</v>
      </c>
      <c r="F2719" s="3" t="s">
        <v>537</v>
      </c>
      <c r="G2719" s="3" t="s">
        <v>3835</v>
      </c>
      <c r="H2719" s="2" t="s">
        <v>62</v>
      </c>
      <c r="I2719" s="2" t="s">
        <v>6313</v>
      </c>
      <c r="J2719" s="3" t="str">
        <f>HYPERLINK("https://www.boe.es/gazeta/dias/1814/12/01/pdfs/GMD-1814-159.pdf#page=5","Abrir facsímil")</f>
        <v>Abrir facsímil</v>
      </c>
      <c r="K2719" s="3" t="s">
        <v>64</v>
      </c>
    </row>
    <row r="2720" spans="1:11" ht="42" customHeight="1">
      <c r="A2720" s="2" t="s">
        <v>6314</v>
      </c>
      <c r="B2720" s="2" t="s">
        <v>6315</v>
      </c>
      <c r="C2720" s="2" t="s">
        <v>26</v>
      </c>
      <c r="D2720" s="2" t="s">
        <v>27</v>
      </c>
      <c r="E2720" s="5">
        <v>-31091</v>
      </c>
      <c r="F2720" s="3" t="s">
        <v>1156</v>
      </c>
      <c r="G2720" s="3" t="s">
        <v>41</v>
      </c>
      <c r="H2720" s="2" t="s">
        <v>62</v>
      </c>
      <c r="I2720" s="2" t="s">
        <v>6316</v>
      </c>
      <c r="J2720" s="3" t="str">
        <f>HYPERLINK("https://www.boe.es/gazeta/dias/1814/11/15/pdfs/GMD-1814-152.pdf#page=4","Abrir facsímil")</f>
        <v>Abrir facsímil</v>
      </c>
      <c r="K2720" s="3" t="s">
        <v>64</v>
      </c>
    </row>
    <row r="2721" spans="1:11" ht="42" customHeight="1">
      <c r="A2721" s="2" t="s">
        <v>6317</v>
      </c>
      <c r="B2721" s="2" t="s">
        <v>6317</v>
      </c>
      <c r="C2721" s="2" t="s">
        <v>38</v>
      </c>
      <c r="D2721" s="2" t="s">
        <v>39</v>
      </c>
      <c r="E2721" s="5">
        <v>-31112</v>
      </c>
      <c r="F2721" s="3" t="s">
        <v>707</v>
      </c>
      <c r="G2721" s="3" t="s">
        <v>4335</v>
      </c>
      <c r="H2721" s="2" t="s">
        <v>62</v>
      </c>
      <c r="I2721" s="2" t="s">
        <v>6318</v>
      </c>
      <c r="J2721" s="3" t="str">
        <f>HYPERLINK("https://www.boe.es/gazeta/dias/1814/10/25/pdfs/GMD-1814-143.pdf#page=6","Abrir facsímil")</f>
        <v>Abrir facsímil</v>
      </c>
      <c r="K2721" s="3" t="s">
        <v>64</v>
      </c>
    </row>
    <row r="2722" spans="1:11" ht="42" customHeight="1">
      <c r="A2722" s="2" t="s">
        <v>6319</v>
      </c>
      <c r="B2722" s="2" t="s">
        <v>6320</v>
      </c>
      <c r="C2722" s="2" t="s">
        <v>38</v>
      </c>
      <c r="D2722" s="2" t="s">
        <v>39</v>
      </c>
      <c r="E2722" s="5">
        <v>-31126</v>
      </c>
      <c r="F2722" s="3" t="s">
        <v>56</v>
      </c>
      <c r="G2722" s="3" t="s">
        <v>52</v>
      </c>
      <c r="H2722" s="2" t="s">
        <v>62</v>
      </c>
      <c r="I2722" s="2" t="s">
        <v>6321</v>
      </c>
      <c r="J2722" s="3" t="str">
        <f>HYPERLINK("https://www.boe.es/gazeta/dias/1814/10/11/pdfs/GMD-1814-137.pdf#page=8","Abrir facsímil")</f>
        <v>Abrir facsímil</v>
      </c>
      <c r="K2722" s="3" t="s">
        <v>64</v>
      </c>
    </row>
    <row r="2723" spans="1:11" ht="42" customHeight="1">
      <c r="A2723" s="2" t="s">
        <v>6322</v>
      </c>
      <c r="B2723" s="2" t="s">
        <v>6323</v>
      </c>
      <c r="C2723" s="2" t="s">
        <v>38</v>
      </c>
      <c r="D2723" s="2" t="s">
        <v>39</v>
      </c>
      <c r="E2723" s="5">
        <v>-31054</v>
      </c>
      <c r="F2723" s="3" t="s">
        <v>952</v>
      </c>
      <c r="G2723" s="3" t="s">
        <v>52</v>
      </c>
      <c r="H2723" s="2" t="s">
        <v>62</v>
      </c>
      <c r="I2723" s="2" t="s">
        <v>6324</v>
      </c>
      <c r="J2723" s="3" t="str">
        <f>HYPERLINK("https://www.boe.es/gazeta/dias/1814/12/22/pdfs/GMD-1814-169.pdf#page=8","Abrir facsímil")</f>
        <v>Abrir facsímil</v>
      </c>
      <c r="K2723" s="3" t="s">
        <v>64</v>
      </c>
    </row>
    <row r="2724" spans="1:11" ht="42" customHeight="1">
      <c r="A2724" s="2" t="s">
        <v>6325</v>
      </c>
      <c r="B2724" s="2" t="s">
        <v>6326</v>
      </c>
      <c r="C2724" s="2" t="s">
        <v>26</v>
      </c>
      <c r="D2724" s="2" t="s">
        <v>27</v>
      </c>
      <c r="E2724" s="5">
        <v>-31185</v>
      </c>
      <c r="F2724" s="3" t="s">
        <v>1238</v>
      </c>
      <c r="G2724" s="3" t="s">
        <v>82</v>
      </c>
      <c r="H2724" s="2" t="s">
        <v>62</v>
      </c>
      <c r="I2724" s="2" t="s">
        <v>6327</v>
      </c>
      <c r="J2724" s="3" t="str">
        <f>HYPERLINK("https://www.boe.es/gazeta/dias/1814/08/13/pdfs/GMD-1814-111.pdf#page=3","Abrir facsímil")</f>
        <v>Abrir facsímil</v>
      </c>
      <c r="K2724" s="3" t="s">
        <v>64</v>
      </c>
    </row>
    <row r="2725" spans="1:11" ht="42" customHeight="1">
      <c r="A2725" s="2" t="s">
        <v>6328</v>
      </c>
      <c r="B2725" s="2" t="s">
        <v>6329</v>
      </c>
      <c r="C2725" s="2" t="s">
        <v>38</v>
      </c>
      <c r="D2725" s="2" t="s">
        <v>39</v>
      </c>
      <c r="E2725" s="5">
        <v>-31126</v>
      </c>
      <c r="F2725" s="3" t="s">
        <v>56</v>
      </c>
      <c r="G2725" s="3" t="s">
        <v>52</v>
      </c>
      <c r="H2725" s="2" t="s">
        <v>62</v>
      </c>
      <c r="I2725" s="2" t="s">
        <v>6330</v>
      </c>
      <c r="J2725" s="3" t="str">
        <f>HYPERLINK("https://www.boe.es/gazeta/dias/1814/10/11/pdfs/GMD-1814-137.pdf#page=8","Abrir facsímil")</f>
        <v>Abrir facsímil</v>
      </c>
      <c r="K2725" s="3" t="s">
        <v>64</v>
      </c>
    </row>
    <row r="2726" spans="1:11" ht="42" customHeight="1">
      <c r="A2726" s="2" t="s">
        <v>6331</v>
      </c>
      <c r="B2726" s="2" t="s">
        <v>6332</v>
      </c>
      <c r="C2726" s="2" t="s">
        <v>32</v>
      </c>
      <c r="D2726" s="2" t="s">
        <v>18</v>
      </c>
      <c r="E2726" s="5">
        <v>-31171</v>
      </c>
      <c r="F2726" s="3" t="s">
        <v>157</v>
      </c>
      <c r="G2726" s="3" t="s">
        <v>52</v>
      </c>
      <c r="H2726" s="2" t="s">
        <v>62</v>
      </c>
      <c r="I2726" s="2" t="s">
        <v>6333</v>
      </c>
      <c r="J2726" s="3" t="str">
        <f>HYPERLINK("https://www.boe.es/gazeta/dias/1814/08/27/pdfs/GMD-1814-117.pdf#page=8","Abrir facsímil")</f>
        <v>Abrir facsímil</v>
      </c>
      <c r="K2726" s="3" t="s">
        <v>64</v>
      </c>
    </row>
    <row r="2727" spans="1:11" ht="42" customHeight="1">
      <c r="A2727" s="2" t="s">
        <v>6334</v>
      </c>
      <c r="B2727" s="2" t="s">
        <v>6335</v>
      </c>
      <c r="C2727" s="2" t="s">
        <v>38</v>
      </c>
      <c r="D2727" s="2" t="s">
        <v>39</v>
      </c>
      <c r="E2727" s="5">
        <v>-31129</v>
      </c>
      <c r="F2727" s="3" t="s">
        <v>418</v>
      </c>
      <c r="G2727" s="3" t="s">
        <v>52</v>
      </c>
      <c r="H2727" s="2" t="s">
        <v>62</v>
      </c>
      <c r="I2727" s="2" t="s">
        <v>6336</v>
      </c>
      <c r="J2727" s="3" t="str">
        <f>HYPERLINK("https://www.boe.es/gazeta/dias/1814/10/08/pdfs/GMD-1814-136.pdf#page=8","Abrir facsímil")</f>
        <v>Abrir facsímil</v>
      </c>
      <c r="K2727" s="3" t="s">
        <v>64</v>
      </c>
    </row>
    <row r="2728" spans="1:11" ht="42" customHeight="1">
      <c r="A2728" s="2" t="s">
        <v>6337</v>
      </c>
      <c r="B2728" s="2" t="s">
        <v>6338</v>
      </c>
      <c r="C2728" s="2" t="s">
        <v>26</v>
      </c>
      <c r="D2728" s="2" t="s">
        <v>27</v>
      </c>
      <c r="E2728" s="5">
        <v>-31154</v>
      </c>
      <c r="F2728" s="3" t="s">
        <v>688</v>
      </c>
      <c r="G2728" s="3" t="s">
        <v>52</v>
      </c>
      <c r="H2728" s="2" t="s">
        <v>62</v>
      </c>
      <c r="I2728" s="2" t="s">
        <v>6339</v>
      </c>
      <c r="J2728" s="3" t="str">
        <f>HYPERLINK("https://www.boe.es/gazeta/dias/1814/09/13/pdfs/GMD-1814-125.pdf#page=8","Abrir facsímil")</f>
        <v>Abrir facsímil</v>
      </c>
      <c r="K2728" s="3" t="s">
        <v>64</v>
      </c>
    </row>
    <row r="2729" spans="1:11" ht="42" customHeight="1">
      <c r="A2729" s="2" t="s">
        <v>6340</v>
      </c>
      <c r="B2729" s="2" t="s">
        <v>6340</v>
      </c>
      <c r="C2729" s="2" t="s">
        <v>38</v>
      </c>
      <c r="D2729" s="2" t="s">
        <v>39</v>
      </c>
      <c r="E2729" s="5">
        <v>-31112</v>
      </c>
      <c r="F2729" s="3" t="s">
        <v>707</v>
      </c>
      <c r="G2729" s="3" t="s">
        <v>107</v>
      </c>
      <c r="H2729" s="2" t="s">
        <v>62</v>
      </c>
      <c r="I2729" s="2" t="s">
        <v>6341</v>
      </c>
      <c r="J2729" s="3" t="str">
        <f>HYPERLINK("https://www.boe.es/gazeta/dias/1814/10/25/pdfs/GMD-1814-143.pdf#page=1","Abrir facsímil")</f>
        <v>Abrir facsímil</v>
      </c>
      <c r="K2729" s="3" t="s">
        <v>64</v>
      </c>
    </row>
    <row r="2730" spans="1:11" ht="42" customHeight="1">
      <c r="A2730" s="2" t="s">
        <v>6342</v>
      </c>
      <c r="B2730" s="2" t="s">
        <v>6343</v>
      </c>
      <c r="C2730" s="2" t="s">
        <v>38</v>
      </c>
      <c r="D2730" s="2" t="s">
        <v>39</v>
      </c>
      <c r="E2730" s="5">
        <v>-31054</v>
      </c>
      <c r="F2730" s="3" t="s">
        <v>952</v>
      </c>
      <c r="G2730" s="3" t="s">
        <v>99</v>
      </c>
      <c r="H2730" s="2" t="s">
        <v>62</v>
      </c>
      <c r="I2730" s="2" t="s">
        <v>6344</v>
      </c>
      <c r="J2730" s="3" t="str">
        <f>HYPERLINK("https://www.boe.es/gazeta/dias/1814/12/22/pdfs/GMD-1814-169.pdf#page=5","Abrir facsímil")</f>
        <v>Abrir facsímil</v>
      </c>
      <c r="K2730" s="3" t="s">
        <v>64</v>
      </c>
    </row>
    <row r="2731" spans="1:11" ht="42" customHeight="1">
      <c r="A2731" s="2" t="s">
        <v>6345</v>
      </c>
      <c r="B2731" s="2" t="s">
        <v>6346</v>
      </c>
      <c r="C2731" s="2" t="s">
        <v>38</v>
      </c>
      <c r="D2731" s="2" t="s">
        <v>39</v>
      </c>
      <c r="E2731" s="5">
        <v>-31196</v>
      </c>
      <c r="F2731" s="3" t="s">
        <v>828</v>
      </c>
      <c r="G2731" s="3" t="s">
        <v>52</v>
      </c>
      <c r="H2731" s="2" t="s">
        <v>62</v>
      </c>
      <c r="I2731" s="2" t="s">
        <v>6347</v>
      </c>
      <c r="J2731" s="3" t="str">
        <f>HYPERLINK("https://www.boe.es/gazeta/dias/1814/08/02/pdfs/GMD-1814-106.pdf#page=8","Abrir facsímil")</f>
        <v>Abrir facsímil</v>
      </c>
      <c r="K2731" s="3" t="s">
        <v>64</v>
      </c>
    </row>
    <row r="2732" spans="1:11" ht="42" customHeight="1">
      <c r="A2732" s="2" t="s">
        <v>6348</v>
      </c>
      <c r="B2732" s="2" t="s">
        <v>6349</v>
      </c>
      <c r="C2732" s="2" t="s">
        <v>38</v>
      </c>
      <c r="D2732" s="2" t="s">
        <v>39</v>
      </c>
      <c r="E2732" s="5">
        <v>-31199</v>
      </c>
      <c r="F2732" s="3" t="s">
        <v>453</v>
      </c>
      <c r="G2732" s="3" t="s">
        <v>1027</v>
      </c>
      <c r="H2732" s="2" t="s">
        <v>62</v>
      </c>
      <c r="I2732" s="2" t="s">
        <v>6350</v>
      </c>
      <c r="J2732" s="3" t="str">
        <f>HYPERLINK("https://www.boe.es/gazeta/dias/1814/07/30/pdfs/GMD-1814-105.pdf#page=8","Abrir facsímil")</f>
        <v>Abrir facsímil</v>
      </c>
      <c r="K2732" s="3" t="s">
        <v>64</v>
      </c>
    </row>
    <row r="2733" spans="1:11" ht="42" customHeight="1">
      <c r="A2733" s="2" t="s">
        <v>6351</v>
      </c>
      <c r="B2733" s="2" t="s">
        <v>6352</v>
      </c>
      <c r="C2733" s="2" t="s">
        <v>38</v>
      </c>
      <c r="D2733" s="2" t="s">
        <v>39</v>
      </c>
      <c r="E2733" s="5">
        <v>-31371</v>
      </c>
      <c r="F2733" s="3" t="s">
        <v>1017</v>
      </c>
      <c r="G2733" s="3" t="s">
        <v>82</v>
      </c>
      <c r="H2733" s="2" t="s">
        <v>62</v>
      </c>
      <c r="I2733" s="2" t="s">
        <v>6353</v>
      </c>
      <c r="J2733" s="3" t="str">
        <f>HYPERLINK("https://www.boe.es/gazeta/dias/1814/02/08/pdfs/GRE-1814-18.pdf#page=3","Abrir facsímil")</f>
        <v>Abrir facsímil</v>
      </c>
      <c r="K2733" s="3" t="s">
        <v>64</v>
      </c>
    </row>
    <row r="2734" spans="1:11" ht="42" customHeight="1">
      <c r="A2734" s="2" t="s">
        <v>6354</v>
      </c>
      <c r="B2734" s="2" t="s">
        <v>6355</v>
      </c>
      <c r="C2734" s="2" t="s">
        <v>38</v>
      </c>
      <c r="D2734" s="2" t="s">
        <v>39</v>
      </c>
      <c r="E2734" s="5">
        <v>-31131</v>
      </c>
      <c r="F2734" s="3" t="s">
        <v>132</v>
      </c>
      <c r="G2734" s="3" t="s">
        <v>20</v>
      </c>
      <c r="H2734" s="2" t="s">
        <v>62</v>
      </c>
      <c r="I2734" s="2" t="s">
        <v>6356</v>
      </c>
      <c r="J2734" s="3" t="str">
        <f>HYPERLINK("https://www.boe.es/gazeta/dias/1814/10/06/pdfs/GMD-1814-135.pdf#page=7","Abrir facsímil")</f>
        <v>Abrir facsímil</v>
      </c>
      <c r="K2734" s="3" t="s">
        <v>64</v>
      </c>
    </row>
    <row r="2735" spans="1:11" ht="42" customHeight="1">
      <c r="A2735" s="2" t="s">
        <v>6357</v>
      </c>
      <c r="B2735" s="2" t="s">
        <v>6358</v>
      </c>
      <c r="C2735" s="2" t="s">
        <v>38</v>
      </c>
      <c r="D2735" s="2" t="s">
        <v>39</v>
      </c>
      <c r="E2735" s="5">
        <v>-31192</v>
      </c>
      <c r="F2735" s="3" t="s">
        <v>388</v>
      </c>
      <c r="G2735" s="3" t="s">
        <v>20</v>
      </c>
      <c r="H2735" s="2" t="s">
        <v>62</v>
      </c>
      <c r="I2735" s="2" t="s">
        <v>6359</v>
      </c>
      <c r="J2735" s="3" t="str">
        <f>HYPERLINK("https://www.boe.es/gazeta/dias/1814/08/06/pdfs/GMD-1814-108.pdf#page=7","Abrir facsímil")</f>
        <v>Abrir facsímil</v>
      </c>
      <c r="K2735" s="3" t="s">
        <v>64</v>
      </c>
    </row>
    <row r="2736" spans="1:11" ht="42" customHeight="1">
      <c r="A2736" s="2" t="s">
        <v>6360</v>
      </c>
      <c r="B2736" s="2" t="s">
        <v>6361</v>
      </c>
      <c r="C2736" s="2" t="s">
        <v>26</v>
      </c>
      <c r="D2736" s="2" t="s">
        <v>27</v>
      </c>
      <c r="E2736" s="5">
        <v>-31073</v>
      </c>
      <c r="F2736" s="3" t="s">
        <v>3052</v>
      </c>
      <c r="G2736" s="3" t="s">
        <v>20</v>
      </c>
      <c r="H2736" s="2" t="s">
        <v>62</v>
      </c>
      <c r="I2736" s="2" t="s">
        <v>6362</v>
      </c>
      <c r="J2736" s="3" t="str">
        <f>HYPERLINK("https://www.boe.es/gazeta/dias/1814/12/03/pdfs/GMD-1814-160.pdf#page=7","Abrir facsímil")</f>
        <v>Abrir facsímil</v>
      </c>
      <c r="K2736" s="3" t="s">
        <v>64</v>
      </c>
    </row>
    <row r="2737" spans="1:11" ht="42" customHeight="1">
      <c r="A2737" s="2" t="s">
        <v>6363</v>
      </c>
      <c r="B2737" s="2" t="s">
        <v>6364</v>
      </c>
      <c r="C2737" s="2" t="s">
        <v>45</v>
      </c>
      <c r="D2737" s="2" t="s">
        <v>18</v>
      </c>
      <c r="E2737" s="5">
        <v>-31115</v>
      </c>
      <c r="F2737" s="3" t="s">
        <v>805</v>
      </c>
      <c r="G2737" s="3" t="s">
        <v>87</v>
      </c>
      <c r="H2737" s="2" t="s">
        <v>62</v>
      </c>
      <c r="I2737" s="2" t="s">
        <v>6365</v>
      </c>
      <c r="J2737" s="3" t="str">
        <f>HYPERLINK("https://www.boe.es/gazeta/dias/1814/10/22/pdfs/GMD-1814-142.pdf#page=2","Abrir facsímil")</f>
        <v>Abrir facsímil</v>
      </c>
      <c r="K2737" s="3" t="s">
        <v>64</v>
      </c>
    </row>
    <row r="2738" spans="1:11" ht="42" customHeight="1">
      <c r="A2738" s="2" t="s">
        <v>6366</v>
      </c>
      <c r="B2738" s="2" t="s">
        <v>6366</v>
      </c>
      <c r="C2738" s="2" t="s">
        <v>38</v>
      </c>
      <c r="D2738" s="2" t="s">
        <v>39</v>
      </c>
      <c r="E2738" s="5">
        <v>-31271</v>
      </c>
      <c r="F2738" s="3" t="s">
        <v>243</v>
      </c>
      <c r="G2738" s="3" t="s">
        <v>82</v>
      </c>
      <c r="H2738" s="2" t="s">
        <v>62</v>
      </c>
      <c r="I2738" s="2" t="s">
        <v>6367</v>
      </c>
      <c r="J2738" s="3" t="str">
        <f>HYPERLINK("https://www.boe.es/gazeta/dias/1814/05/19/pdfs/GMD-1814-74.pdf#page=3","Abrir facsímil")</f>
        <v>Abrir facsímil</v>
      </c>
      <c r="K2738" s="3" t="s">
        <v>64</v>
      </c>
    </row>
    <row r="2739" spans="1:11" ht="42" customHeight="1">
      <c r="A2739" s="2" t="s">
        <v>6368</v>
      </c>
      <c r="B2739" s="2" t="s">
        <v>6369</v>
      </c>
      <c r="C2739" s="2" t="s">
        <v>38</v>
      </c>
      <c r="D2739" s="2" t="s">
        <v>39</v>
      </c>
      <c r="E2739" s="5">
        <v>-31271</v>
      </c>
      <c r="F2739" s="3" t="s">
        <v>243</v>
      </c>
      <c r="G2739" s="3" t="s">
        <v>41</v>
      </c>
      <c r="H2739" s="2" t="s">
        <v>62</v>
      </c>
      <c r="I2739" s="2" t="s">
        <v>6370</v>
      </c>
      <c r="J2739" s="3" t="str">
        <f>HYPERLINK("https://www.boe.es/gazeta/dias/1814/05/19/pdfs/GMD-1814-74.pdf#page=4","Abrir facsímil")</f>
        <v>Abrir facsímil</v>
      </c>
      <c r="K2739" s="3" t="s">
        <v>64</v>
      </c>
    </row>
    <row r="2740" spans="1:11" ht="42" customHeight="1">
      <c r="A2740" s="2" t="s">
        <v>6368</v>
      </c>
      <c r="B2740" s="2" t="s">
        <v>6369</v>
      </c>
      <c r="C2740" s="2" t="s">
        <v>38</v>
      </c>
      <c r="D2740" s="2" t="s">
        <v>39</v>
      </c>
      <c r="E2740" s="5">
        <v>-31259</v>
      </c>
      <c r="F2740" s="3" t="s">
        <v>853</v>
      </c>
      <c r="G2740" s="3" t="s">
        <v>1732</v>
      </c>
      <c r="H2740" s="2" t="s">
        <v>62</v>
      </c>
      <c r="I2740" s="2" t="s">
        <v>6371</v>
      </c>
      <c r="J2740" s="3" t="str">
        <f>HYPERLINK("https://www.boe.es/gazeta/dias/1814/05/31/pdfs/GMD-1814-79.pdf#page=5","Abrir facsímil")</f>
        <v>Abrir facsímil</v>
      </c>
      <c r="K2740" s="3" t="s">
        <v>64</v>
      </c>
    </row>
    <row r="2741" spans="1:11" ht="42" customHeight="1">
      <c r="A2741" s="2" t="s">
        <v>6368</v>
      </c>
      <c r="B2741" s="2" t="s">
        <v>6369</v>
      </c>
      <c r="C2741" s="2" t="s">
        <v>38</v>
      </c>
      <c r="D2741" s="2" t="s">
        <v>39</v>
      </c>
      <c r="E2741" s="5">
        <v>-31259</v>
      </c>
      <c r="F2741" s="3" t="s">
        <v>853</v>
      </c>
      <c r="G2741" s="3" t="s">
        <v>82</v>
      </c>
      <c r="H2741" s="2" t="s">
        <v>62</v>
      </c>
      <c r="I2741" s="2" t="s">
        <v>6372</v>
      </c>
      <c r="J2741" s="3" t="str">
        <f>HYPERLINK("https://www.boe.es/gazeta/dias/1814/05/31/pdfs/GMD-1814-79.pdf#page=3","Abrir facsímil")</f>
        <v>Abrir facsímil</v>
      </c>
      <c r="K2741" s="3" t="s">
        <v>64</v>
      </c>
    </row>
    <row r="2742" spans="1:11" ht="42" customHeight="1">
      <c r="A2742" s="2" t="s">
        <v>6373</v>
      </c>
      <c r="B2742" s="2" t="s">
        <v>6374</v>
      </c>
      <c r="C2742" s="2" t="s">
        <v>38</v>
      </c>
      <c r="D2742" s="2" t="s">
        <v>39</v>
      </c>
      <c r="E2742" s="5">
        <v>-31173</v>
      </c>
      <c r="F2742" s="3" t="s">
        <v>46</v>
      </c>
      <c r="G2742" s="3" t="s">
        <v>57</v>
      </c>
      <c r="H2742" s="2" t="s">
        <v>62</v>
      </c>
      <c r="I2742" s="2" t="s">
        <v>6375</v>
      </c>
      <c r="J2742" s="3" t="str">
        <f>HYPERLINK("https://www.boe.es/gazeta/dias/1814/08/25/pdfs/GMD-1814-116.pdf#page=6","Abrir facsímil")</f>
        <v>Abrir facsímil</v>
      </c>
      <c r="K2742" s="3" t="s">
        <v>64</v>
      </c>
    </row>
    <row r="2743" spans="1:11" ht="42" customHeight="1">
      <c r="A2743" s="2" t="s">
        <v>6376</v>
      </c>
      <c r="B2743" s="2" t="s">
        <v>6377</v>
      </c>
      <c r="C2743" s="2" t="s">
        <v>45</v>
      </c>
      <c r="D2743" s="2" t="s">
        <v>18</v>
      </c>
      <c r="E2743" s="5">
        <v>-31143</v>
      </c>
      <c r="F2743" s="3" t="s">
        <v>787</v>
      </c>
      <c r="G2743" s="3" t="s">
        <v>52</v>
      </c>
      <c r="H2743" s="2" t="s">
        <v>62</v>
      </c>
      <c r="I2743" s="2" t="s">
        <v>6378</v>
      </c>
      <c r="J2743" s="3" t="str">
        <f>HYPERLINK("https://www.boe.es/gazeta/dias/1814/09/24/pdfs/GMD-1814-130.pdf#page=8","Abrir facsímil")</f>
        <v>Abrir facsímil</v>
      </c>
      <c r="K2743" s="3" t="s">
        <v>64</v>
      </c>
    </row>
    <row r="2744" spans="1:11" ht="42" customHeight="1">
      <c r="A2744" s="2" t="s">
        <v>6379</v>
      </c>
      <c r="B2744" s="2" t="s">
        <v>6380</v>
      </c>
      <c r="C2744" s="2" t="s">
        <v>38</v>
      </c>
      <c r="D2744" s="2" t="s">
        <v>39</v>
      </c>
      <c r="E2744" s="5">
        <v>-31348</v>
      </c>
      <c r="F2744" s="3" t="s">
        <v>898</v>
      </c>
      <c r="G2744" s="3" t="s">
        <v>41</v>
      </c>
      <c r="H2744" s="2" t="s">
        <v>62</v>
      </c>
      <c r="I2744" s="2" t="s">
        <v>6381</v>
      </c>
      <c r="J2744" s="3" t="str">
        <f>HYPERLINK("https://www.boe.es/gazeta/dias/1814/03/03/pdfs/GRE-1814-29.pdf#page=4","Abrir facsímil")</f>
        <v>Abrir facsímil</v>
      </c>
      <c r="K2744" s="3" t="s">
        <v>64</v>
      </c>
    </row>
    <row r="2745" spans="1:11" ht="42" customHeight="1">
      <c r="A2745" s="2" t="s">
        <v>6382</v>
      </c>
      <c r="B2745" s="2" t="s">
        <v>6383</v>
      </c>
      <c r="C2745" s="2" t="s">
        <v>38</v>
      </c>
      <c r="D2745" s="2" t="s">
        <v>39</v>
      </c>
      <c r="E2745" s="5">
        <v>-31087</v>
      </c>
      <c r="F2745" s="3" t="s">
        <v>118</v>
      </c>
      <c r="G2745" s="3" t="s">
        <v>3730</v>
      </c>
      <c r="H2745" s="2" t="s">
        <v>62</v>
      </c>
      <c r="I2745" s="2" t="s">
        <v>6384</v>
      </c>
      <c r="J2745" s="3" t="str">
        <f>HYPERLINK("https://www.boe.es/gazeta/dias/1814/11/19/pdfs/GMD-1814-154.pdf#page=7","Abrir facsímil")</f>
        <v>Abrir facsímil</v>
      </c>
      <c r="K2745" s="3" t="s">
        <v>64</v>
      </c>
    </row>
    <row r="2746" spans="1:11" ht="42" customHeight="1">
      <c r="A2746" s="2" t="s">
        <v>6385</v>
      </c>
      <c r="B2746" s="2" t="s">
        <v>6385</v>
      </c>
      <c r="C2746" s="2" t="s">
        <v>38</v>
      </c>
      <c r="D2746" s="2" t="s">
        <v>39</v>
      </c>
      <c r="E2746" s="5">
        <v>-31313</v>
      </c>
      <c r="F2746" s="3" t="s">
        <v>239</v>
      </c>
      <c r="G2746" s="3" t="s">
        <v>87</v>
      </c>
      <c r="H2746" s="2" t="s">
        <v>62</v>
      </c>
      <c r="I2746" s="2" t="s">
        <v>6386</v>
      </c>
      <c r="J2746" s="3" t="str">
        <f>HYPERLINK("https://www.boe.es/gazeta/dias/1814/04/07/pdfs/GRE-1814-50.pdf#page=2","Abrir facsímil")</f>
        <v>Abrir facsímil</v>
      </c>
      <c r="K2746" s="3" t="s">
        <v>64</v>
      </c>
    </row>
    <row r="2747" spans="1:11" ht="42" customHeight="1">
      <c r="A2747" s="2" t="s">
        <v>6385</v>
      </c>
      <c r="B2747" s="2" t="s">
        <v>6385</v>
      </c>
      <c r="C2747" s="2" t="s">
        <v>38</v>
      </c>
      <c r="D2747" s="2" t="s">
        <v>39</v>
      </c>
      <c r="E2747" s="5">
        <v>-31313</v>
      </c>
      <c r="F2747" s="3" t="s">
        <v>239</v>
      </c>
      <c r="G2747" s="3" t="s">
        <v>82</v>
      </c>
      <c r="H2747" s="2" t="s">
        <v>62</v>
      </c>
      <c r="I2747" s="2" t="s">
        <v>6387</v>
      </c>
      <c r="J2747" s="3" t="str">
        <f>HYPERLINK("https://www.boe.es/gazeta/dias/1814/04/07/pdfs/GRE-1814-50.pdf#page=3","Abrir facsímil")</f>
        <v>Abrir facsímil</v>
      </c>
      <c r="K2747" s="3" t="s">
        <v>64</v>
      </c>
    </row>
    <row r="2748" spans="1:11" ht="42" customHeight="1">
      <c r="A2748" s="2" t="s">
        <v>6388</v>
      </c>
      <c r="B2748" s="2" t="s">
        <v>6389</v>
      </c>
      <c r="C2748" s="2" t="s">
        <v>38</v>
      </c>
      <c r="D2748" s="2" t="s">
        <v>39</v>
      </c>
      <c r="E2748" s="5">
        <v>-31313</v>
      </c>
      <c r="F2748" s="3" t="s">
        <v>239</v>
      </c>
      <c r="G2748" s="3" t="s">
        <v>82</v>
      </c>
      <c r="H2748" s="2" t="s">
        <v>62</v>
      </c>
      <c r="I2748" s="2" t="s">
        <v>6390</v>
      </c>
      <c r="J2748" s="3" t="str">
        <f>HYPERLINK("https://www.boe.es/gazeta/dias/1814/04/07/pdfs/GRE-1814-50.pdf#page=3","Abrir facsímil")</f>
        <v>Abrir facsímil</v>
      </c>
      <c r="K2748" s="3" t="s">
        <v>64</v>
      </c>
    </row>
    <row r="2749" spans="1:11" ht="42" customHeight="1">
      <c r="A2749" s="2" t="s">
        <v>6388</v>
      </c>
      <c r="B2749" s="2" t="s">
        <v>6389</v>
      </c>
      <c r="C2749" s="2" t="s">
        <v>38</v>
      </c>
      <c r="D2749" s="2" t="s">
        <v>39</v>
      </c>
      <c r="E2749" s="5">
        <v>-31264</v>
      </c>
      <c r="F2749" s="3" t="s">
        <v>396</v>
      </c>
      <c r="G2749" s="3" t="s">
        <v>99</v>
      </c>
      <c r="H2749" s="2" t="s">
        <v>62</v>
      </c>
      <c r="I2749" s="2" t="s">
        <v>6391</v>
      </c>
      <c r="J2749" s="3" t="str">
        <f>HYPERLINK("https://www.boe.es/gazeta/dias/1814/05/26/pdfs/GMD-1814-77.pdf#page=5","Abrir facsímil")</f>
        <v>Abrir facsímil</v>
      </c>
      <c r="K2749" s="3" t="s">
        <v>64</v>
      </c>
    </row>
    <row r="2750" spans="1:11" ht="42" customHeight="1">
      <c r="A2750" s="2" t="s">
        <v>6392</v>
      </c>
      <c r="B2750" s="2" t="s">
        <v>6393</v>
      </c>
      <c r="C2750" s="2" t="s">
        <v>309</v>
      </c>
      <c r="D2750" s="2" t="s">
        <v>18</v>
      </c>
      <c r="E2750" s="5">
        <v>-31056</v>
      </c>
      <c r="F2750" s="3" t="s">
        <v>540</v>
      </c>
      <c r="G2750" s="3" t="s">
        <v>577</v>
      </c>
      <c r="H2750" s="2" t="s">
        <v>62</v>
      </c>
      <c r="I2750" s="2" t="s">
        <v>6394</v>
      </c>
      <c r="J2750" s="3" t="str">
        <f>HYPERLINK("https://www.boe.es/gazeta/dias/1814/12/20/pdfs/GMD-1814-168.pdf#page=8","Abrir facsímil")</f>
        <v>Abrir facsímil</v>
      </c>
      <c r="K2750" s="3" t="s">
        <v>64</v>
      </c>
    </row>
    <row r="2751" spans="1:11" ht="42" customHeight="1">
      <c r="A2751" s="2" t="s">
        <v>6395</v>
      </c>
      <c r="B2751" s="2" t="s">
        <v>6396</v>
      </c>
      <c r="C2751" s="2" t="s">
        <v>17</v>
      </c>
      <c r="D2751" s="2" t="s">
        <v>18</v>
      </c>
      <c r="E2751" s="5">
        <v>-31119</v>
      </c>
      <c r="F2751" s="3" t="s">
        <v>136</v>
      </c>
      <c r="G2751" s="3" t="s">
        <v>322</v>
      </c>
      <c r="H2751" s="2" t="s">
        <v>62</v>
      </c>
      <c r="I2751" s="2" t="s">
        <v>6397</v>
      </c>
      <c r="J2751" s="3" t="str">
        <f>HYPERLINK("https://www.boe.es/gazeta/dias/1814/10/18/pdfs/GMD-1814-140.pdf#page=12","Abrir facsímil")</f>
        <v>Abrir facsímil</v>
      </c>
      <c r="K2751" s="3" t="s">
        <v>64</v>
      </c>
    </row>
    <row r="2752" spans="1:11" ht="42" customHeight="1">
      <c r="A2752" s="2" t="s">
        <v>6398</v>
      </c>
      <c r="B2752" s="2" t="s">
        <v>6399</v>
      </c>
      <c r="C2752" s="2" t="s">
        <v>17</v>
      </c>
      <c r="D2752" s="2" t="s">
        <v>18</v>
      </c>
      <c r="E2752" s="5">
        <v>-31229</v>
      </c>
      <c r="F2752" s="3" t="s">
        <v>502</v>
      </c>
      <c r="G2752" s="3" t="s">
        <v>99</v>
      </c>
      <c r="H2752" s="2" t="s">
        <v>62</v>
      </c>
      <c r="I2752" s="2" t="s">
        <v>6400</v>
      </c>
      <c r="J2752" s="3" t="str">
        <f>HYPERLINK("https://www.boe.es/gazeta/dias/1814/06/30/pdfs/GMD-1814-92.pdf#page=5","Abrir facsímil")</f>
        <v>Abrir facsímil</v>
      </c>
      <c r="K2752" s="3" t="s">
        <v>64</v>
      </c>
    </row>
    <row r="2753" spans="1:11" ht="42" customHeight="1">
      <c r="A2753" s="2" t="s">
        <v>6401</v>
      </c>
      <c r="B2753" s="2" t="s">
        <v>6402</v>
      </c>
      <c r="C2753" s="2" t="s">
        <v>26</v>
      </c>
      <c r="D2753" s="2" t="s">
        <v>27</v>
      </c>
      <c r="E2753" s="5">
        <v>-31217</v>
      </c>
      <c r="F2753" s="3" t="s">
        <v>506</v>
      </c>
      <c r="G2753" s="3" t="s">
        <v>20</v>
      </c>
      <c r="H2753" s="2" t="s">
        <v>62</v>
      </c>
      <c r="I2753" s="2" t="s">
        <v>6403</v>
      </c>
      <c r="J2753" s="3" t="str">
        <f>HYPERLINK("https://www.boe.es/gazeta/dias/1814/07/12/pdfs/GMD-1814-97.pdf#page=7","Abrir facsímil")</f>
        <v>Abrir facsímil</v>
      </c>
      <c r="K2753" s="3" t="s">
        <v>64</v>
      </c>
    </row>
    <row r="2754" spans="1:11" ht="42" customHeight="1">
      <c r="A2754" s="2" t="s">
        <v>6404</v>
      </c>
      <c r="B2754" s="2" t="s">
        <v>6405</v>
      </c>
      <c r="C2754" s="2" t="s">
        <v>38</v>
      </c>
      <c r="D2754" s="2" t="s">
        <v>39</v>
      </c>
      <c r="E2754" s="5">
        <v>-31080</v>
      </c>
      <c r="F2754" s="3" t="s">
        <v>286</v>
      </c>
      <c r="G2754" s="3" t="s">
        <v>677</v>
      </c>
      <c r="H2754" s="2" t="s">
        <v>62</v>
      </c>
      <c r="I2754" s="2" t="s">
        <v>6406</v>
      </c>
      <c r="J2754" s="3" t="str">
        <f>HYPERLINK("https://www.boe.es/gazeta/dias/1814/11/26/pdfs/GMD-1814-157.pdf#page=7","Abrir facsímil")</f>
        <v>Abrir facsímil</v>
      </c>
      <c r="K2754" s="3" t="s">
        <v>64</v>
      </c>
    </row>
    <row r="2755" spans="1:11" ht="42" customHeight="1">
      <c r="A2755" s="2" t="s">
        <v>6407</v>
      </c>
      <c r="B2755" s="2" t="s">
        <v>6408</v>
      </c>
      <c r="C2755" s="2" t="s">
        <v>105</v>
      </c>
      <c r="D2755" s="2" t="s">
        <v>18</v>
      </c>
      <c r="E2755" s="5">
        <v>-31334</v>
      </c>
      <c r="F2755" s="3" t="s">
        <v>482</v>
      </c>
      <c r="G2755" s="3" t="s">
        <v>52</v>
      </c>
      <c r="H2755" s="2" t="s">
        <v>62</v>
      </c>
      <c r="I2755" s="2" t="s">
        <v>6409</v>
      </c>
      <c r="J2755" s="3" t="str">
        <f>HYPERLINK("https://www.boe.es/gazeta/dias/1814/03/17/pdfs/GRE-1814-37.pdf#page=8","Abrir facsímil")</f>
        <v>Abrir facsímil</v>
      </c>
      <c r="K2755" s="3" t="s">
        <v>64</v>
      </c>
    </row>
    <row r="2756" spans="1:11" ht="42" customHeight="1">
      <c r="A2756" s="2" t="s">
        <v>6410</v>
      </c>
      <c r="B2756" s="2" t="s">
        <v>6411</v>
      </c>
      <c r="C2756" s="2" t="s">
        <v>38</v>
      </c>
      <c r="D2756" s="2" t="s">
        <v>39</v>
      </c>
      <c r="E2756" s="5">
        <v>-31173</v>
      </c>
      <c r="F2756" s="3" t="s">
        <v>46</v>
      </c>
      <c r="G2756" s="3" t="s">
        <v>52</v>
      </c>
      <c r="H2756" s="2" t="s">
        <v>21</v>
      </c>
      <c r="I2756" s="2" t="s">
        <v>6412</v>
      </c>
      <c r="J2756" s="3" t="str">
        <f>HYPERLINK("https://www.boe.es/gazeta/dias/1814/08/25/pdfs/GMD-1814-116.pdf#page=8","Abrir facsímil")</f>
        <v>Abrir facsímil</v>
      </c>
      <c r="K2756" s="3" t="s">
        <v>23</v>
      </c>
    </row>
    <row r="2757" spans="1:11" ht="42" customHeight="1">
      <c r="A2757" s="2" t="s">
        <v>6413</v>
      </c>
      <c r="B2757" s="2" t="s">
        <v>6413</v>
      </c>
      <c r="C2757" s="2" t="s">
        <v>309</v>
      </c>
      <c r="D2757" s="2" t="s">
        <v>18</v>
      </c>
      <c r="E2757" s="5">
        <v>-31185</v>
      </c>
      <c r="F2757" s="3" t="s">
        <v>1238</v>
      </c>
      <c r="G2757" s="3" t="s">
        <v>52</v>
      </c>
      <c r="H2757" s="2" t="s">
        <v>62</v>
      </c>
      <c r="I2757" s="2" t="s">
        <v>6414</v>
      </c>
      <c r="J2757" s="3" t="str">
        <f>HYPERLINK("https://www.boe.es/gazeta/dias/1814/08/13/pdfs/GMD-1814-111.pdf#page=8","Abrir facsímil")</f>
        <v>Abrir facsímil</v>
      </c>
      <c r="K2757" s="3" t="s">
        <v>64</v>
      </c>
    </row>
    <row r="2758" spans="1:11" ht="42" customHeight="1">
      <c r="A2758" s="2" t="s">
        <v>6415</v>
      </c>
      <c r="B2758" s="2" t="s">
        <v>6415</v>
      </c>
      <c r="C2758" s="2" t="s">
        <v>38</v>
      </c>
      <c r="D2758" s="2" t="s">
        <v>39</v>
      </c>
      <c r="E2758" s="5">
        <v>-31082</v>
      </c>
      <c r="F2758" s="3" t="s">
        <v>535</v>
      </c>
      <c r="G2758" s="3" t="s">
        <v>2225</v>
      </c>
      <c r="H2758" s="2" t="s">
        <v>62</v>
      </c>
      <c r="I2758" s="2" t="s">
        <v>6416</v>
      </c>
      <c r="J2758" s="3" t="str">
        <f>HYPERLINK("https://www.boe.es/gazeta/dias/1814/11/24/pdfs/GMD-1814-156.pdf#page=2","Abrir facsímil")</f>
        <v>Abrir facsímil</v>
      </c>
      <c r="K2758" s="3" t="s">
        <v>64</v>
      </c>
    </row>
    <row r="2759" spans="1:11" ht="42" customHeight="1">
      <c r="A2759" s="2" t="s">
        <v>6417</v>
      </c>
      <c r="B2759" s="2" t="s">
        <v>6417</v>
      </c>
      <c r="C2759" s="2" t="s">
        <v>38</v>
      </c>
      <c r="D2759" s="2" t="s">
        <v>39</v>
      </c>
      <c r="E2759" s="5">
        <v>-31399</v>
      </c>
      <c r="F2759" s="3" t="s">
        <v>218</v>
      </c>
      <c r="G2759" s="3" t="s">
        <v>41</v>
      </c>
      <c r="H2759" s="2" t="s">
        <v>62</v>
      </c>
      <c r="I2759" s="2" t="s">
        <v>6418</v>
      </c>
      <c r="J2759" s="3" t="str">
        <f>HYPERLINK("https://www.boe.es/gazeta/dias/1814/01/11/pdfs/GRE-1814-6.pdf#page=4","Abrir facsímil")</f>
        <v>Abrir facsímil</v>
      </c>
      <c r="K2759" s="3" t="s">
        <v>64</v>
      </c>
    </row>
    <row r="2760" spans="1:11" ht="42" customHeight="1">
      <c r="A2760" s="2" t="s">
        <v>6419</v>
      </c>
      <c r="B2760" s="2" t="s">
        <v>6420</v>
      </c>
      <c r="C2760" s="2" t="s">
        <v>38</v>
      </c>
      <c r="D2760" s="2" t="s">
        <v>39</v>
      </c>
      <c r="E2760" s="5">
        <v>-31047</v>
      </c>
      <c r="F2760" s="3" t="s">
        <v>815</v>
      </c>
      <c r="G2760" s="3" t="s">
        <v>57</v>
      </c>
      <c r="H2760" s="2" t="s">
        <v>62</v>
      </c>
      <c r="I2760" s="2" t="s">
        <v>6421</v>
      </c>
      <c r="J2760" s="3" t="str">
        <f>HYPERLINK("https://www.boe.es/gazeta/dias/1814/12/29/pdfs/GMD-1814-172.pdf#page=6","Abrir facsímil")</f>
        <v>Abrir facsímil</v>
      </c>
      <c r="K2760" s="3" t="s">
        <v>64</v>
      </c>
    </row>
    <row r="2761" spans="1:11" ht="42" customHeight="1">
      <c r="A2761" s="2" t="s">
        <v>6422</v>
      </c>
      <c r="B2761" s="2" t="s">
        <v>6422</v>
      </c>
      <c r="C2761" s="2" t="s">
        <v>38</v>
      </c>
      <c r="D2761" s="2" t="s">
        <v>39</v>
      </c>
      <c r="E2761" s="5">
        <v>-31318</v>
      </c>
      <c r="F2761" s="3" t="s">
        <v>400</v>
      </c>
      <c r="G2761" s="3" t="s">
        <v>87</v>
      </c>
      <c r="H2761" s="2" t="s">
        <v>62</v>
      </c>
      <c r="I2761" s="2" t="s">
        <v>6423</v>
      </c>
      <c r="J2761" s="3" t="str">
        <f>HYPERLINK("https://www.boe.es/gazeta/dias/1814/04/02/pdfs/GRE-1814-47.pdf#page=2","Abrir facsímil")</f>
        <v>Abrir facsímil</v>
      </c>
      <c r="K2761" s="3" t="s">
        <v>64</v>
      </c>
    </row>
    <row r="2762" spans="1:11" ht="42" customHeight="1">
      <c r="A2762" s="2" t="s">
        <v>6424</v>
      </c>
      <c r="B2762" s="2" t="s">
        <v>6424</v>
      </c>
      <c r="C2762" s="2" t="s">
        <v>38</v>
      </c>
      <c r="D2762" s="2" t="s">
        <v>39</v>
      </c>
      <c r="E2762" s="5">
        <v>-31287</v>
      </c>
      <c r="F2762" s="3" t="s">
        <v>491</v>
      </c>
      <c r="G2762" s="3" t="s">
        <v>87</v>
      </c>
      <c r="H2762" s="2" t="s">
        <v>62</v>
      </c>
      <c r="I2762" s="2" t="s">
        <v>6425</v>
      </c>
      <c r="J2762" s="3" t="str">
        <f>HYPERLINK("https://www.boe.es/gazeta/dias/1814/05/03/pdfs/GRE-1814-65.pdf#page=2","Abrir facsímil")</f>
        <v>Abrir facsímil</v>
      </c>
      <c r="K2762" s="3" t="s">
        <v>64</v>
      </c>
    </row>
    <row r="2763" spans="1:11" ht="42" customHeight="1">
      <c r="A2763" s="2" t="s">
        <v>6426</v>
      </c>
      <c r="B2763" s="2" t="s">
        <v>6427</v>
      </c>
      <c r="C2763" s="2" t="s">
        <v>38</v>
      </c>
      <c r="D2763" s="2" t="s">
        <v>39</v>
      </c>
      <c r="E2763" s="5">
        <v>-31285</v>
      </c>
      <c r="F2763" s="3" t="s">
        <v>1141</v>
      </c>
      <c r="G2763" s="3" t="s">
        <v>87</v>
      </c>
      <c r="H2763" s="2" t="s">
        <v>62</v>
      </c>
      <c r="I2763" s="2" t="s">
        <v>6428</v>
      </c>
      <c r="J2763" s="3" t="str">
        <f>HYPERLINK("https://www.boe.es/gazeta/dias/1814/05/05/pdfs/GRE-1814-66.pdf#page=2","Abrir facsímil")</f>
        <v>Abrir facsímil</v>
      </c>
      <c r="K2763" s="3" t="s">
        <v>64</v>
      </c>
    </row>
    <row r="2764" spans="1:11" ht="42" customHeight="1">
      <c r="A2764" s="2" t="s">
        <v>6429</v>
      </c>
      <c r="B2764" s="2" t="s">
        <v>6430</v>
      </c>
      <c r="C2764" s="2" t="s">
        <v>38</v>
      </c>
      <c r="D2764" s="2" t="s">
        <v>39</v>
      </c>
      <c r="E2764" s="5">
        <v>-31243</v>
      </c>
      <c r="F2764" s="3" t="s">
        <v>500</v>
      </c>
      <c r="G2764" s="3" t="s">
        <v>4656</v>
      </c>
      <c r="H2764" s="2" t="s">
        <v>62</v>
      </c>
      <c r="I2764" s="2" t="s">
        <v>6431</v>
      </c>
      <c r="J2764" s="3" t="str">
        <f>HYPERLINK("https://www.boe.es/gazeta/dias/1814/06/16/pdfs/GMD-1814-86.pdf#page=12","Abrir facsímil")</f>
        <v>Abrir facsímil</v>
      </c>
      <c r="K2764" s="3" t="s">
        <v>64</v>
      </c>
    </row>
    <row r="2765" spans="1:11" ht="42" customHeight="1">
      <c r="A2765" s="2" t="s">
        <v>6432</v>
      </c>
      <c r="B2765" s="2" t="s">
        <v>6433</v>
      </c>
      <c r="C2765" s="2" t="s">
        <v>38</v>
      </c>
      <c r="D2765" s="2" t="s">
        <v>39</v>
      </c>
      <c r="E2765" s="5">
        <v>-31124</v>
      </c>
      <c r="F2765" s="3" t="s">
        <v>383</v>
      </c>
      <c r="G2765" s="3" t="s">
        <v>574</v>
      </c>
      <c r="H2765" s="2" t="s">
        <v>21</v>
      </c>
      <c r="I2765" s="2" t="s">
        <v>6434</v>
      </c>
      <c r="J2765" s="3" t="str">
        <f>HYPERLINK("https://www.boe.es/gazeta/dias/1814/10/13/pdfs/GMD-1814-138.pdf#page=10","Abrir facsímil")</f>
        <v>Abrir facsímil</v>
      </c>
      <c r="K2765" s="3" t="s">
        <v>23</v>
      </c>
    </row>
    <row r="2766" spans="1:11" ht="42" customHeight="1">
      <c r="A2766" s="2" t="s">
        <v>6435</v>
      </c>
      <c r="B2766" s="2" t="s">
        <v>6436</v>
      </c>
      <c r="C2766" s="2" t="s">
        <v>26</v>
      </c>
      <c r="D2766" s="2" t="s">
        <v>27</v>
      </c>
      <c r="E2766" s="5">
        <v>-31150</v>
      </c>
      <c r="F2766" s="3" t="s">
        <v>106</v>
      </c>
      <c r="G2766" s="3" t="s">
        <v>52</v>
      </c>
      <c r="H2766" s="2" t="s">
        <v>21</v>
      </c>
      <c r="I2766" s="2" t="s">
        <v>6437</v>
      </c>
      <c r="J2766" s="3" t="str">
        <f>HYPERLINK("https://www.boe.es/gazeta/dias/1814/09/17/pdfs/GMD-1814-127.pdf#page=8","Abrir facsímil")</f>
        <v>Abrir facsímil</v>
      </c>
      <c r="K2766" s="3" t="s">
        <v>23</v>
      </c>
    </row>
    <row r="2767" spans="1:11" ht="42" customHeight="1">
      <c r="A2767" s="2" t="s">
        <v>6438</v>
      </c>
      <c r="B2767" s="2" t="s">
        <v>6438</v>
      </c>
      <c r="C2767" s="2" t="s">
        <v>38</v>
      </c>
      <c r="D2767" s="2" t="s">
        <v>39</v>
      </c>
      <c r="E2767" s="5">
        <v>-31164</v>
      </c>
      <c r="F2767" s="3" t="s">
        <v>1423</v>
      </c>
      <c r="G2767" s="3" t="s">
        <v>99</v>
      </c>
      <c r="H2767" s="2" t="s">
        <v>62</v>
      </c>
      <c r="I2767" s="2" t="s">
        <v>6439</v>
      </c>
      <c r="J2767" s="3" t="str">
        <f>HYPERLINK("https://www.boe.es/gazeta/dias/1814/09/03/pdfs/GMD-1814-121.pdf#page=5","Abrir facsímil")</f>
        <v>Abrir facsímil</v>
      </c>
      <c r="K2767" s="3" t="s">
        <v>64</v>
      </c>
    </row>
    <row r="2768" spans="1:11" ht="42" customHeight="1">
      <c r="A2768" s="2" t="s">
        <v>6440</v>
      </c>
      <c r="B2768" s="2" t="s">
        <v>6441</v>
      </c>
      <c r="C2768" s="2" t="s">
        <v>38</v>
      </c>
      <c r="D2768" s="2" t="s">
        <v>314</v>
      </c>
      <c r="E2768" s="5">
        <v>-31296</v>
      </c>
      <c r="F2768" s="3" t="s">
        <v>315</v>
      </c>
      <c r="G2768" s="3" t="s">
        <v>20</v>
      </c>
      <c r="H2768" s="2" t="s">
        <v>62</v>
      </c>
      <c r="I2768" s="2" t="s">
        <v>6442</v>
      </c>
      <c r="J2768" s="3" t="str">
        <f>HYPERLINK("https://www.boe.es/gazeta/dias/1814/04/24/pdfs/GRE-1814-60E.pdf#page=7","Abrir facsímil")</f>
        <v>Abrir facsímil</v>
      </c>
      <c r="K2768" s="3" t="s">
        <v>64</v>
      </c>
    </row>
    <row r="2769" spans="1:11" ht="42" customHeight="1">
      <c r="A2769" s="2" t="s">
        <v>6443</v>
      </c>
      <c r="B2769" s="2" t="s">
        <v>6444</v>
      </c>
      <c r="C2769" s="2" t="s">
        <v>32</v>
      </c>
      <c r="D2769" s="2" t="s">
        <v>18</v>
      </c>
      <c r="E2769" s="5">
        <v>-31089</v>
      </c>
      <c r="F2769" s="3" t="s">
        <v>531</v>
      </c>
      <c r="G2769" s="3" t="s">
        <v>794</v>
      </c>
      <c r="H2769" s="2" t="s">
        <v>62</v>
      </c>
      <c r="I2769" s="2" t="s">
        <v>6445</v>
      </c>
      <c r="J2769" s="3" t="str">
        <f>HYPERLINK("https://www.boe.es/gazeta/dias/1814/11/17/pdfs/GMD-1814-153.pdf#page=8","Abrir facsímil")</f>
        <v>Abrir facsímil</v>
      </c>
      <c r="K2769" s="3" t="s">
        <v>64</v>
      </c>
    </row>
    <row r="2770" spans="1:11" ht="42" customHeight="1">
      <c r="A2770" s="2" t="s">
        <v>6446</v>
      </c>
      <c r="B2770" s="2" t="s">
        <v>6447</v>
      </c>
      <c r="C2770" s="2" t="s">
        <v>38</v>
      </c>
      <c r="D2770" s="2" t="s">
        <v>39</v>
      </c>
      <c r="E2770" s="5">
        <v>-31119</v>
      </c>
      <c r="F2770" s="3" t="s">
        <v>136</v>
      </c>
      <c r="G2770" s="3" t="s">
        <v>4129</v>
      </c>
      <c r="H2770" s="2" t="s">
        <v>62</v>
      </c>
      <c r="I2770" s="2" t="s">
        <v>6448</v>
      </c>
      <c r="J2770" s="3" t="str">
        <f>HYPERLINK("https://www.boe.es/gazeta/dias/1814/10/18/pdfs/GMD-1814-140.pdf#page=8","Abrir facsímil")</f>
        <v>Abrir facsímil</v>
      </c>
      <c r="K2770" s="3" t="s">
        <v>64</v>
      </c>
    </row>
    <row r="2771" spans="1:11" ht="42" customHeight="1">
      <c r="A2771" s="2" t="s">
        <v>6449</v>
      </c>
      <c r="B2771" s="2" t="s">
        <v>6450</v>
      </c>
      <c r="C2771" s="2" t="s">
        <v>26</v>
      </c>
      <c r="D2771" s="2" t="s">
        <v>27</v>
      </c>
      <c r="E2771" s="5">
        <v>-31182</v>
      </c>
      <c r="F2771" s="3" t="s">
        <v>19</v>
      </c>
      <c r="G2771" s="3" t="s">
        <v>57</v>
      </c>
      <c r="H2771" s="2" t="s">
        <v>62</v>
      </c>
      <c r="I2771" s="2" t="s">
        <v>6451</v>
      </c>
      <c r="J2771" s="3" t="str">
        <f>HYPERLINK("https://www.boe.es/gazeta/dias/1814/08/16/pdfs/GMD-1814-112.pdf#page=6","Abrir facsímil")</f>
        <v>Abrir facsímil</v>
      </c>
      <c r="K2771" s="3" t="s">
        <v>64</v>
      </c>
    </row>
    <row r="2772" spans="1:11" ht="42" customHeight="1">
      <c r="A2772" s="2" t="s">
        <v>6452</v>
      </c>
      <c r="B2772" s="2" t="s">
        <v>6452</v>
      </c>
      <c r="C2772" s="2" t="s">
        <v>45</v>
      </c>
      <c r="D2772" s="2" t="s">
        <v>18</v>
      </c>
      <c r="E2772" s="5">
        <v>-31182</v>
      </c>
      <c r="F2772" s="3" t="s">
        <v>19</v>
      </c>
      <c r="G2772" s="3" t="s">
        <v>3827</v>
      </c>
      <c r="H2772" s="2" t="s">
        <v>62</v>
      </c>
      <c r="I2772" s="2" t="s">
        <v>6453</v>
      </c>
      <c r="J2772" s="3" t="str">
        <f>HYPERLINK("https://www.boe.es/gazeta/dias/1814/08/16/pdfs/GMD-1814-112.pdf#page=8","Abrir facsímil")</f>
        <v>Abrir facsímil</v>
      </c>
      <c r="K2772" s="3" t="s">
        <v>64</v>
      </c>
    </row>
    <row r="2773" spans="1:11" ht="42" customHeight="1">
      <c r="A2773" s="2" t="s">
        <v>6454</v>
      </c>
      <c r="B2773" s="2" t="s">
        <v>6455</v>
      </c>
      <c r="C2773" s="2" t="s">
        <v>26</v>
      </c>
      <c r="D2773" s="2" t="s">
        <v>27</v>
      </c>
      <c r="E2773" s="5">
        <v>-31126</v>
      </c>
      <c r="F2773" s="3" t="s">
        <v>56</v>
      </c>
      <c r="G2773" s="3" t="s">
        <v>52</v>
      </c>
      <c r="H2773" s="2" t="s">
        <v>62</v>
      </c>
      <c r="I2773" s="2" t="s">
        <v>6456</v>
      </c>
      <c r="J2773" s="3" t="str">
        <f>HYPERLINK("https://www.boe.es/gazeta/dias/1814/10/11/pdfs/GMD-1814-137.pdf#page=8","Abrir facsímil")</f>
        <v>Abrir facsímil</v>
      </c>
      <c r="K2773" s="3" t="s">
        <v>64</v>
      </c>
    </row>
    <row r="2774" spans="1:11" ht="42" customHeight="1">
      <c r="A2774" s="2" t="s">
        <v>6457</v>
      </c>
      <c r="B2774" s="2" t="s">
        <v>6457</v>
      </c>
      <c r="C2774" s="2" t="s">
        <v>17</v>
      </c>
      <c r="D2774" s="2" t="s">
        <v>18</v>
      </c>
      <c r="E2774" s="5">
        <v>-31290</v>
      </c>
      <c r="F2774" s="3" t="s">
        <v>488</v>
      </c>
      <c r="G2774" s="3" t="s">
        <v>5445</v>
      </c>
      <c r="H2774" s="2" t="s">
        <v>62</v>
      </c>
      <c r="I2774" s="2" t="s">
        <v>6458</v>
      </c>
      <c r="J2774" s="3" t="str">
        <f>HYPERLINK("https://www.boe.es/gazeta/dias/1814/04/30/pdfs/GRE-1814-64.pdf#page=4","Abrir facsímil")</f>
        <v>Abrir facsímil</v>
      </c>
      <c r="K2774" s="3" t="s">
        <v>64</v>
      </c>
    </row>
    <row r="2775" spans="1:11" ht="42" customHeight="1">
      <c r="A2775" s="2" t="s">
        <v>6459</v>
      </c>
      <c r="B2775" s="2" t="s">
        <v>6459</v>
      </c>
      <c r="C2775" s="2" t="s">
        <v>38</v>
      </c>
      <c r="D2775" s="2" t="s">
        <v>39</v>
      </c>
      <c r="E2775" s="5">
        <v>-31374</v>
      </c>
      <c r="F2775" s="3" t="s">
        <v>474</v>
      </c>
      <c r="G2775" s="3" t="s">
        <v>52</v>
      </c>
      <c r="H2775" s="2" t="s">
        <v>62</v>
      </c>
      <c r="I2775" s="2" t="s">
        <v>6460</v>
      </c>
      <c r="J2775" s="3" t="str">
        <f>HYPERLINK("https://www.boe.es/gazeta/dias/1814/02/05/pdfs/GRE-1814-17.pdf#page=8","Abrir facsímil")</f>
        <v>Abrir facsímil</v>
      </c>
      <c r="K2775" s="3" t="s">
        <v>64</v>
      </c>
    </row>
    <row r="2776" spans="1:11" ht="42" customHeight="1">
      <c r="A2776" s="2" t="s">
        <v>6459</v>
      </c>
      <c r="B2776" s="2" t="s">
        <v>6459</v>
      </c>
      <c r="C2776" s="2" t="s">
        <v>26</v>
      </c>
      <c r="D2776" s="2" t="s">
        <v>27</v>
      </c>
      <c r="E2776" s="5">
        <v>-31297</v>
      </c>
      <c r="F2776" s="3" t="s">
        <v>737</v>
      </c>
      <c r="G2776" s="3" t="s">
        <v>52</v>
      </c>
      <c r="H2776" s="2" t="s">
        <v>62</v>
      </c>
      <c r="I2776" s="2" t="s">
        <v>6461</v>
      </c>
      <c r="J2776" s="3" t="str">
        <f>HYPERLINK("https://www.boe.es/gazeta/dias/1814/04/23/pdfs/GRE-1814-59.pdf#page=8","Abrir facsímil")</f>
        <v>Abrir facsímil</v>
      </c>
      <c r="K2776" s="3" t="s">
        <v>64</v>
      </c>
    </row>
    <row r="2777" spans="1:11" ht="42" customHeight="1">
      <c r="A2777" s="2" t="s">
        <v>6459</v>
      </c>
      <c r="B2777" s="2" t="s">
        <v>6459</v>
      </c>
      <c r="C2777" s="2" t="s">
        <v>17</v>
      </c>
      <c r="D2777" s="2" t="s">
        <v>18</v>
      </c>
      <c r="E2777" s="5">
        <v>-31231</v>
      </c>
      <c r="F2777" s="3" t="s">
        <v>861</v>
      </c>
      <c r="G2777" s="3" t="s">
        <v>1886</v>
      </c>
      <c r="H2777" s="2" t="s">
        <v>62</v>
      </c>
      <c r="I2777" s="2" t="s">
        <v>6462</v>
      </c>
      <c r="J2777" s="3" t="str">
        <f>HYPERLINK("https://www.boe.es/gazeta/dias/1814/06/28/pdfs/GMD-1814-91.pdf#page=4","Abrir facsímil")</f>
        <v>Abrir facsímil</v>
      </c>
      <c r="K2777" s="3" t="s">
        <v>64</v>
      </c>
    </row>
    <row r="2778" spans="1:11" ht="42" customHeight="1">
      <c r="A2778" s="2" t="s">
        <v>6459</v>
      </c>
      <c r="B2778" s="2" t="s">
        <v>6459</v>
      </c>
      <c r="C2778" s="2" t="s">
        <v>38</v>
      </c>
      <c r="D2778" s="2" t="s">
        <v>39</v>
      </c>
      <c r="E2778" s="5">
        <v>-31185</v>
      </c>
      <c r="F2778" s="3" t="s">
        <v>1238</v>
      </c>
      <c r="G2778" s="3" t="s">
        <v>3166</v>
      </c>
      <c r="H2778" s="2" t="s">
        <v>62</v>
      </c>
      <c r="I2778" s="2" t="s">
        <v>6463</v>
      </c>
      <c r="J2778" s="3" t="str">
        <f>HYPERLINK("https://www.boe.es/gazeta/dias/1814/08/13/pdfs/GMD-1814-111.pdf#page=7","Abrir facsímil")</f>
        <v>Abrir facsímil</v>
      </c>
      <c r="K2778" s="3" t="s">
        <v>64</v>
      </c>
    </row>
    <row r="2779" spans="1:11" ht="42" customHeight="1">
      <c r="A2779" s="2" t="s">
        <v>6459</v>
      </c>
      <c r="B2779" s="2" t="s">
        <v>6459</v>
      </c>
      <c r="C2779" s="2" t="s">
        <v>17</v>
      </c>
      <c r="D2779" s="2" t="s">
        <v>18</v>
      </c>
      <c r="E2779" s="5">
        <v>-31122</v>
      </c>
      <c r="F2779" s="3" t="s">
        <v>28</v>
      </c>
      <c r="G2779" s="3" t="s">
        <v>20</v>
      </c>
      <c r="H2779" s="2" t="s">
        <v>62</v>
      </c>
      <c r="I2779" s="2" t="s">
        <v>6464</v>
      </c>
      <c r="J2779" s="3" t="str">
        <f>HYPERLINK("https://www.boe.es/gazeta/dias/1814/10/15/pdfs/GMD-1814-139.pdf#page=7","Abrir facsímil")</f>
        <v>Abrir facsímil</v>
      </c>
      <c r="K2779" s="3" t="s">
        <v>64</v>
      </c>
    </row>
    <row r="2780" spans="1:11" ht="42" customHeight="1">
      <c r="A2780" s="2" t="s">
        <v>6459</v>
      </c>
      <c r="B2780" s="2" t="s">
        <v>6459</v>
      </c>
      <c r="C2780" s="2" t="s">
        <v>38</v>
      </c>
      <c r="D2780" s="2" t="s">
        <v>39</v>
      </c>
      <c r="E2780" s="5">
        <v>-31112</v>
      </c>
      <c r="F2780" s="3" t="s">
        <v>707</v>
      </c>
      <c r="G2780" s="3" t="s">
        <v>20</v>
      </c>
      <c r="H2780" s="2" t="s">
        <v>62</v>
      </c>
      <c r="I2780" s="2" t="s">
        <v>6465</v>
      </c>
      <c r="J2780" s="3" t="str">
        <f>HYPERLINK("https://www.boe.es/gazeta/dias/1814/10/25/pdfs/GMD-1814-143.pdf#page=7","Abrir facsímil")</f>
        <v>Abrir facsímil</v>
      </c>
      <c r="K2780" s="3" t="s">
        <v>64</v>
      </c>
    </row>
    <row r="2781" spans="1:11" ht="42" customHeight="1">
      <c r="A2781" s="2" t="s">
        <v>6459</v>
      </c>
      <c r="B2781" s="2" t="s">
        <v>6459</v>
      </c>
      <c r="C2781" s="2" t="s">
        <v>38</v>
      </c>
      <c r="D2781" s="2" t="s">
        <v>39</v>
      </c>
      <c r="E2781" s="5">
        <v>-31089</v>
      </c>
      <c r="F2781" s="3" t="s">
        <v>531</v>
      </c>
      <c r="G2781" s="3" t="s">
        <v>57</v>
      </c>
      <c r="H2781" s="2" t="s">
        <v>62</v>
      </c>
      <c r="I2781" s="2" t="s">
        <v>6466</v>
      </c>
      <c r="J2781" s="3" t="str">
        <f>HYPERLINK("https://www.boe.es/gazeta/dias/1814/11/17/pdfs/GMD-1814-153.pdf#page=6","Abrir facsímil")</f>
        <v>Abrir facsímil</v>
      </c>
      <c r="K2781" s="3" t="s">
        <v>64</v>
      </c>
    </row>
    <row r="2782" spans="1:11" ht="42" customHeight="1">
      <c r="A2782" s="2" t="s">
        <v>6459</v>
      </c>
      <c r="B2782" s="2" t="s">
        <v>6459</v>
      </c>
      <c r="C2782" s="2" t="s">
        <v>45</v>
      </c>
      <c r="D2782" s="2" t="s">
        <v>18</v>
      </c>
      <c r="E2782" s="5">
        <v>-31059</v>
      </c>
      <c r="F2782" s="3" t="s">
        <v>263</v>
      </c>
      <c r="G2782" s="3" t="s">
        <v>264</v>
      </c>
      <c r="H2782" s="2" t="s">
        <v>62</v>
      </c>
      <c r="I2782" s="2" t="s">
        <v>6467</v>
      </c>
      <c r="J2782" s="3" t="str">
        <f>HYPERLINK("https://www.boe.es/gazeta/dias/1814/12/17/pdfs/GMD-1814-167.pdf#page=7","Abrir facsímil")</f>
        <v>Abrir facsímil</v>
      </c>
      <c r="K2782" s="3" t="s">
        <v>64</v>
      </c>
    </row>
    <row r="2783" spans="1:11" ht="42" customHeight="1">
      <c r="A2783" s="2" t="s">
        <v>6468</v>
      </c>
      <c r="B2783" s="2" t="s">
        <v>6469</v>
      </c>
      <c r="C2783" s="2" t="s">
        <v>38</v>
      </c>
      <c r="D2783" s="2" t="s">
        <v>39</v>
      </c>
      <c r="E2783" s="5">
        <v>-31236</v>
      </c>
      <c r="F2783" s="3" t="s">
        <v>33</v>
      </c>
      <c r="G2783" s="3" t="s">
        <v>82</v>
      </c>
      <c r="H2783" s="2" t="s">
        <v>21</v>
      </c>
      <c r="I2783" s="2" t="s">
        <v>6470</v>
      </c>
      <c r="J2783" s="3" t="str">
        <f>HYPERLINK("https://www.boe.es/gazeta/dias/1814/06/23/pdfs/GMD-1814-89.pdf#page=3","Abrir facsímil")</f>
        <v>Abrir facsímil</v>
      </c>
      <c r="K2783" s="3" t="s">
        <v>23</v>
      </c>
    </row>
    <row r="2784" spans="1:11" ht="42" customHeight="1">
      <c r="A2784" s="2" t="s">
        <v>6471</v>
      </c>
      <c r="B2784" s="2" t="s">
        <v>6472</v>
      </c>
      <c r="C2784" s="2" t="s">
        <v>26</v>
      </c>
      <c r="D2784" s="2" t="s">
        <v>27</v>
      </c>
      <c r="E2784" s="5">
        <v>-31217</v>
      </c>
      <c r="F2784" s="3" t="s">
        <v>506</v>
      </c>
      <c r="G2784" s="3" t="s">
        <v>20</v>
      </c>
      <c r="H2784" s="2" t="s">
        <v>62</v>
      </c>
      <c r="I2784" s="2" t="s">
        <v>6473</v>
      </c>
      <c r="J2784" s="3" t="str">
        <f>HYPERLINK("https://www.boe.es/gazeta/dias/1814/07/12/pdfs/GMD-1814-97.pdf#page=7","Abrir facsímil")</f>
        <v>Abrir facsímil</v>
      </c>
      <c r="K2784" s="3" t="s">
        <v>64</v>
      </c>
    </row>
    <row r="2785" spans="1:11" ht="42" customHeight="1">
      <c r="A2785" s="2" t="s">
        <v>6474</v>
      </c>
      <c r="B2785" s="2" t="s">
        <v>6475</v>
      </c>
      <c r="C2785" s="2" t="s">
        <v>17</v>
      </c>
      <c r="D2785" s="2" t="s">
        <v>18</v>
      </c>
      <c r="E2785" s="5">
        <v>-31119</v>
      </c>
      <c r="F2785" s="3" t="s">
        <v>136</v>
      </c>
      <c r="G2785" s="3" t="s">
        <v>322</v>
      </c>
      <c r="H2785" s="2" t="s">
        <v>62</v>
      </c>
      <c r="I2785" s="2" t="s">
        <v>6476</v>
      </c>
      <c r="J2785" s="3" t="str">
        <f>HYPERLINK("https://www.boe.es/gazeta/dias/1814/10/18/pdfs/GMD-1814-140.pdf#page=12","Abrir facsímil")</f>
        <v>Abrir facsímil</v>
      </c>
      <c r="K2785" s="3" t="s">
        <v>64</v>
      </c>
    </row>
    <row r="2786" spans="1:11" ht="42" customHeight="1">
      <c r="A2786" s="2" t="s">
        <v>6477</v>
      </c>
      <c r="B2786" s="2" t="s">
        <v>6477</v>
      </c>
      <c r="C2786" s="2" t="s">
        <v>17</v>
      </c>
      <c r="D2786" s="2" t="s">
        <v>18</v>
      </c>
      <c r="E2786" s="5">
        <v>-31306</v>
      </c>
      <c r="F2786" s="3" t="s">
        <v>670</v>
      </c>
      <c r="G2786" s="3" t="s">
        <v>52</v>
      </c>
      <c r="H2786" s="2" t="s">
        <v>62</v>
      </c>
      <c r="I2786" s="2" t="s">
        <v>6478</v>
      </c>
      <c r="J2786" s="3" t="str">
        <f>HYPERLINK("https://www.boe.es/gazeta/dias/1814/04/14/pdfs/GRE-1814-53.pdf#page=8","Abrir facsímil")</f>
        <v>Abrir facsímil</v>
      </c>
      <c r="K2786" s="3" t="s">
        <v>64</v>
      </c>
    </row>
    <row r="2787" spans="1:11" ht="42" customHeight="1">
      <c r="A2787" s="2" t="s">
        <v>6477</v>
      </c>
      <c r="B2787" s="2" t="s">
        <v>6477</v>
      </c>
      <c r="C2787" s="2" t="s">
        <v>17</v>
      </c>
      <c r="D2787" s="2" t="s">
        <v>18</v>
      </c>
      <c r="E2787" s="5">
        <v>-31154</v>
      </c>
      <c r="F2787" s="3" t="s">
        <v>688</v>
      </c>
      <c r="G2787" s="3" t="s">
        <v>831</v>
      </c>
      <c r="H2787" s="2" t="s">
        <v>62</v>
      </c>
      <c r="I2787" s="2" t="s">
        <v>6479</v>
      </c>
      <c r="J2787" s="3" t="str">
        <f>HYPERLINK("https://www.boe.es/gazeta/dias/1814/09/13/pdfs/GMD-1814-125.pdf#page=3","Abrir facsímil")</f>
        <v>Abrir facsímil</v>
      </c>
      <c r="K2787" s="3" t="s">
        <v>64</v>
      </c>
    </row>
    <row r="2788" spans="1:11" ht="42" customHeight="1">
      <c r="A2788" s="2" t="s">
        <v>6477</v>
      </c>
      <c r="B2788" s="2" t="s">
        <v>6477</v>
      </c>
      <c r="C2788" s="2" t="s">
        <v>32</v>
      </c>
      <c r="D2788" s="2" t="s">
        <v>18</v>
      </c>
      <c r="E2788" s="5">
        <v>-31094</v>
      </c>
      <c r="F2788" s="3" t="s">
        <v>761</v>
      </c>
      <c r="G2788" s="3" t="s">
        <v>52</v>
      </c>
      <c r="H2788" s="2" t="s">
        <v>62</v>
      </c>
      <c r="I2788" s="2" t="s">
        <v>6480</v>
      </c>
      <c r="J2788" s="3" t="str">
        <f>HYPERLINK("https://www.boe.es/gazeta/dias/1814/11/12/pdfs/GMD-1814-151.pdf#page=8","Abrir facsímil")</f>
        <v>Abrir facsímil</v>
      </c>
      <c r="K2788" s="3" t="s">
        <v>64</v>
      </c>
    </row>
    <row r="2789" spans="1:11" ht="42" customHeight="1">
      <c r="A2789" s="2" t="s">
        <v>6477</v>
      </c>
      <c r="B2789" s="2" t="s">
        <v>6477</v>
      </c>
      <c r="C2789" s="2" t="s">
        <v>45</v>
      </c>
      <c r="D2789" s="2" t="s">
        <v>18</v>
      </c>
      <c r="E2789" s="5">
        <v>-31059</v>
      </c>
      <c r="F2789" s="3" t="s">
        <v>263</v>
      </c>
      <c r="G2789" s="3" t="s">
        <v>264</v>
      </c>
      <c r="H2789" s="2" t="s">
        <v>62</v>
      </c>
      <c r="I2789" s="2" t="s">
        <v>6481</v>
      </c>
      <c r="J2789" s="3" t="str">
        <f>HYPERLINK("https://www.boe.es/gazeta/dias/1814/12/17/pdfs/GMD-1814-167.pdf#page=7","Abrir facsímil")</f>
        <v>Abrir facsímil</v>
      </c>
      <c r="K2789" s="3" t="s">
        <v>64</v>
      </c>
    </row>
    <row r="2790" spans="1:11" ht="42" customHeight="1">
      <c r="A2790" s="2" t="s">
        <v>6482</v>
      </c>
      <c r="B2790" s="2" t="s">
        <v>6483</v>
      </c>
      <c r="C2790" s="2" t="s">
        <v>32</v>
      </c>
      <c r="D2790" s="2" t="s">
        <v>18</v>
      </c>
      <c r="E2790" s="5">
        <v>-31306</v>
      </c>
      <c r="F2790" s="3" t="s">
        <v>670</v>
      </c>
      <c r="G2790" s="3" t="s">
        <v>52</v>
      </c>
      <c r="H2790" s="2" t="s">
        <v>62</v>
      </c>
      <c r="I2790" s="2" t="s">
        <v>6484</v>
      </c>
      <c r="J2790" s="3" t="str">
        <f>HYPERLINK("https://www.boe.es/gazeta/dias/1814/04/14/pdfs/GRE-1814-53.pdf#page=8","Abrir facsímil")</f>
        <v>Abrir facsímil</v>
      </c>
      <c r="K2790" s="3" t="s">
        <v>64</v>
      </c>
    </row>
    <row r="2791" spans="1:11" ht="42" customHeight="1">
      <c r="A2791" s="2" t="s">
        <v>6485</v>
      </c>
      <c r="B2791" s="2" t="s">
        <v>6485</v>
      </c>
      <c r="C2791" s="2" t="s">
        <v>38</v>
      </c>
      <c r="D2791" s="2" t="s">
        <v>39</v>
      </c>
      <c r="E2791" s="5">
        <v>-31355</v>
      </c>
      <c r="F2791" s="3" t="s">
        <v>50</v>
      </c>
      <c r="G2791" s="3" t="s">
        <v>20</v>
      </c>
      <c r="H2791" s="2" t="s">
        <v>62</v>
      </c>
      <c r="I2791" s="2" t="s">
        <v>6486</v>
      </c>
      <c r="J2791" s="3" t="str">
        <f>HYPERLINK("https://www.boe.es/gazeta/dias/1814/02/24/pdfs/GRE-1814-26.pdf#page=7","Abrir facsímil")</f>
        <v>Abrir facsímil</v>
      </c>
      <c r="K2791" s="3" t="s">
        <v>64</v>
      </c>
    </row>
    <row r="2792" spans="1:11" ht="42" customHeight="1">
      <c r="A2792" s="2" t="s">
        <v>6487</v>
      </c>
      <c r="B2792" s="2" t="s">
        <v>6487</v>
      </c>
      <c r="C2792" s="2" t="s">
        <v>17</v>
      </c>
      <c r="D2792" s="2" t="s">
        <v>18</v>
      </c>
      <c r="E2792" s="5">
        <v>-31318</v>
      </c>
      <c r="F2792" s="3" t="s">
        <v>400</v>
      </c>
      <c r="G2792" s="3" t="s">
        <v>41</v>
      </c>
      <c r="H2792" s="2" t="s">
        <v>62</v>
      </c>
      <c r="I2792" s="2" t="s">
        <v>6488</v>
      </c>
      <c r="J2792" s="3" t="str">
        <f>HYPERLINK("https://www.boe.es/gazeta/dias/1814/04/02/pdfs/GRE-1814-47.pdf#page=4","Abrir facsímil")</f>
        <v>Abrir facsímil</v>
      </c>
      <c r="K2792" s="3" t="s">
        <v>64</v>
      </c>
    </row>
    <row r="2793" spans="1:11" ht="42" customHeight="1">
      <c r="A2793" s="2" t="s">
        <v>6487</v>
      </c>
      <c r="B2793" s="2" t="s">
        <v>6487</v>
      </c>
      <c r="C2793" s="2" t="s">
        <v>309</v>
      </c>
      <c r="D2793" s="2" t="s">
        <v>18</v>
      </c>
      <c r="E2793" s="5">
        <v>-31194</v>
      </c>
      <c r="F2793" s="3" t="s">
        <v>333</v>
      </c>
      <c r="G2793" s="3" t="s">
        <v>52</v>
      </c>
      <c r="H2793" s="2" t="s">
        <v>62</v>
      </c>
      <c r="I2793" s="2" t="s">
        <v>6489</v>
      </c>
      <c r="J2793" s="3" t="str">
        <f>HYPERLINK("https://www.boe.es/gazeta/dias/1814/08/04/pdfs/GMD-1814-107.pdf#page=8","Abrir facsímil")</f>
        <v>Abrir facsímil</v>
      </c>
      <c r="K2793" s="3" t="s">
        <v>64</v>
      </c>
    </row>
    <row r="2794" spans="1:11" ht="42" customHeight="1">
      <c r="A2794" s="2" t="s">
        <v>6487</v>
      </c>
      <c r="B2794" s="2" t="s">
        <v>6487</v>
      </c>
      <c r="C2794" s="2" t="s">
        <v>45</v>
      </c>
      <c r="D2794" s="2" t="s">
        <v>18</v>
      </c>
      <c r="E2794" s="5">
        <v>-31182</v>
      </c>
      <c r="F2794" s="3" t="s">
        <v>19</v>
      </c>
      <c r="G2794" s="3" t="s">
        <v>20</v>
      </c>
      <c r="H2794" s="2" t="s">
        <v>62</v>
      </c>
      <c r="I2794" s="2" t="s">
        <v>6490</v>
      </c>
      <c r="J2794" s="3" t="str">
        <f>HYPERLINK("https://www.boe.es/gazeta/dias/1814/08/16/pdfs/GMD-1814-112.pdf#page=7","Abrir facsímil")</f>
        <v>Abrir facsímil</v>
      </c>
      <c r="K2794" s="3" t="s">
        <v>64</v>
      </c>
    </row>
    <row r="2795" spans="1:11" ht="42" customHeight="1">
      <c r="A2795" s="2" t="s">
        <v>6487</v>
      </c>
      <c r="B2795" s="2" t="s">
        <v>6487</v>
      </c>
      <c r="C2795" s="2" t="s">
        <v>105</v>
      </c>
      <c r="D2795" s="2" t="s">
        <v>18</v>
      </c>
      <c r="E2795" s="5">
        <v>-31138</v>
      </c>
      <c r="F2795" s="3" t="s">
        <v>1363</v>
      </c>
      <c r="G2795" s="3" t="s">
        <v>87</v>
      </c>
      <c r="H2795" s="2" t="s">
        <v>62</v>
      </c>
      <c r="I2795" s="2" t="s">
        <v>6491</v>
      </c>
      <c r="J2795" s="3" t="str">
        <f>HYPERLINK("https://www.boe.es/gazeta/dias/1814/09/29/pdfs/GMD-1814-132.pdf#page=2","Abrir facsímil")</f>
        <v>Abrir facsímil</v>
      </c>
      <c r="K2795" s="3" t="s">
        <v>64</v>
      </c>
    </row>
    <row r="2796" spans="1:11" ht="42" customHeight="1">
      <c r="A2796" s="2" t="s">
        <v>6487</v>
      </c>
      <c r="B2796" s="2" t="s">
        <v>6487</v>
      </c>
      <c r="C2796" s="2" t="s">
        <v>38</v>
      </c>
      <c r="D2796" s="2" t="s">
        <v>39</v>
      </c>
      <c r="E2796" s="5">
        <v>-31133</v>
      </c>
      <c r="F2796" s="3" t="s">
        <v>184</v>
      </c>
      <c r="G2796" s="3" t="s">
        <v>1243</v>
      </c>
      <c r="H2796" s="2" t="s">
        <v>62</v>
      </c>
      <c r="I2796" s="2" t="s">
        <v>6492</v>
      </c>
      <c r="J2796" s="3" t="str">
        <f>HYPERLINK("https://www.boe.es/gazeta/dias/1814/10/04/pdfs/GMD-1814-134.pdf#page=8","Abrir facsímil")</f>
        <v>Abrir facsímil</v>
      </c>
      <c r="K2796" s="3" t="s">
        <v>64</v>
      </c>
    </row>
    <row r="2797" spans="1:11" ht="42" customHeight="1">
      <c r="A2797" s="2" t="s">
        <v>6487</v>
      </c>
      <c r="B2797" s="2" t="s">
        <v>6487</v>
      </c>
      <c r="C2797" s="2" t="s">
        <v>38</v>
      </c>
      <c r="D2797" s="2" t="s">
        <v>39</v>
      </c>
      <c r="E2797" s="5">
        <v>-31133</v>
      </c>
      <c r="F2797" s="3" t="s">
        <v>184</v>
      </c>
      <c r="G2797" s="3" t="s">
        <v>20</v>
      </c>
      <c r="H2797" s="2" t="s">
        <v>62</v>
      </c>
      <c r="I2797" s="2" t="s">
        <v>6493</v>
      </c>
      <c r="J2797" s="3" t="str">
        <f>HYPERLINK("https://www.boe.es/gazeta/dias/1814/10/04/pdfs/GMD-1814-134.pdf#page=7","Abrir facsímil")</f>
        <v>Abrir facsímil</v>
      </c>
      <c r="K2797" s="3" t="s">
        <v>64</v>
      </c>
    </row>
    <row r="2798" spans="1:11" ht="42" customHeight="1">
      <c r="A2798" s="2" t="s">
        <v>6487</v>
      </c>
      <c r="B2798" s="2" t="s">
        <v>6487</v>
      </c>
      <c r="C2798" s="2" t="s">
        <v>38</v>
      </c>
      <c r="D2798" s="2" t="s">
        <v>39</v>
      </c>
      <c r="E2798" s="5">
        <v>-31119</v>
      </c>
      <c r="F2798" s="3" t="s">
        <v>136</v>
      </c>
      <c r="G2798" s="3" t="s">
        <v>704</v>
      </c>
      <c r="H2798" s="2" t="s">
        <v>62</v>
      </c>
      <c r="I2798" s="2" t="s">
        <v>6494</v>
      </c>
      <c r="J2798" s="3" t="str">
        <f>HYPERLINK("https://www.boe.es/gazeta/dias/1814/10/18/pdfs/GMD-1814-140.pdf#page=10","Abrir facsímil")</f>
        <v>Abrir facsímil</v>
      </c>
      <c r="K2798" s="3" t="s">
        <v>64</v>
      </c>
    </row>
    <row r="2799" spans="1:11" ht="42" customHeight="1">
      <c r="A2799" s="2" t="s">
        <v>6487</v>
      </c>
      <c r="B2799" s="2" t="s">
        <v>6487</v>
      </c>
      <c r="C2799" s="2" t="s">
        <v>38</v>
      </c>
      <c r="D2799" s="2" t="s">
        <v>39</v>
      </c>
      <c r="E2799" s="5">
        <v>-31119</v>
      </c>
      <c r="F2799" s="3" t="s">
        <v>136</v>
      </c>
      <c r="G2799" s="3" t="s">
        <v>322</v>
      </c>
      <c r="H2799" s="2" t="s">
        <v>62</v>
      </c>
      <c r="I2799" s="2" t="s">
        <v>6495</v>
      </c>
      <c r="J2799" s="3" t="str">
        <f>HYPERLINK("https://www.boe.es/gazeta/dias/1814/10/18/pdfs/GMD-1814-140.pdf#page=12","Abrir facsímil")</f>
        <v>Abrir facsímil</v>
      </c>
      <c r="K2799" s="3" t="s">
        <v>64</v>
      </c>
    </row>
    <row r="2800" spans="1:11" ht="42" customHeight="1">
      <c r="A2800" s="2" t="s">
        <v>6496</v>
      </c>
      <c r="B2800" s="2" t="s">
        <v>6497</v>
      </c>
      <c r="C2800" s="2" t="s">
        <v>144</v>
      </c>
      <c r="D2800" s="2" t="s">
        <v>18</v>
      </c>
      <c r="E2800" s="5">
        <v>-31306</v>
      </c>
      <c r="F2800" s="3" t="s">
        <v>670</v>
      </c>
      <c r="G2800" s="3" t="s">
        <v>52</v>
      </c>
      <c r="H2800" s="2" t="s">
        <v>62</v>
      </c>
      <c r="I2800" s="2" t="s">
        <v>6498</v>
      </c>
      <c r="J2800" s="3" t="str">
        <f>HYPERLINK("https://www.boe.es/gazeta/dias/1814/04/14/pdfs/GRE-1814-53.pdf#page=8","Abrir facsímil")</f>
        <v>Abrir facsímil</v>
      </c>
      <c r="K2800" s="3" t="s">
        <v>64</v>
      </c>
    </row>
    <row r="2801" spans="1:11" ht="42" customHeight="1">
      <c r="A2801" s="2" t="s">
        <v>6499</v>
      </c>
      <c r="B2801" s="2" t="s">
        <v>6500</v>
      </c>
      <c r="C2801" s="2" t="s">
        <v>17</v>
      </c>
      <c r="D2801" s="2" t="s">
        <v>18</v>
      </c>
      <c r="E2801" s="5">
        <v>-31308</v>
      </c>
      <c r="F2801" s="3" t="s">
        <v>210</v>
      </c>
      <c r="G2801" s="3" t="s">
        <v>20</v>
      </c>
      <c r="H2801" s="2" t="s">
        <v>62</v>
      </c>
      <c r="I2801" s="2" t="s">
        <v>6501</v>
      </c>
      <c r="J2801" s="3" t="str">
        <f>HYPERLINK("https://www.boe.es/gazeta/dias/1814/04/12/pdfs/GRE-1814-52.pdf#page=7","Abrir facsímil")</f>
        <v>Abrir facsímil</v>
      </c>
      <c r="K2801" s="3" t="s">
        <v>64</v>
      </c>
    </row>
    <row r="2802" spans="1:11" ht="42" customHeight="1">
      <c r="A2802" s="2" t="s">
        <v>6499</v>
      </c>
      <c r="B2802" s="2" t="s">
        <v>6500</v>
      </c>
      <c r="C2802" s="2" t="s">
        <v>38</v>
      </c>
      <c r="D2802" s="2" t="s">
        <v>39</v>
      </c>
      <c r="E2802" s="5">
        <v>-31133</v>
      </c>
      <c r="F2802" s="3" t="s">
        <v>184</v>
      </c>
      <c r="G2802" s="3" t="s">
        <v>1243</v>
      </c>
      <c r="H2802" s="2" t="s">
        <v>62</v>
      </c>
      <c r="I2802" s="2" t="s">
        <v>6502</v>
      </c>
      <c r="J2802" s="3" t="str">
        <f>HYPERLINK("https://www.boe.es/gazeta/dias/1814/10/04/pdfs/GMD-1814-134.pdf#page=8","Abrir facsímil")</f>
        <v>Abrir facsímil</v>
      </c>
      <c r="K2802" s="3" t="s">
        <v>64</v>
      </c>
    </row>
    <row r="2803" spans="1:11" ht="42" customHeight="1">
      <c r="A2803" s="2" t="s">
        <v>6503</v>
      </c>
      <c r="B2803" s="2" t="s">
        <v>6503</v>
      </c>
      <c r="C2803" s="2" t="s">
        <v>144</v>
      </c>
      <c r="D2803" s="2" t="s">
        <v>18</v>
      </c>
      <c r="E2803" s="5">
        <v>-31154</v>
      </c>
      <c r="F2803" s="3" t="s">
        <v>688</v>
      </c>
      <c r="G2803" s="3" t="s">
        <v>52</v>
      </c>
      <c r="H2803" s="2" t="s">
        <v>62</v>
      </c>
      <c r="I2803" s="2" t="s">
        <v>6504</v>
      </c>
      <c r="J2803" s="3" t="str">
        <f>HYPERLINK("https://www.boe.es/gazeta/dias/1814/09/13/pdfs/GMD-1814-125.pdf#page=8","Abrir facsímil")</f>
        <v>Abrir facsímil</v>
      </c>
      <c r="K2803" s="3" t="s">
        <v>64</v>
      </c>
    </row>
    <row r="2804" spans="1:11" ht="42" customHeight="1">
      <c r="A2804" s="2" t="s">
        <v>6505</v>
      </c>
      <c r="B2804" s="2" t="s">
        <v>6506</v>
      </c>
      <c r="C2804" s="2" t="s">
        <v>45</v>
      </c>
      <c r="D2804" s="2" t="s">
        <v>18</v>
      </c>
      <c r="E2804" s="5">
        <v>-31278</v>
      </c>
      <c r="F2804" s="3" t="s">
        <v>773</v>
      </c>
      <c r="G2804" s="3" t="s">
        <v>774</v>
      </c>
      <c r="H2804" s="2" t="s">
        <v>21</v>
      </c>
      <c r="I2804" s="2" t="s">
        <v>6507</v>
      </c>
      <c r="J2804" s="3" t="str">
        <f>HYPERLINK("https://www.boe.es/gazeta/dias/1814/05/12/pdfs/GMD-1814-69.pdf#page=8","Abrir facsímil")</f>
        <v>Abrir facsímil</v>
      </c>
      <c r="K2804" s="3" t="s">
        <v>23</v>
      </c>
    </row>
    <row r="2805" spans="1:11" ht="42" customHeight="1">
      <c r="A2805" s="2" t="s">
        <v>6508</v>
      </c>
      <c r="B2805" s="2" t="s">
        <v>6509</v>
      </c>
      <c r="C2805" s="2" t="s">
        <v>26</v>
      </c>
      <c r="D2805" s="2" t="s">
        <v>27</v>
      </c>
      <c r="E2805" s="5">
        <v>-31182</v>
      </c>
      <c r="F2805" s="3" t="s">
        <v>19</v>
      </c>
      <c r="G2805" s="3" t="s">
        <v>57</v>
      </c>
      <c r="H2805" s="2" t="s">
        <v>62</v>
      </c>
      <c r="I2805" s="2" t="s">
        <v>6510</v>
      </c>
      <c r="J2805" s="3" t="str">
        <f>HYPERLINK("https://www.boe.es/gazeta/dias/1814/08/16/pdfs/GMD-1814-112.pdf#page=6","Abrir facsímil")</f>
        <v>Abrir facsímil</v>
      </c>
      <c r="K2805" s="3" t="s">
        <v>64</v>
      </c>
    </row>
    <row r="2806" spans="1:11" ht="42" customHeight="1">
      <c r="A2806" s="2" t="s">
        <v>6511</v>
      </c>
      <c r="B2806" s="2" t="s">
        <v>6511</v>
      </c>
      <c r="C2806" s="2" t="s">
        <v>38</v>
      </c>
      <c r="D2806" s="2" t="s">
        <v>39</v>
      </c>
      <c r="E2806" s="5">
        <v>-31054</v>
      </c>
      <c r="F2806" s="3" t="s">
        <v>952</v>
      </c>
      <c r="G2806" s="3" t="s">
        <v>87</v>
      </c>
      <c r="H2806" s="2" t="s">
        <v>62</v>
      </c>
      <c r="I2806" s="2" t="s">
        <v>6512</v>
      </c>
      <c r="J2806" s="3" t="str">
        <f>HYPERLINK("https://www.boe.es/gazeta/dias/1814/12/22/pdfs/GMD-1814-169.pdf#page=2","Abrir facsímil")</f>
        <v>Abrir facsímil</v>
      </c>
      <c r="K2806" s="3" t="s">
        <v>64</v>
      </c>
    </row>
    <row r="2807" spans="1:11" ht="42" customHeight="1">
      <c r="A2807" s="2" t="s">
        <v>6513</v>
      </c>
      <c r="B2807" s="2" t="s">
        <v>6513</v>
      </c>
      <c r="C2807" s="2" t="s">
        <v>38</v>
      </c>
      <c r="D2807" s="2" t="s">
        <v>39</v>
      </c>
      <c r="E2807" s="5">
        <v>-31301</v>
      </c>
      <c r="F2807" s="3" t="s">
        <v>81</v>
      </c>
      <c r="G2807" s="3" t="s">
        <v>82</v>
      </c>
      <c r="H2807" s="2" t="s">
        <v>62</v>
      </c>
      <c r="I2807" s="2" t="s">
        <v>6514</v>
      </c>
      <c r="J2807" s="3" t="str">
        <f>HYPERLINK("https://www.boe.es/gazeta/dias/1814/04/19/pdfs/GRE-1814-56.pdf#page=3","Abrir facsímil")</f>
        <v>Abrir facsímil</v>
      </c>
      <c r="K2807" s="3" t="s">
        <v>64</v>
      </c>
    </row>
    <row r="2808" spans="1:11" ht="42" customHeight="1">
      <c r="A2808" s="2" t="s">
        <v>6513</v>
      </c>
      <c r="B2808" s="2" t="s">
        <v>6513</v>
      </c>
      <c r="C2808" s="2" t="s">
        <v>38</v>
      </c>
      <c r="D2808" s="2" t="s">
        <v>39</v>
      </c>
      <c r="E2808" s="5">
        <v>-31301</v>
      </c>
      <c r="F2808" s="3" t="s">
        <v>81</v>
      </c>
      <c r="G2808" s="3" t="s">
        <v>41</v>
      </c>
      <c r="H2808" s="2" t="s">
        <v>62</v>
      </c>
      <c r="I2808" s="2" t="s">
        <v>6515</v>
      </c>
      <c r="J2808" s="3" t="str">
        <f>HYPERLINK("https://www.boe.es/gazeta/dias/1814/04/19/pdfs/GRE-1814-56.pdf#page=4","Abrir facsímil")</f>
        <v>Abrir facsímil</v>
      </c>
      <c r="K2808" s="3" t="s">
        <v>64</v>
      </c>
    </row>
    <row r="2809" spans="1:11" ht="42" customHeight="1">
      <c r="A2809" s="2" t="s">
        <v>6513</v>
      </c>
      <c r="B2809" s="2" t="s">
        <v>6513</v>
      </c>
      <c r="C2809" s="2" t="s">
        <v>38</v>
      </c>
      <c r="D2809" s="2" t="s">
        <v>39</v>
      </c>
      <c r="E2809" s="5">
        <v>-31301</v>
      </c>
      <c r="F2809" s="3" t="s">
        <v>81</v>
      </c>
      <c r="G2809" s="3" t="s">
        <v>99</v>
      </c>
      <c r="H2809" s="2" t="s">
        <v>62</v>
      </c>
      <c r="I2809" s="2" t="s">
        <v>6516</v>
      </c>
      <c r="J2809" s="3" t="str">
        <f>HYPERLINK("https://www.boe.es/gazeta/dias/1814/04/19/pdfs/GRE-1814-56.pdf#page=5","Abrir facsímil")</f>
        <v>Abrir facsímil</v>
      </c>
      <c r="K2809" s="3" t="s">
        <v>64</v>
      </c>
    </row>
    <row r="2810" spans="1:11" ht="42" customHeight="1">
      <c r="A2810" s="2" t="s">
        <v>6517</v>
      </c>
      <c r="B2810" s="2" t="s">
        <v>6517</v>
      </c>
      <c r="C2810" s="2" t="s">
        <v>38</v>
      </c>
      <c r="D2810" s="2" t="s">
        <v>39</v>
      </c>
      <c r="E2810" s="5">
        <v>-31374</v>
      </c>
      <c r="F2810" s="3" t="s">
        <v>474</v>
      </c>
      <c r="G2810" s="3" t="s">
        <v>82</v>
      </c>
      <c r="H2810" s="2" t="s">
        <v>62</v>
      </c>
      <c r="I2810" s="2" t="s">
        <v>6518</v>
      </c>
      <c r="J2810" s="3" t="str">
        <f>HYPERLINK("https://www.boe.es/gazeta/dias/1814/02/05/pdfs/GRE-1814-17.pdf#page=3","Abrir facsímil")</f>
        <v>Abrir facsímil</v>
      </c>
      <c r="K2810" s="3" t="s">
        <v>64</v>
      </c>
    </row>
    <row r="2811" spans="1:11" ht="42" customHeight="1">
      <c r="A2811" s="2" t="s">
        <v>6519</v>
      </c>
      <c r="B2811" s="2" t="s">
        <v>6519</v>
      </c>
      <c r="C2811" s="2" t="s">
        <v>38</v>
      </c>
      <c r="D2811" s="2" t="s">
        <v>39</v>
      </c>
      <c r="E2811" s="5">
        <v>-31383</v>
      </c>
      <c r="F2811" s="3" t="s">
        <v>715</v>
      </c>
      <c r="G2811" s="3" t="s">
        <v>87</v>
      </c>
      <c r="H2811" s="2" t="s">
        <v>62</v>
      </c>
      <c r="I2811" s="2" t="s">
        <v>6520</v>
      </c>
      <c r="J2811" s="3" t="str">
        <f>HYPERLINK("https://www.boe.es/gazeta/dias/1814/01/27/pdfs/GRE-1814-13.pdf#page=2","Abrir facsímil")</f>
        <v>Abrir facsímil</v>
      </c>
      <c r="K2811" s="3" t="s">
        <v>64</v>
      </c>
    </row>
    <row r="2812" spans="1:11" ht="42" customHeight="1">
      <c r="A2812" s="2" t="s">
        <v>6521</v>
      </c>
      <c r="B2812" s="2" t="s">
        <v>6521</v>
      </c>
      <c r="C2812" s="2" t="s">
        <v>38</v>
      </c>
      <c r="D2812" s="2" t="s">
        <v>39</v>
      </c>
      <c r="E2812" s="5">
        <v>-31217</v>
      </c>
      <c r="F2812" s="3" t="s">
        <v>506</v>
      </c>
      <c r="G2812" s="3" t="s">
        <v>87</v>
      </c>
      <c r="H2812" s="2" t="s">
        <v>62</v>
      </c>
      <c r="I2812" s="2" t="s">
        <v>6522</v>
      </c>
      <c r="J2812" s="3" t="str">
        <f>HYPERLINK("https://www.boe.es/gazeta/dias/1814/07/12/pdfs/GMD-1814-97.pdf#page=2","Abrir facsímil")</f>
        <v>Abrir facsímil</v>
      </c>
      <c r="K2812" s="3" t="s">
        <v>64</v>
      </c>
    </row>
    <row r="2813" spans="1:11" ht="42" customHeight="1">
      <c r="A2813" s="2" t="s">
        <v>6523</v>
      </c>
      <c r="B2813" s="2" t="s">
        <v>6523</v>
      </c>
      <c r="C2813" s="2" t="s">
        <v>38</v>
      </c>
      <c r="D2813" s="2" t="s">
        <v>314</v>
      </c>
      <c r="E2813" s="5">
        <v>-31296</v>
      </c>
      <c r="F2813" s="3" t="s">
        <v>315</v>
      </c>
      <c r="G2813" s="3" t="s">
        <v>20</v>
      </c>
      <c r="H2813" s="2" t="s">
        <v>62</v>
      </c>
      <c r="I2813" s="2" t="s">
        <v>6524</v>
      </c>
      <c r="J2813" s="3" t="str">
        <f>HYPERLINK("https://www.boe.es/gazeta/dias/1814/04/24/pdfs/GRE-1814-60E.pdf#page=7","Abrir facsímil")</f>
        <v>Abrir facsímil</v>
      </c>
      <c r="K2813" s="3" t="s">
        <v>64</v>
      </c>
    </row>
    <row r="2814" spans="1:11" ht="42" customHeight="1">
      <c r="A2814" s="2" t="s">
        <v>6525</v>
      </c>
      <c r="B2814" s="2" t="s">
        <v>6525</v>
      </c>
      <c r="C2814" s="2" t="s">
        <v>17</v>
      </c>
      <c r="D2814" s="2" t="s">
        <v>18</v>
      </c>
      <c r="E2814" s="5">
        <v>-31348</v>
      </c>
      <c r="F2814" s="3" t="s">
        <v>898</v>
      </c>
      <c r="G2814" s="3" t="s">
        <v>961</v>
      </c>
      <c r="H2814" s="2" t="s">
        <v>62</v>
      </c>
      <c r="I2814" s="2" t="s">
        <v>6526</v>
      </c>
      <c r="J2814" s="3" t="str">
        <f>HYPERLINK("https://www.boe.es/gazeta/dias/1814/03/03/pdfs/GRE-1814-29.pdf#page=7","Abrir facsímil")</f>
        <v>Abrir facsímil</v>
      </c>
      <c r="K2814" s="3" t="s">
        <v>64</v>
      </c>
    </row>
    <row r="2815" spans="1:11" ht="42" customHeight="1">
      <c r="A2815" s="2" t="s">
        <v>6525</v>
      </c>
      <c r="B2815" s="2" t="s">
        <v>6525</v>
      </c>
      <c r="C2815" s="2" t="s">
        <v>32</v>
      </c>
      <c r="D2815" s="2" t="s">
        <v>18</v>
      </c>
      <c r="E2815" s="5">
        <v>-31306</v>
      </c>
      <c r="F2815" s="3" t="s">
        <v>670</v>
      </c>
      <c r="G2815" s="3" t="s">
        <v>99</v>
      </c>
      <c r="H2815" s="2" t="s">
        <v>62</v>
      </c>
      <c r="I2815" s="2" t="s">
        <v>6527</v>
      </c>
      <c r="J2815" s="3" t="str">
        <f>HYPERLINK("https://www.boe.es/gazeta/dias/1814/04/14/pdfs/GRE-1814-53.pdf#page=5","Abrir facsímil")</f>
        <v>Abrir facsímil</v>
      </c>
      <c r="K2815" s="3" t="s">
        <v>64</v>
      </c>
    </row>
    <row r="2816" spans="1:11" ht="42" customHeight="1">
      <c r="A2816" s="2" t="s">
        <v>6525</v>
      </c>
      <c r="B2816" s="2" t="s">
        <v>6525</v>
      </c>
      <c r="C2816" s="2" t="s">
        <v>38</v>
      </c>
      <c r="D2816" s="2" t="s">
        <v>314</v>
      </c>
      <c r="E2816" s="5">
        <v>-31296</v>
      </c>
      <c r="F2816" s="3" t="s">
        <v>315</v>
      </c>
      <c r="G2816" s="3" t="s">
        <v>20</v>
      </c>
      <c r="H2816" s="2" t="s">
        <v>62</v>
      </c>
      <c r="I2816" s="2" t="s">
        <v>6528</v>
      </c>
      <c r="J2816" s="3" t="str">
        <f>HYPERLINK("https://www.boe.es/gazeta/dias/1814/04/24/pdfs/GRE-1814-60E.pdf#page=7","Abrir facsímil")</f>
        <v>Abrir facsímil</v>
      </c>
      <c r="K2816" s="3" t="s">
        <v>64</v>
      </c>
    </row>
    <row r="2817" spans="1:11" ht="42" customHeight="1">
      <c r="A2817" s="2" t="s">
        <v>6525</v>
      </c>
      <c r="B2817" s="2" t="s">
        <v>6525</v>
      </c>
      <c r="C2817" s="2" t="s">
        <v>26</v>
      </c>
      <c r="D2817" s="2" t="s">
        <v>27</v>
      </c>
      <c r="E2817" s="5">
        <v>-31217</v>
      </c>
      <c r="F2817" s="3" t="s">
        <v>506</v>
      </c>
      <c r="G2817" s="3" t="s">
        <v>41</v>
      </c>
      <c r="H2817" s="2" t="s">
        <v>62</v>
      </c>
      <c r="I2817" s="2" t="s">
        <v>6529</v>
      </c>
      <c r="J2817" s="3" t="str">
        <f>HYPERLINK("https://www.boe.es/gazeta/dias/1814/07/12/pdfs/GMD-1814-97.pdf#page=4","Abrir facsímil")</f>
        <v>Abrir facsímil</v>
      </c>
      <c r="K2817" s="3" t="s">
        <v>64</v>
      </c>
    </row>
    <row r="2818" spans="1:11" ht="42" customHeight="1">
      <c r="A2818" s="2" t="s">
        <v>6525</v>
      </c>
      <c r="B2818" s="2" t="s">
        <v>6525</v>
      </c>
      <c r="C2818" s="2" t="s">
        <v>17</v>
      </c>
      <c r="D2818" s="2" t="s">
        <v>18</v>
      </c>
      <c r="E2818" s="5">
        <v>-31159</v>
      </c>
      <c r="F2818" s="3" t="s">
        <v>1175</v>
      </c>
      <c r="G2818" s="3" t="s">
        <v>20</v>
      </c>
      <c r="H2818" s="2" t="s">
        <v>62</v>
      </c>
      <c r="I2818" s="2" t="s">
        <v>6530</v>
      </c>
      <c r="J2818" s="3" t="str">
        <f>HYPERLINK("https://www.boe.es/gazeta/dias/1814/09/08/pdfs/GMD-1814-123.pdf#page=7","Abrir facsímil")</f>
        <v>Abrir facsímil</v>
      </c>
      <c r="K2818" s="3" t="s">
        <v>64</v>
      </c>
    </row>
    <row r="2819" spans="1:11" ht="42" customHeight="1">
      <c r="A2819" s="2" t="s">
        <v>6525</v>
      </c>
      <c r="B2819" s="2" t="s">
        <v>6525</v>
      </c>
      <c r="C2819" s="2" t="s">
        <v>38</v>
      </c>
      <c r="D2819" s="2" t="s">
        <v>39</v>
      </c>
      <c r="E2819" s="5">
        <v>-31143</v>
      </c>
      <c r="F2819" s="3" t="s">
        <v>787</v>
      </c>
      <c r="G2819" s="3" t="s">
        <v>20</v>
      </c>
      <c r="H2819" s="2" t="s">
        <v>62</v>
      </c>
      <c r="I2819" s="2" t="s">
        <v>6531</v>
      </c>
      <c r="J2819" s="3" t="str">
        <f>HYPERLINK("https://www.boe.es/gazeta/dias/1814/09/24/pdfs/GMD-1814-130.pdf#page=7","Abrir facsímil")</f>
        <v>Abrir facsímil</v>
      </c>
      <c r="K2819" s="3" t="s">
        <v>64</v>
      </c>
    </row>
    <row r="2820" spans="1:11" ht="42" customHeight="1">
      <c r="A2820" s="2" t="s">
        <v>6525</v>
      </c>
      <c r="B2820" s="2" t="s">
        <v>6525</v>
      </c>
      <c r="C2820" s="2" t="s">
        <v>17</v>
      </c>
      <c r="D2820" s="2" t="s">
        <v>18</v>
      </c>
      <c r="E2820" s="5">
        <v>-31119</v>
      </c>
      <c r="F2820" s="3" t="s">
        <v>136</v>
      </c>
      <c r="G2820" s="3" t="s">
        <v>137</v>
      </c>
      <c r="H2820" s="2" t="s">
        <v>62</v>
      </c>
      <c r="I2820" s="2" t="s">
        <v>6532</v>
      </c>
      <c r="J2820" s="3" t="str">
        <f>HYPERLINK("https://www.boe.es/gazeta/dias/1814/10/18/pdfs/GMD-1814-140.pdf#page=9","Abrir facsímil")</f>
        <v>Abrir facsímil</v>
      </c>
      <c r="K2820" s="3" t="s">
        <v>64</v>
      </c>
    </row>
    <row r="2821" spans="1:11" ht="42" customHeight="1">
      <c r="A2821" s="2" t="s">
        <v>6525</v>
      </c>
      <c r="B2821" s="2" t="s">
        <v>6525</v>
      </c>
      <c r="C2821" s="2" t="s">
        <v>45</v>
      </c>
      <c r="D2821" s="2" t="s">
        <v>18</v>
      </c>
      <c r="E2821" s="5">
        <v>-31115</v>
      </c>
      <c r="F2821" s="3" t="s">
        <v>805</v>
      </c>
      <c r="G2821" s="3" t="s">
        <v>99</v>
      </c>
      <c r="H2821" s="2" t="s">
        <v>62</v>
      </c>
      <c r="I2821" s="2" t="s">
        <v>6533</v>
      </c>
      <c r="J2821" s="3" t="str">
        <f>HYPERLINK("https://www.boe.es/gazeta/dias/1814/10/22/pdfs/GMD-1814-142.pdf#page=5","Abrir facsímil")</f>
        <v>Abrir facsímil</v>
      </c>
      <c r="K2821" s="3" t="s">
        <v>64</v>
      </c>
    </row>
    <row r="2822" spans="1:11" ht="42" customHeight="1">
      <c r="A2822" s="2" t="s">
        <v>6525</v>
      </c>
      <c r="B2822" s="2" t="s">
        <v>6525</v>
      </c>
      <c r="C2822" s="2" t="s">
        <v>38</v>
      </c>
      <c r="D2822" s="2" t="s">
        <v>39</v>
      </c>
      <c r="E2822" s="5">
        <v>-31075</v>
      </c>
      <c r="F2822" s="3" t="s">
        <v>537</v>
      </c>
      <c r="G2822" s="3" t="s">
        <v>52</v>
      </c>
      <c r="H2822" s="2" t="s">
        <v>62</v>
      </c>
      <c r="I2822" s="2" t="s">
        <v>6534</v>
      </c>
      <c r="J2822" s="3" t="str">
        <f>HYPERLINK("https://www.boe.es/gazeta/dias/1814/12/01/pdfs/GMD-1814-159.pdf#page=8","Abrir facsímil")</f>
        <v>Abrir facsímil</v>
      </c>
      <c r="K2822" s="3" t="s">
        <v>64</v>
      </c>
    </row>
    <row r="2823" spans="1:11" ht="42" customHeight="1">
      <c r="A2823" s="2" t="s">
        <v>6525</v>
      </c>
      <c r="B2823" s="2" t="s">
        <v>6525</v>
      </c>
      <c r="C2823" s="2" t="s">
        <v>38</v>
      </c>
      <c r="D2823" s="2" t="s">
        <v>39</v>
      </c>
      <c r="E2823" s="5">
        <v>-31063</v>
      </c>
      <c r="F2823" s="3" t="s">
        <v>649</v>
      </c>
      <c r="G2823" s="3" t="s">
        <v>52</v>
      </c>
      <c r="H2823" s="2" t="s">
        <v>62</v>
      </c>
      <c r="I2823" s="2" t="s">
        <v>6535</v>
      </c>
      <c r="J2823" s="3" t="str">
        <f>HYPERLINK("https://www.boe.es/gazeta/dias/1814/12/13/pdfs/GMD-1814-164.pdf#page=8","Abrir facsímil")</f>
        <v>Abrir facsímil</v>
      </c>
      <c r="K2823" s="3" t="s">
        <v>64</v>
      </c>
    </row>
    <row r="2824" spans="1:11" ht="42" customHeight="1">
      <c r="A2824" s="2" t="s">
        <v>6525</v>
      </c>
      <c r="B2824" s="2" t="s">
        <v>6525</v>
      </c>
      <c r="C2824" s="2" t="s">
        <v>38</v>
      </c>
      <c r="D2824" s="2" t="s">
        <v>314</v>
      </c>
      <c r="E2824" s="5">
        <v>-31060</v>
      </c>
      <c r="F2824" s="3" t="s">
        <v>4339</v>
      </c>
      <c r="G2824" s="3" t="s">
        <v>87</v>
      </c>
      <c r="H2824" s="2" t="s">
        <v>62</v>
      </c>
      <c r="I2824" s="2" t="s">
        <v>6536</v>
      </c>
      <c r="J2824" s="3" t="str">
        <f>HYPERLINK("https://www.boe.es/gazeta/dias/1814/12/16/pdfs/GMD-1814-166E.pdf#page=2","Abrir facsímil")</f>
        <v>Abrir facsímil</v>
      </c>
      <c r="K2824" s="3" t="s">
        <v>64</v>
      </c>
    </row>
    <row r="2825" spans="1:11" ht="42" customHeight="1">
      <c r="A2825" s="2" t="s">
        <v>6537</v>
      </c>
      <c r="B2825" s="2" t="s">
        <v>6538</v>
      </c>
      <c r="C2825" s="2" t="s">
        <v>45</v>
      </c>
      <c r="D2825" s="2" t="s">
        <v>18</v>
      </c>
      <c r="E2825" s="5">
        <v>-31075</v>
      </c>
      <c r="F2825" s="3" t="s">
        <v>537</v>
      </c>
      <c r="G2825" s="3" t="s">
        <v>3835</v>
      </c>
      <c r="H2825" s="2" t="s">
        <v>62</v>
      </c>
      <c r="I2825" s="2" t="s">
        <v>6539</v>
      </c>
      <c r="J2825" s="3" t="str">
        <f>HYPERLINK("https://www.boe.es/gazeta/dias/1814/12/01/pdfs/GMD-1814-159.pdf#page=5","Abrir facsímil")</f>
        <v>Abrir facsímil</v>
      </c>
      <c r="K2825" s="3" t="s">
        <v>64</v>
      </c>
    </row>
    <row r="2826" spans="1:11" ht="42" customHeight="1">
      <c r="A2826" s="2" t="s">
        <v>6540</v>
      </c>
      <c r="B2826" s="2" t="s">
        <v>6541</v>
      </c>
      <c r="C2826" s="2" t="s">
        <v>26</v>
      </c>
      <c r="D2826" s="2" t="s">
        <v>27</v>
      </c>
      <c r="E2826" s="5">
        <v>-31227</v>
      </c>
      <c r="F2826" s="3" t="s">
        <v>102</v>
      </c>
      <c r="G2826" s="3" t="s">
        <v>798</v>
      </c>
      <c r="H2826" s="2" t="s">
        <v>62</v>
      </c>
      <c r="I2826" s="2" t="s">
        <v>6542</v>
      </c>
      <c r="J2826" s="3" t="str">
        <f>HYPERLINK("https://www.boe.es/gazeta/dias/1814/07/02/pdfs/GMD-1814-93.pdf#page=6","Abrir facsímil")</f>
        <v>Abrir facsímil</v>
      </c>
      <c r="K2826" s="3" t="s">
        <v>64</v>
      </c>
    </row>
    <row r="2827" spans="1:11" ht="42" customHeight="1">
      <c r="A2827" s="2" t="s">
        <v>6540</v>
      </c>
      <c r="B2827" s="2" t="s">
        <v>6541</v>
      </c>
      <c r="C2827" s="2" t="s">
        <v>17</v>
      </c>
      <c r="D2827" s="2" t="s">
        <v>18</v>
      </c>
      <c r="E2827" s="5">
        <v>-31182</v>
      </c>
      <c r="F2827" s="3" t="s">
        <v>19</v>
      </c>
      <c r="G2827" s="3" t="s">
        <v>20</v>
      </c>
      <c r="H2827" s="2" t="s">
        <v>62</v>
      </c>
      <c r="I2827" s="2" t="s">
        <v>6543</v>
      </c>
      <c r="J2827" s="3" t="str">
        <f>HYPERLINK("https://www.boe.es/gazeta/dias/1814/08/16/pdfs/GMD-1814-112.pdf#page=7","Abrir facsímil")</f>
        <v>Abrir facsímil</v>
      </c>
      <c r="K2827" s="3" t="s">
        <v>64</v>
      </c>
    </row>
    <row r="2828" spans="1:11" ht="42" customHeight="1">
      <c r="A2828" s="2" t="s">
        <v>6544</v>
      </c>
      <c r="B2828" s="2" t="s">
        <v>6544</v>
      </c>
      <c r="C2828" s="2" t="s">
        <v>32</v>
      </c>
      <c r="D2828" s="2" t="s">
        <v>18</v>
      </c>
      <c r="E2828" s="5">
        <v>-31355</v>
      </c>
      <c r="F2828" s="3" t="s">
        <v>50</v>
      </c>
      <c r="G2828" s="3" t="s">
        <v>2740</v>
      </c>
      <c r="H2828" s="2" t="s">
        <v>62</v>
      </c>
      <c r="I2828" s="2" t="s">
        <v>6545</v>
      </c>
      <c r="J2828" s="3" t="str">
        <f>HYPERLINK("https://www.boe.es/gazeta/dias/1814/02/24/pdfs/GRE-1814-26.pdf#page=6","Abrir facsímil")</f>
        <v>Abrir facsímil</v>
      </c>
      <c r="K2828" s="3" t="s">
        <v>64</v>
      </c>
    </row>
    <row r="2829" spans="1:11" ht="42" customHeight="1">
      <c r="A2829" s="2" t="s">
        <v>6544</v>
      </c>
      <c r="B2829" s="2" t="s">
        <v>6544</v>
      </c>
      <c r="C2829" s="2" t="s">
        <v>26</v>
      </c>
      <c r="D2829" s="2" t="s">
        <v>27</v>
      </c>
      <c r="E2829" s="5">
        <v>-31182</v>
      </c>
      <c r="F2829" s="3" t="s">
        <v>19</v>
      </c>
      <c r="G2829" s="3" t="s">
        <v>41</v>
      </c>
      <c r="H2829" s="2" t="s">
        <v>62</v>
      </c>
      <c r="I2829" s="2" t="s">
        <v>6546</v>
      </c>
      <c r="J2829" s="3" t="str">
        <f>HYPERLINK("https://www.boe.es/gazeta/dias/1814/08/16/pdfs/GMD-1814-112.pdf#page=4","Abrir facsímil")</f>
        <v>Abrir facsímil</v>
      </c>
      <c r="K2829" s="3" t="s">
        <v>64</v>
      </c>
    </row>
    <row r="2830" spans="1:11" ht="42" customHeight="1">
      <c r="A2830" s="2" t="s">
        <v>6544</v>
      </c>
      <c r="B2830" s="2" t="s">
        <v>6544</v>
      </c>
      <c r="C2830" s="2" t="s">
        <v>38</v>
      </c>
      <c r="D2830" s="2" t="s">
        <v>39</v>
      </c>
      <c r="E2830" s="5">
        <v>-31182</v>
      </c>
      <c r="F2830" s="3" t="s">
        <v>19</v>
      </c>
      <c r="G2830" s="3" t="s">
        <v>57</v>
      </c>
      <c r="H2830" s="2" t="s">
        <v>62</v>
      </c>
      <c r="I2830" s="2" t="s">
        <v>6547</v>
      </c>
      <c r="J2830" s="3" t="str">
        <f>HYPERLINK("https://www.boe.es/gazeta/dias/1814/08/16/pdfs/GMD-1814-112.pdf#page=6","Abrir facsímil")</f>
        <v>Abrir facsímil</v>
      </c>
      <c r="K2830" s="3" t="s">
        <v>64</v>
      </c>
    </row>
    <row r="2831" spans="1:11" ht="42" customHeight="1">
      <c r="A2831" s="2" t="s">
        <v>6548</v>
      </c>
      <c r="B2831" s="2" t="s">
        <v>6549</v>
      </c>
      <c r="C2831" s="2" t="s">
        <v>26</v>
      </c>
      <c r="D2831" s="2" t="s">
        <v>27</v>
      </c>
      <c r="E2831" s="5">
        <v>-31217</v>
      </c>
      <c r="F2831" s="3" t="s">
        <v>506</v>
      </c>
      <c r="G2831" s="3" t="s">
        <v>704</v>
      </c>
      <c r="H2831" s="2" t="s">
        <v>62</v>
      </c>
      <c r="I2831" s="2" t="s">
        <v>6550</v>
      </c>
      <c r="J2831" s="3" t="str">
        <f>HYPERLINK("https://www.boe.es/gazeta/dias/1814/07/12/pdfs/GMD-1814-97.pdf#page=10","Abrir facsímil")</f>
        <v>Abrir facsímil</v>
      </c>
      <c r="K2831" s="3" t="s">
        <v>64</v>
      </c>
    </row>
    <row r="2832" spans="1:11" ht="42" customHeight="1">
      <c r="A2832" s="2" t="s">
        <v>6551</v>
      </c>
      <c r="B2832" s="2" t="s">
        <v>6552</v>
      </c>
      <c r="C2832" s="2" t="s">
        <v>26</v>
      </c>
      <c r="D2832" s="2" t="s">
        <v>27</v>
      </c>
      <c r="E2832" s="5">
        <v>-31098</v>
      </c>
      <c r="F2832" s="3" t="s">
        <v>290</v>
      </c>
      <c r="G2832" s="3" t="s">
        <v>310</v>
      </c>
      <c r="H2832" s="2" t="s">
        <v>62</v>
      </c>
      <c r="I2832" s="2" t="s">
        <v>6553</v>
      </c>
      <c r="J2832" s="3" t="str">
        <f>HYPERLINK("https://www.boe.es/gazeta/dias/1814/11/08/pdfs/GMD-1814-149.pdf#page=8","Abrir facsímil")</f>
        <v>Abrir facsímil</v>
      </c>
      <c r="K2832" s="3" t="s">
        <v>64</v>
      </c>
    </row>
    <row r="2833" spans="1:11" ht="42" customHeight="1">
      <c r="A2833" s="2" t="s">
        <v>6554</v>
      </c>
      <c r="B2833" s="2" t="s">
        <v>6554</v>
      </c>
      <c r="C2833" s="2" t="s">
        <v>38</v>
      </c>
      <c r="D2833" s="2" t="s">
        <v>39</v>
      </c>
      <c r="E2833" s="5">
        <v>-31070</v>
      </c>
      <c r="F2833" s="3" t="s">
        <v>92</v>
      </c>
      <c r="G2833" s="3" t="s">
        <v>99</v>
      </c>
      <c r="H2833" s="2" t="s">
        <v>62</v>
      </c>
      <c r="I2833" s="2" t="s">
        <v>6555</v>
      </c>
      <c r="J2833" s="3" t="str">
        <f>HYPERLINK("https://www.boe.es/gazeta/dias/1814/12/06/pdfs/GMD-1814-161.pdf#page=5","Abrir facsímil")</f>
        <v>Abrir facsímil</v>
      </c>
      <c r="K2833" s="3" t="s">
        <v>64</v>
      </c>
    </row>
    <row r="2834" spans="1:11" ht="42" customHeight="1">
      <c r="A2834" s="2" t="s">
        <v>6556</v>
      </c>
      <c r="B2834" s="2" t="s">
        <v>6556</v>
      </c>
      <c r="C2834" s="2" t="s">
        <v>38</v>
      </c>
      <c r="D2834" s="2" t="s">
        <v>39</v>
      </c>
      <c r="E2834" s="5">
        <v>-31383</v>
      </c>
      <c r="F2834" s="3" t="s">
        <v>715</v>
      </c>
      <c r="G2834" s="3" t="s">
        <v>2727</v>
      </c>
      <c r="H2834" s="2" t="s">
        <v>62</v>
      </c>
      <c r="I2834" s="2" t="s">
        <v>6557</v>
      </c>
      <c r="J2834" s="3" t="str">
        <f>HYPERLINK("https://www.boe.es/gazeta/dias/1814/01/27/pdfs/GRE-1814-13.pdf#page=4","Abrir facsímil")</f>
        <v>Abrir facsímil</v>
      </c>
      <c r="K2834" s="3" t="s">
        <v>64</v>
      </c>
    </row>
    <row r="2835" spans="1:11" ht="42" customHeight="1">
      <c r="A2835" s="2" t="s">
        <v>6558</v>
      </c>
      <c r="B2835" s="2" t="s">
        <v>6558</v>
      </c>
      <c r="C2835" s="2" t="s">
        <v>17</v>
      </c>
      <c r="D2835" s="2" t="s">
        <v>18</v>
      </c>
      <c r="E2835" s="5">
        <v>-31399</v>
      </c>
      <c r="F2835" s="3" t="s">
        <v>218</v>
      </c>
      <c r="G2835" s="3" t="s">
        <v>219</v>
      </c>
      <c r="H2835" s="2" t="s">
        <v>62</v>
      </c>
      <c r="I2835" s="2" t="s">
        <v>6559</v>
      </c>
      <c r="J2835" s="3" t="str">
        <f>HYPERLINK("https://www.boe.es/gazeta/dias/1814/01/11/pdfs/GRE-1814-6.pdf#page=8","Abrir facsímil")</f>
        <v>Abrir facsímil</v>
      </c>
      <c r="K2835" s="3" t="s">
        <v>64</v>
      </c>
    </row>
    <row r="2836" spans="1:11" ht="42" customHeight="1">
      <c r="A2836" s="2" t="s">
        <v>6560</v>
      </c>
      <c r="B2836" s="2" t="s">
        <v>6560</v>
      </c>
      <c r="C2836" s="2" t="s">
        <v>38</v>
      </c>
      <c r="D2836" s="2" t="s">
        <v>39</v>
      </c>
      <c r="E2836" s="5">
        <v>-31404</v>
      </c>
      <c r="F2836" s="3" t="s">
        <v>630</v>
      </c>
      <c r="G2836" s="3" t="s">
        <v>1095</v>
      </c>
      <c r="H2836" s="2" t="s">
        <v>62</v>
      </c>
      <c r="I2836" s="2" t="s">
        <v>6561</v>
      </c>
      <c r="J2836" s="3" t="str">
        <f>HYPERLINK("https://www.boe.es/gazeta/dias/1814/01/06/pdfs/GRE-1814-3.pdf#page=7","Abrir facsímil")</f>
        <v>Abrir facsímil</v>
      </c>
      <c r="K2836" s="3" t="s">
        <v>64</v>
      </c>
    </row>
    <row r="2837" spans="1:11" ht="42" customHeight="1">
      <c r="A2837" s="2" t="s">
        <v>6562</v>
      </c>
      <c r="B2837" s="2" t="s">
        <v>6562</v>
      </c>
      <c r="C2837" s="2" t="s">
        <v>17</v>
      </c>
      <c r="D2837" s="2" t="s">
        <v>18</v>
      </c>
      <c r="E2837" s="5">
        <v>-31217</v>
      </c>
      <c r="F2837" s="3" t="s">
        <v>506</v>
      </c>
      <c r="G2837" s="3" t="s">
        <v>41</v>
      </c>
      <c r="H2837" s="2" t="s">
        <v>62</v>
      </c>
      <c r="I2837" s="2" t="s">
        <v>6563</v>
      </c>
      <c r="J2837" s="3" t="str">
        <f>HYPERLINK("https://www.boe.es/gazeta/dias/1814/07/12/pdfs/GMD-1814-97.pdf#page=4","Abrir facsímil")</f>
        <v>Abrir facsímil</v>
      </c>
      <c r="K2837" s="3" t="s">
        <v>64</v>
      </c>
    </row>
    <row r="2838" spans="1:11" ht="42" customHeight="1">
      <c r="A2838" s="2" t="s">
        <v>6564</v>
      </c>
      <c r="B2838" s="2" t="s">
        <v>6564</v>
      </c>
      <c r="C2838" s="2" t="s">
        <v>26</v>
      </c>
      <c r="D2838" s="2" t="s">
        <v>27</v>
      </c>
      <c r="E2838" s="5">
        <v>-31157</v>
      </c>
      <c r="F2838" s="3" t="s">
        <v>206</v>
      </c>
      <c r="G2838" s="3" t="s">
        <v>99</v>
      </c>
      <c r="H2838" s="2" t="s">
        <v>62</v>
      </c>
      <c r="I2838" s="2" t="s">
        <v>6565</v>
      </c>
      <c r="J2838" s="3" t="str">
        <f>HYPERLINK("https://www.boe.es/gazeta/dias/1814/09/10/pdfs/GMD-1814-124.pdf#page=5","Abrir facsímil")</f>
        <v>Abrir facsímil</v>
      </c>
      <c r="K2838" s="3" t="s">
        <v>64</v>
      </c>
    </row>
    <row r="2839" spans="1:11" ht="42" customHeight="1">
      <c r="A2839" s="2" t="s">
        <v>6566</v>
      </c>
      <c r="B2839" s="2" t="s">
        <v>6567</v>
      </c>
      <c r="C2839" s="2" t="s">
        <v>45</v>
      </c>
      <c r="D2839" s="2" t="s">
        <v>18</v>
      </c>
      <c r="E2839" s="5">
        <v>-31369</v>
      </c>
      <c r="F2839" s="3" t="s">
        <v>695</v>
      </c>
      <c r="G2839" s="3" t="s">
        <v>1872</v>
      </c>
      <c r="H2839" s="2" t="s">
        <v>62</v>
      </c>
      <c r="I2839" s="2" t="s">
        <v>6568</v>
      </c>
      <c r="J2839" s="3" t="str">
        <f>HYPERLINK("https://www.boe.es/gazeta/dias/1814/02/10/pdfs/GRE-1814-19.pdf#page=8","Abrir facsímil")</f>
        <v>Abrir facsímil</v>
      </c>
      <c r="K2839" s="3" t="s">
        <v>64</v>
      </c>
    </row>
    <row r="2840" spans="1:11" ht="42" customHeight="1">
      <c r="A2840" s="2" t="s">
        <v>6569</v>
      </c>
      <c r="B2840" s="2" t="s">
        <v>6570</v>
      </c>
      <c r="C2840" s="2" t="s">
        <v>32</v>
      </c>
      <c r="D2840" s="2" t="s">
        <v>18</v>
      </c>
      <c r="E2840" s="5">
        <v>-31369</v>
      </c>
      <c r="F2840" s="3" t="s">
        <v>695</v>
      </c>
      <c r="G2840" s="3" t="s">
        <v>1872</v>
      </c>
      <c r="H2840" s="2" t="s">
        <v>62</v>
      </c>
      <c r="I2840" s="2" t="s">
        <v>6571</v>
      </c>
      <c r="J2840" s="3" t="str">
        <f>HYPERLINK("https://www.boe.es/gazeta/dias/1814/02/10/pdfs/GRE-1814-19.pdf#page=8","Abrir facsímil")</f>
        <v>Abrir facsímil</v>
      </c>
      <c r="K2840" s="3" t="s">
        <v>64</v>
      </c>
    </row>
    <row r="2841" spans="1:11" ht="42" customHeight="1">
      <c r="A2841" s="2" t="s">
        <v>6569</v>
      </c>
      <c r="B2841" s="2" t="s">
        <v>6570</v>
      </c>
      <c r="C2841" s="2" t="s">
        <v>105</v>
      </c>
      <c r="D2841" s="2" t="s">
        <v>18</v>
      </c>
      <c r="E2841" s="5">
        <v>-31313</v>
      </c>
      <c r="F2841" s="3" t="s">
        <v>239</v>
      </c>
      <c r="G2841" s="3" t="s">
        <v>590</v>
      </c>
      <c r="H2841" s="2" t="s">
        <v>62</v>
      </c>
      <c r="I2841" s="2" t="s">
        <v>6572</v>
      </c>
      <c r="J2841" s="3" t="str">
        <f>HYPERLINK("https://www.boe.es/gazeta/dias/1814/04/07/pdfs/GRE-1814-50.pdf#page=8","Abrir facsímil")</f>
        <v>Abrir facsímil</v>
      </c>
      <c r="K2841" s="3" t="s">
        <v>64</v>
      </c>
    </row>
    <row r="2842" spans="1:11" ht="42" customHeight="1">
      <c r="A2842" s="2" t="s">
        <v>6569</v>
      </c>
      <c r="B2842" s="2" t="s">
        <v>6570</v>
      </c>
      <c r="C2842" s="2" t="s">
        <v>26</v>
      </c>
      <c r="D2842" s="2" t="s">
        <v>27</v>
      </c>
      <c r="E2842" s="5">
        <v>-31292</v>
      </c>
      <c r="F2842" s="3" t="s">
        <v>557</v>
      </c>
      <c r="G2842" s="3" t="s">
        <v>52</v>
      </c>
      <c r="H2842" s="2" t="s">
        <v>62</v>
      </c>
      <c r="I2842" s="2" t="s">
        <v>6573</v>
      </c>
      <c r="J2842" s="3" t="str">
        <f>HYPERLINK("https://www.boe.es/gazeta/dias/1814/04/28/pdfs/GRE-1814-63.pdf#page=8","Abrir facsímil")</f>
        <v>Abrir facsímil</v>
      </c>
      <c r="K2842" s="3" t="s">
        <v>64</v>
      </c>
    </row>
    <row r="2843" spans="1:11" ht="42" customHeight="1">
      <c r="A2843" s="2" t="s">
        <v>6569</v>
      </c>
      <c r="B2843" s="2" t="s">
        <v>6570</v>
      </c>
      <c r="C2843" s="2" t="s">
        <v>144</v>
      </c>
      <c r="D2843" s="2" t="s">
        <v>18</v>
      </c>
      <c r="E2843" s="5">
        <v>-31203</v>
      </c>
      <c r="F2843" s="3" t="s">
        <v>512</v>
      </c>
      <c r="G2843" s="3" t="s">
        <v>52</v>
      </c>
      <c r="H2843" s="2" t="s">
        <v>62</v>
      </c>
      <c r="I2843" s="2" t="s">
        <v>6574</v>
      </c>
      <c r="J2843" s="3" t="str">
        <f>HYPERLINK("https://www.boe.es/gazeta/dias/1814/07/26/pdfs/GMD-1814-103.pdf#page=8","Abrir facsímil")</f>
        <v>Abrir facsímil</v>
      </c>
      <c r="K2843" s="3" t="s">
        <v>64</v>
      </c>
    </row>
    <row r="2844" spans="1:11" ht="42" customHeight="1">
      <c r="A2844" s="2" t="s">
        <v>6575</v>
      </c>
      <c r="B2844" s="2" t="s">
        <v>6576</v>
      </c>
      <c r="C2844" s="2" t="s">
        <v>32</v>
      </c>
      <c r="D2844" s="2" t="s">
        <v>18</v>
      </c>
      <c r="E2844" s="5">
        <v>-31178</v>
      </c>
      <c r="F2844" s="3" t="s">
        <v>1390</v>
      </c>
      <c r="G2844" s="3" t="s">
        <v>52</v>
      </c>
      <c r="H2844" s="2" t="s">
        <v>62</v>
      </c>
      <c r="I2844" s="2" t="s">
        <v>6577</v>
      </c>
      <c r="J2844" s="3" t="str">
        <f>HYPERLINK("https://www.boe.es/gazeta/dias/1814/08/20/pdfs/GMD-1814-114.pdf#page=8","Abrir facsímil")</f>
        <v>Abrir facsímil</v>
      </c>
      <c r="K2844" s="3" t="s">
        <v>64</v>
      </c>
    </row>
    <row r="2845" spans="1:11" ht="42" customHeight="1">
      <c r="A2845" s="2" t="s">
        <v>6578</v>
      </c>
      <c r="B2845" s="2" t="s">
        <v>6578</v>
      </c>
      <c r="C2845" s="2" t="s">
        <v>17</v>
      </c>
      <c r="D2845" s="2" t="s">
        <v>18</v>
      </c>
      <c r="E2845" s="5">
        <v>-31224</v>
      </c>
      <c r="F2845" s="3" t="s">
        <v>609</v>
      </c>
      <c r="G2845" s="3" t="s">
        <v>384</v>
      </c>
      <c r="H2845" s="2" t="s">
        <v>62</v>
      </c>
      <c r="I2845" s="2" t="s">
        <v>6579</v>
      </c>
      <c r="J2845" s="3" t="str">
        <f>HYPERLINK("https://www.boe.es/gazeta/dias/1814/07/05/pdfs/GMD-1814-94.pdf#page=11","Abrir facsímil")</f>
        <v>Abrir facsímil</v>
      </c>
      <c r="K2845" s="3" t="s">
        <v>64</v>
      </c>
    </row>
    <row r="2846" spans="1:11" ht="42" customHeight="1">
      <c r="A2846" s="2" t="s">
        <v>6580</v>
      </c>
      <c r="B2846" s="2" t="s">
        <v>6580</v>
      </c>
      <c r="C2846" s="2" t="s">
        <v>38</v>
      </c>
      <c r="D2846" s="2" t="s">
        <v>39</v>
      </c>
      <c r="E2846" s="5">
        <v>-31133</v>
      </c>
      <c r="F2846" s="3" t="s">
        <v>184</v>
      </c>
      <c r="G2846" s="3" t="s">
        <v>20</v>
      </c>
      <c r="H2846" s="2" t="s">
        <v>62</v>
      </c>
      <c r="I2846" s="2" t="s">
        <v>6581</v>
      </c>
      <c r="J2846" s="3" t="str">
        <f>HYPERLINK("https://www.boe.es/gazeta/dias/1814/10/04/pdfs/GMD-1814-134.pdf#page=7","Abrir facsímil")</f>
        <v>Abrir facsímil</v>
      </c>
      <c r="K2846" s="3" t="s">
        <v>64</v>
      </c>
    </row>
    <row r="2847" spans="1:11" ht="42" customHeight="1">
      <c r="A2847" s="2" t="s">
        <v>6582</v>
      </c>
      <c r="B2847" s="2" t="s">
        <v>6582</v>
      </c>
      <c r="C2847" s="2" t="s">
        <v>26</v>
      </c>
      <c r="D2847" s="2" t="s">
        <v>27</v>
      </c>
      <c r="E2847" s="5">
        <v>-31329</v>
      </c>
      <c r="F2847" s="3" t="s">
        <v>621</v>
      </c>
      <c r="G2847" s="3" t="s">
        <v>2755</v>
      </c>
      <c r="H2847" s="2" t="s">
        <v>62</v>
      </c>
      <c r="I2847" s="2" t="s">
        <v>6583</v>
      </c>
      <c r="J2847" s="3" t="str">
        <f>HYPERLINK("https://www.boe.es/gazeta/dias/1814/03/22/pdfs/GRE-1814-39.pdf#page=8","Abrir facsímil")</f>
        <v>Abrir facsímil</v>
      </c>
      <c r="K2847" s="3" t="s">
        <v>64</v>
      </c>
    </row>
    <row r="2848" spans="1:11" ht="42" customHeight="1">
      <c r="A2848" s="2" t="s">
        <v>6582</v>
      </c>
      <c r="B2848" s="2" t="s">
        <v>6582</v>
      </c>
      <c r="C2848" s="2" t="s">
        <v>38</v>
      </c>
      <c r="D2848" s="2" t="s">
        <v>39</v>
      </c>
      <c r="E2848" s="5">
        <v>-31217</v>
      </c>
      <c r="F2848" s="3" t="s">
        <v>506</v>
      </c>
      <c r="G2848" s="3" t="s">
        <v>384</v>
      </c>
      <c r="H2848" s="2" t="s">
        <v>62</v>
      </c>
      <c r="I2848" s="2" t="s">
        <v>6584</v>
      </c>
      <c r="J2848" s="3" t="str">
        <f>HYPERLINK("https://www.boe.es/gazeta/dias/1814/07/12/pdfs/GMD-1814-97.pdf#page=11","Abrir facsímil")</f>
        <v>Abrir facsímil</v>
      </c>
      <c r="K2848" s="3" t="s">
        <v>64</v>
      </c>
    </row>
    <row r="2849" spans="1:11" ht="42" customHeight="1">
      <c r="A2849" s="2" t="s">
        <v>6582</v>
      </c>
      <c r="B2849" s="2" t="s">
        <v>6582</v>
      </c>
      <c r="C2849" s="2" t="s">
        <v>26</v>
      </c>
      <c r="D2849" s="2" t="s">
        <v>27</v>
      </c>
      <c r="E2849" s="5">
        <v>-31143</v>
      </c>
      <c r="F2849" s="3" t="s">
        <v>787</v>
      </c>
      <c r="G2849" s="3" t="s">
        <v>20</v>
      </c>
      <c r="H2849" s="2" t="s">
        <v>62</v>
      </c>
      <c r="I2849" s="2" t="s">
        <v>6585</v>
      </c>
      <c r="J2849" s="3" t="str">
        <f>HYPERLINK("https://www.boe.es/gazeta/dias/1814/09/24/pdfs/GMD-1814-130.pdf#page=7","Abrir facsímil")</f>
        <v>Abrir facsímil</v>
      </c>
      <c r="K2849" s="3" t="s">
        <v>64</v>
      </c>
    </row>
    <row r="2850" spans="1:11" ht="42" customHeight="1">
      <c r="A2850" s="2" t="s">
        <v>6586</v>
      </c>
      <c r="B2850" s="2" t="s">
        <v>6586</v>
      </c>
      <c r="C2850" s="2" t="s">
        <v>38</v>
      </c>
      <c r="D2850" s="2" t="s">
        <v>39</v>
      </c>
      <c r="E2850" s="5">
        <v>-31399</v>
      </c>
      <c r="F2850" s="3" t="s">
        <v>218</v>
      </c>
      <c r="G2850" s="3" t="s">
        <v>219</v>
      </c>
      <c r="H2850" s="2" t="s">
        <v>62</v>
      </c>
      <c r="I2850" s="2" t="s">
        <v>6587</v>
      </c>
      <c r="J2850" s="3" t="str">
        <f>HYPERLINK("https://www.boe.es/gazeta/dias/1814/01/11/pdfs/GRE-1814-6.pdf#page=8","Abrir facsímil")</f>
        <v>Abrir facsímil</v>
      </c>
      <c r="K2850" s="3" t="s">
        <v>64</v>
      </c>
    </row>
    <row r="2851" spans="1:11" ht="42" customHeight="1">
      <c r="A2851" s="2" t="s">
        <v>6586</v>
      </c>
      <c r="B2851" s="2" t="s">
        <v>6586</v>
      </c>
      <c r="C2851" s="2" t="s">
        <v>45</v>
      </c>
      <c r="D2851" s="2" t="s">
        <v>18</v>
      </c>
      <c r="E2851" s="5">
        <v>-31383</v>
      </c>
      <c r="F2851" s="3" t="s">
        <v>715</v>
      </c>
      <c r="G2851" s="3" t="s">
        <v>20</v>
      </c>
      <c r="H2851" s="2" t="s">
        <v>62</v>
      </c>
      <c r="I2851" s="2" t="s">
        <v>6588</v>
      </c>
      <c r="J2851" s="3" t="str">
        <f>HYPERLINK("https://www.boe.es/gazeta/dias/1814/01/27/pdfs/GRE-1814-13.pdf#page=7","Abrir facsímil")</f>
        <v>Abrir facsímil</v>
      </c>
      <c r="K2851" s="3" t="s">
        <v>64</v>
      </c>
    </row>
    <row r="2852" spans="1:11" ht="42" customHeight="1">
      <c r="A2852" s="2" t="s">
        <v>6586</v>
      </c>
      <c r="B2852" s="2" t="s">
        <v>6586</v>
      </c>
      <c r="C2852" s="2" t="s">
        <v>38</v>
      </c>
      <c r="D2852" s="2" t="s">
        <v>39</v>
      </c>
      <c r="E2852" s="5">
        <v>-31367</v>
      </c>
      <c r="F2852" s="3" t="s">
        <v>857</v>
      </c>
      <c r="G2852" s="3" t="s">
        <v>20</v>
      </c>
      <c r="H2852" s="2" t="s">
        <v>62</v>
      </c>
      <c r="I2852" s="2" t="s">
        <v>6589</v>
      </c>
      <c r="J2852" s="3" t="str">
        <f>HYPERLINK("https://www.boe.es/gazeta/dias/1814/02/12/pdfs/GRE-1814-20.pdf#page=7","Abrir facsímil")</f>
        <v>Abrir facsímil</v>
      </c>
      <c r="K2852" s="3" t="s">
        <v>64</v>
      </c>
    </row>
    <row r="2853" spans="1:11" ht="42" customHeight="1">
      <c r="A2853" s="2" t="s">
        <v>6586</v>
      </c>
      <c r="B2853" s="2" t="s">
        <v>6586</v>
      </c>
      <c r="C2853" s="2" t="s">
        <v>38</v>
      </c>
      <c r="D2853" s="2" t="s">
        <v>314</v>
      </c>
      <c r="E2853" s="5">
        <v>-31328</v>
      </c>
      <c r="F2853" s="3" t="s">
        <v>442</v>
      </c>
      <c r="G2853" s="3" t="s">
        <v>82</v>
      </c>
      <c r="H2853" s="2" t="s">
        <v>62</v>
      </c>
      <c r="I2853" s="2" t="s">
        <v>6590</v>
      </c>
      <c r="J2853" s="3" t="str">
        <f>HYPERLINK("https://www.boe.es/gazeta/dias/1814/03/23/pdfs/GRE-1814-40E.pdf#page=3","Abrir facsímil")</f>
        <v>Abrir facsímil</v>
      </c>
      <c r="K2853" s="3" t="s">
        <v>64</v>
      </c>
    </row>
    <row r="2854" spans="1:11" ht="42" customHeight="1">
      <c r="A2854" s="2" t="s">
        <v>6586</v>
      </c>
      <c r="B2854" s="2" t="s">
        <v>6586</v>
      </c>
      <c r="C2854" s="2" t="s">
        <v>38</v>
      </c>
      <c r="D2854" s="2" t="s">
        <v>39</v>
      </c>
      <c r="E2854" s="5">
        <v>-31290</v>
      </c>
      <c r="F2854" s="3" t="s">
        <v>488</v>
      </c>
      <c r="G2854" s="3" t="s">
        <v>87</v>
      </c>
      <c r="H2854" s="2" t="s">
        <v>62</v>
      </c>
      <c r="I2854" s="2" t="s">
        <v>6591</v>
      </c>
      <c r="J2854" s="3" t="str">
        <f>HYPERLINK("https://www.boe.es/gazeta/dias/1814/04/30/pdfs/GRE-1814-64.pdf#page=2","Abrir facsímil")</f>
        <v>Abrir facsímil</v>
      </c>
      <c r="K2854" s="3" t="s">
        <v>64</v>
      </c>
    </row>
    <row r="2855" spans="1:11" ht="42" customHeight="1">
      <c r="A2855" s="2" t="s">
        <v>6586</v>
      </c>
      <c r="B2855" s="2" t="s">
        <v>6586</v>
      </c>
      <c r="C2855" s="2" t="s">
        <v>17</v>
      </c>
      <c r="D2855" s="2" t="s">
        <v>18</v>
      </c>
      <c r="E2855" s="5">
        <v>-31255</v>
      </c>
      <c r="F2855" s="3" t="s">
        <v>983</v>
      </c>
      <c r="G2855" s="3" t="s">
        <v>52</v>
      </c>
      <c r="H2855" s="2" t="s">
        <v>62</v>
      </c>
      <c r="I2855" s="2" t="s">
        <v>6592</v>
      </c>
      <c r="J2855" s="3" t="str">
        <f>HYPERLINK("https://www.boe.es/gazeta/dias/1814/06/04/pdfs/GMD-1814-81.pdf#page=8","Abrir facsímil")</f>
        <v>Abrir facsímil</v>
      </c>
      <c r="K2855" s="3" t="s">
        <v>64</v>
      </c>
    </row>
    <row r="2856" spans="1:11" ht="42" customHeight="1">
      <c r="A2856" s="2" t="s">
        <v>6586</v>
      </c>
      <c r="B2856" s="2" t="s">
        <v>6586</v>
      </c>
      <c r="C2856" s="2" t="s">
        <v>17</v>
      </c>
      <c r="D2856" s="2" t="s">
        <v>18</v>
      </c>
      <c r="E2856" s="5">
        <v>-31192</v>
      </c>
      <c r="F2856" s="3" t="s">
        <v>388</v>
      </c>
      <c r="G2856" s="3" t="s">
        <v>1397</v>
      </c>
      <c r="H2856" s="2" t="s">
        <v>62</v>
      </c>
      <c r="I2856" s="2" t="s">
        <v>6593</v>
      </c>
      <c r="J2856" s="3" t="str">
        <f>HYPERLINK("https://www.boe.es/gazeta/dias/1814/08/06/pdfs/GMD-1814-108.pdf#page=8","Abrir facsímil")</f>
        <v>Abrir facsímil</v>
      </c>
      <c r="K2856" s="3" t="s">
        <v>64</v>
      </c>
    </row>
    <row r="2857" spans="1:11" ht="42" customHeight="1">
      <c r="A2857" s="2" t="s">
        <v>6586</v>
      </c>
      <c r="B2857" s="2" t="s">
        <v>6586</v>
      </c>
      <c r="C2857" s="2" t="s">
        <v>26</v>
      </c>
      <c r="D2857" s="2" t="s">
        <v>27</v>
      </c>
      <c r="E2857" s="5">
        <v>-31168</v>
      </c>
      <c r="F2857" s="3" t="s">
        <v>893</v>
      </c>
      <c r="G2857" s="3" t="s">
        <v>20</v>
      </c>
      <c r="H2857" s="2" t="s">
        <v>62</v>
      </c>
      <c r="I2857" s="2" t="s">
        <v>6594</v>
      </c>
      <c r="J2857" s="3" t="str">
        <f>HYPERLINK("https://www.boe.es/gazeta/dias/1814/08/30/pdfs/GMD-1814-118.pdf#page=7","Abrir facsímil")</f>
        <v>Abrir facsímil</v>
      </c>
      <c r="K2857" s="3" t="s">
        <v>64</v>
      </c>
    </row>
    <row r="2858" spans="1:11" ht="42" customHeight="1">
      <c r="A2858" s="2" t="s">
        <v>6586</v>
      </c>
      <c r="B2858" s="2" t="s">
        <v>6586</v>
      </c>
      <c r="C2858" s="2" t="s">
        <v>26</v>
      </c>
      <c r="D2858" s="2" t="s">
        <v>27</v>
      </c>
      <c r="E2858" s="5">
        <v>-31152</v>
      </c>
      <c r="F2858" s="3" t="s">
        <v>199</v>
      </c>
      <c r="G2858" s="3" t="s">
        <v>20</v>
      </c>
      <c r="H2858" s="2" t="s">
        <v>62</v>
      </c>
      <c r="I2858" s="2" t="s">
        <v>6595</v>
      </c>
      <c r="J2858" s="3" t="str">
        <f>HYPERLINK("https://www.boe.es/gazeta/dias/1814/09/15/pdfs/GMD-1814-126.pdf#page=7","Abrir facsímil")</f>
        <v>Abrir facsímil</v>
      </c>
      <c r="K2858" s="3" t="s">
        <v>64</v>
      </c>
    </row>
    <row r="2859" spans="1:11" ht="42" customHeight="1">
      <c r="A2859" s="2" t="s">
        <v>6586</v>
      </c>
      <c r="B2859" s="2" t="s">
        <v>6586</v>
      </c>
      <c r="C2859" s="2" t="s">
        <v>32</v>
      </c>
      <c r="D2859" s="2" t="s">
        <v>18</v>
      </c>
      <c r="E2859" s="5">
        <v>-31119</v>
      </c>
      <c r="F2859" s="3" t="s">
        <v>136</v>
      </c>
      <c r="G2859" s="3" t="s">
        <v>137</v>
      </c>
      <c r="H2859" s="2" t="s">
        <v>62</v>
      </c>
      <c r="I2859" s="2" t="s">
        <v>6596</v>
      </c>
      <c r="J2859" s="3" t="str">
        <f>HYPERLINK("https://www.boe.es/gazeta/dias/1814/10/18/pdfs/GMD-1814-140.pdf#page=9","Abrir facsímil")</f>
        <v>Abrir facsímil</v>
      </c>
      <c r="K2859" s="3" t="s">
        <v>64</v>
      </c>
    </row>
    <row r="2860" spans="1:11" ht="42" customHeight="1">
      <c r="A2860" s="2" t="s">
        <v>6586</v>
      </c>
      <c r="B2860" s="2" t="s">
        <v>6586</v>
      </c>
      <c r="C2860" s="2" t="s">
        <v>38</v>
      </c>
      <c r="D2860" s="2" t="s">
        <v>39</v>
      </c>
      <c r="E2860" s="5">
        <v>-31115</v>
      </c>
      <c r="F2860" s="3" t="s">
        <v>805</v>
      </c>
      <c r="G2860" s="3" t="s">
        <v>99</v>
      </c>
      <c r="H2860" s="2" t="s">
        <v>62</v>
      </c>
      <c r="I2860" s="2" t="s">
        <v>6597</v>
      </c>
      <c r="J2860" s="3" t="str">
        <f>HYPERLINK("https://www.boe.es/gazeta/dias/1814/10/22/pdfs/GMD-1814-142.pdf#page=5","Abrir facsímil")</f>
        <v>Abrir facsímil</v>
      </c>
      <c r="K2860" s="3" t="s">
        <v>64</v>
      </c>
    </row>
    <row r="2861" spans="1:11" ht="42" customHeight="1">
      <c r="A2861" s="2" t="s">
        <v>6586</v>
      </c>
      <c r="B2861" s="2" t="s">
        <v>6586</v>
      </c>
      <c r="C2861" s="2" t="s">
        <v>38</v>
      </c>
      <c r="D2861" s="2" t="s">
        <v>39</v>
      </c>
      <c r="E2861" s="5">
        <v>-31105</v>
      </c>
      <c r="F2861" s="3" t="s">
        <v>61</v>
      </c>
      <c r="G2861" s="3" t="s">
        <v>5957</v>
      </c>
      <c r="H2861" s="2" t="s">
        <v>62</v>
      </c>
      <c r="I2861" s="2" t="s">
        <v>6598</v>
      </c>
      <c r="J2861" s="3" t="str">
        <f>HYPERLINK("https://www.boe.es/gazeta/dias/1814/11/01/pdfs/GMD-1814-146.pdf#page=7","Abrir facsímil")</f>
        <v>Abrir facsímil</v>
      </c>
      <c r="K2861" s="3" t="s">
        <v>64</v>
      </c>
    </row>
    <row r="2862" spans="1:11" ht="42" customHeight="1">
      <c r="A2862" s="2" t="s">
        <v>6586</v>
      </c>
      <c r="B2862" s="2" t="s">
        <v>6586</v>
      </c>
      <c r="C2862" s="2" t="s">
        <v>38</v>
      </c>
      <c r="D2862" s="2" t="s">
        <v>39</v>
      </c>
      <c r="E2862" s="5">
        <v>-31091</v>
      </c>
      <c r="F2862" s="3" t="s">
        <v>1156</v>
      </c>
      <c r="G2862" s="3" t="s">
        <v>20</v>
      </c>
      <c r="H2862" s="2" t="s">
        <v>62</v>
      </c>
      <c r="I2862" s="2" t="s">
        <v>6599</v>
      </c>
      <c r="J2862" s="3" t="str">
        <f>HYPERLINK("https://www.boe.es/gazeta/dias/1814/11/15/pdfs/GMD-1814-152.pdf#page=7","Abrir facsímil")</f>
        <v>Abrir facsímil</v>
      </c>
      <c r="K2862" s="3" t="s">
        <v>64</v>
      </c>
    </row>
    <row r="2863" spans="1:11" ht="42" customHeight="1">
      <c r="A2863" s="2" t="s">
        <v>6600</v>
      </c>
      <c r="B2863" s="2" t="s">
        <v>6601</v>
      </c>
      <c r="C2863" s="2" t="s">
        <v>45</v>
      </c>
      <c r="D2863" s="2" t="s">
        <v>18</v>
      </c>
      <c r="E2863" s="5">
        <v>-31131</v>
      </c>
      <c r="F2863" s="3" t="s">
        <v>132</v>
      </c>
      <c r="G2863" s="3" t="s">
        <v>20</v>
      </c>
      <c r="H2863" s="2" t="s">
        <v>21</v>
      </c>
      <c r="I2863" s="2" t="s">
        <v>6602</v>
      </c>
      <c r="J2863" s="3" t="str">
        <f>HYPERLINK("https://www.boe.es/gazeta/dias/1814/10/06/pdfs/GMD-1814-135.pdf#page=7","Abrir facsímil")</f>
        <v>Abrir facsímil</v>
      </c>
      <c r="K2863" s="3" t="s">
        <v>23</v>
      </c>
    </row>
    <row r="2864" spans="1:11" ht="42" customHeight="1">
      <c r="A2864" s="2" t="s">
        <v>6603</v>
      </c>
      <c r="B2864" s="2" t="s">
        <v>6604</v>
      </c>
      <c r="C2864" s="2" t="s">
        <v>45</v>
      </c>
      <c r="D2864" s="2" t="s">
        <v>18</v>
      </c>
      <c r="E2864" s="5">
        <v>-31140</v>
      </c>
      <c r="F2864" s="3" t="s">
        <v>525</v>
      </c>
      <c r="G2864" s="3" t="s">
        <v>99</v>
      </c>
      <c r="H2864" s="2" t="s">
        <v>62</v>
      </c>
      <c r="I2864" s="2" t="s">
        <v>6605</v>
      </c>
      <c r="J2864" s="3" t="str">
        <f>HYPERLINK("https://www.boe.es/gazeta/dias/1814/09/27/pdfs/GMD-1814-131.pdf#page=5","Abrir facsímil")</f>
        <v>Abrir facsímil</v>
      </c>
      <c r="K2864" s="3" t="s">
        <v>64</v>
      </c>
    </row>
    <row r="2865" spans="1:11" ht="42" customHeight="1">
      <c r="A2865" s="2" t="s">
        <v>6603</v>
      </c>
      <c r="B2865" s="2" t="s">
        <v>6604</v>
      </c>
      <c r="C2865" s="2" t="s">
        <v>26</v>
      </c>
      <c r="D2865" s="2" t="s">
        <v>27</v>
      </c>
      <c r="E2865" s="5">
        <v>-31129</v>
      </c>
      <c r="F2865" s="3" t="s">
        <v>418</v>
      </c>
      <c r="G2865" s="3" t="s">
        <v>20</v>
      </c>
      <c r="H2865" s="2" t="s">
        <v>62</v>
      </c>
      <c r="I2865" s="2" t="s">
        <v>6606</v>
      </c>
      <c r="J2865" s="3" t="str">
        <f>HYPERLINK("https://www.boe.es/gazeta/dias/1814/10/08/pdfs/GMD-1814-136.pdf#page=7","Abrir facsímil")</f>
        <v>Abrir facsímil</v>
      </c>
      <c r="K2865" s="3" t="s">
        <v>64</v>
      </c>
    </row>
    <row r="2866" spans="1:11" ht="42" customHeight="1">
      <c r="A2866" s="2" t="s">
        <v>6607</v>
      </c>
      <c r="B2866" s="2" t="s">
        <v>6608</v>
      </c>
      <c r="C2866" s="2" t="s">
        <v>26</v>
      </c>
      <c r="D2866" s="2" t="s">
        <v>27</v>
      </c>
      <c r="E2866" s="5">
        <v>-31264</v>
      </c>
      <c r="F2866" s="3" t="s">
        <v>396</v>
      </c>
      <c r="G2866" s="3" t="s">
        <v>20</v>
      </c>
      <c r="H2866" s="2" t="s">
        <v>21</v>
      </c>
      <c r="I2866" s="2" t="s">
        <v>6609</v>
      </c>
      <c r="J2866" s="3" t="str">
        <f>HYPERLINK("https://www.boe.es/gazeta/dias/1814/05/26/pdfs/GMD-1814-77.pdf#page=7","Abrir facsímil")</f>
        <v>Abrir facsímil</v>
      </c>
      <c r="K2866" s="3" t="s">
        <v>23</v>
      </c>
    </row>
    <row r="2867" spans="1:11" ht="42" customHeight="1">
      <c r="A2867" s="2" t="s">
        <v>6610</v>
      </c>
      <c r="B2867" s="2" t="s">
        <v>6610</v>
      </c>
      <c r="C2867" s="2" t="s">
        <v>32</v>
      </c>
      <c r="D2867" s="2" t="s">
        <v>18</v>
      </c>
      <c r="E2867" s="5">
        <v>-31355</v>
      </c>
      <c r="F2867" s="3" t="s">
        <v>50</v>
      </c>
      <c r="G2867" s="3" t="s">
        <v>52</v>
      </c>
      <c r="H2867" s="2" t="s">
        <v>62</v>
      </c>
      <c r="I2867" s="2" t="s">
        <v>6611</v>
      </c>
      <c r="J2867" s="3" t="str">
        <f>HYPERLINK("https://www.boe.es/gazeta/dias/1814/02/24/pdfs/GRE-1814-26.pdf#page=8","Abrir facsímil")</f>
        <v>Abrir facsímil</v>
      </c>
      <c r="K2867" s="3" t="s">
        <v>64</v>
      </c>
    </row>
    <row r="2868" spans="1:11" ht="42" customHeight="1">
      <c r="A2868" s="2" t="s">
        <v>6612</v>
      </c>
      <c r="B2868" s="2" t="s">
        <v>6613</v>
      </c>
      <c r="C2868" s="2" t="s">
        <v>38</v>
      </c>
      <c r="D2868" s="2" t="s">
        <v>39</v>
      </c>
      <c r="E2868" s="5">
        <v>-31180</v>
      </c>
      <c r="F2868" s="3" t="s">
        <v>520</v>
      </c>
      <c r="G2868" s="3" t="s">
        <v>57</v>
      </c>
      <c r="H2868" s="2" t="s">
        <v>62</v>
      </c>
      <c r="I2868" s="2" t="s">
        <v>6614</v>
      </c>
      <c r="J2868" s="3" t="str">
        <f>HYPERLINK("https://www.boe.es/gazeta/dias/1814/08/18/pdfs/GMD-1814-113.pdf#page=6","Abrir facsímil")</f>
        <v>Abrir facsímil</v>
      </c>
      <c r="K2868" s="3" t="s">
        <v>64</v>
      </c>
    </row>
    <row r="2869" spans="1:11" ht="42" customHeight="1">
      <c r="A2869" s="2" t="s">
        <v>6615</v>
      </c>
      <c r="B2869" s="2" t="s">
        <v>6615</v>
      </c>
      <c r="C2869" s="2" t="s">
        <v>38</v>
      </c>
      <c r="D2869" s="2" t="s">
        <v>39</v>
      </c>
      <c r="E2869" s="5">
        <v>-31404</v>
      </c>
      <c r="F2869" s="3" t="s">
        <v>630</v>
      </c>
      <c r="G2869" s="3" t="s">
        <v>107</v>
      </c>
      <c r="H2869" s="2" t="s">
        <v>62</v>
      </c>
      <c r="I2869" s="2" t="s">
        <v>6616</v>
      </c>
      <c r="J2869" s="3" t="str">
        <f>HYPERLINK("https://www.boe.es/gazeta/dias/1814/01/06/pdfs/GRE-1814-3.pdf#page=1","Abrir facsímil")</f>
        <v>Abrir facsímil</v>
      </c>
      <c r="K2869" s="3" t="s">
        <v>64</v>
      </c>
    </row>
    <row r="2870" spans="1:11" ht="42" customHeight="1">
      <c r="A2870" s="2" t="s">
        <v>6615</v>
      </c>
      <c r="B2870" s="2" t="s">
        <v>6615</v>
      </c>
      <c r="C2870" s="2" t="s">
        <v>38</v>
      </c>
      <c r="D2870" s="2" t="s">
        <v>39</v>
      </c>
      <c r="E2870" s="5">
        <v>-31215</v>
      </c>
      <c r="F2870" s="3" t="s">
        <v>372</v>
      </c>
      <c r="G2870" s="3" t="s">
        <v>322</v>
      </c>
      <c r="H2870" s="2" t="s">
        <v>62</v>
      </c>
      <c r="I2870" s="2" t="s">
        <v>6617</v>
      </c>
      <c r="J2870" s="3" t="str">
        <f>HYPERLINK("https://www.boe.es/gazeta/dias/1814/07/14/pdfs/GMD-1814-98.pdf#page=12","Abrir facsímil")</f>
        <v>Abrir facsímil</v>
      </c>
      <c r="K2870" s="3" t="s">
        <v>64</v>
      </c>
    </row>
    <row r="2871" spans="1:11" ht="42" customHeight="1">
      <c r="A2871" s="2" t="s">
        <v>6618</v>
      </c>
      <c r="B2871" s="2" t="s">
        <v>6619</v>
      </c>
      <c r="C2871" s="2" t="s">
        <v>26</v>
      </c>
      <c r="D2871" s="2" t="s">
        <v>27</v>
      </c>
      <c r="E2871" s="5">
        <v>-31250</v>
      </c>
      <c r="F2871" s="3" t="s">
        <v>177</v>
      </c>
      <c r="G2871" s="3" t="s">
        <v>52</v>
      </c>
      <c r="H2871" s="2" t="s">
        <v>62</v>
      </c>
      <c r="I2871" s="2" t="s">
        <v>6620</v>
      </c>
      <c r="J2871" s="3" t="str">
        <f>HYPERLINK("https://www.boe.es/gazeta/dias/1814/06/09/pdfs/GMD-1814-83.pdf#page=8","Abrir facsímil")</f>
        <v>Abrir facsímil</v>
      </c>
      <c r="K2871" s="3" t="s">
        <v>64</v>
      </c>
    </row>
    <row r="2872" spans="1:11" ht="42" customHeight="1">
      <c r="A2872" s="2" t="s">
        <v>6618</v>
      </c>
      <c r="B2872" s="2" t="s">
        <v>6619</v>
      </c>
      <c r="C2872" s="2" t="s">
        <v>26</v>
      </c>
      <c r="D2872" s="2" t="s">
        <v>27</v>
      </c>
      <c r="E2872" s="5">
        <v>-31187</v>
      </c>
      <c r="F2872" s="3" t="s">
        <v>518</v>
      </c>
      <c r="G2872" s="3" t="s">
        <v>20</v>
      </c>
      <c r="H2872" s="2" t="s">
        <v>62</v>
      </c>
      <c r="I2872" s="2" t="s">
        <v>6621</v>
      </c>
      <c r="J2872" s="3" t="str">
        <f>HYPERLINK("https://www.boe.es/gazeta/dias/1814/08/11/pdfs/GMD-1814-110.pdf#page=7","Abrir facsímil")</f>
        <v>Abrir facsímil</v>
      </c>
      <c r="K2872" s="3" t="s">
        <v>64</v>
      </c>
    </row>
    <row r="2873" spans="1:11" ht="42" customHeight="1">
      <c r="A2873" s="2" t="s">
        <v>6622</v>
      </c>
      <c r="B2873" s="2" t="s">
        <v>6623</v>
      </c>
      <c r="C2873" s="2" t="s">
        <v>26</v>
      </c>
      <c r="D2873" s="2" t="s">
        <v>27</v>
      </c>
      <c r="E2873" s="5">
        <v>-31262</v>
      </c>
      <c r="F2873" s="3" t="s">
        <v>254</v>
      </c>
      <c r="G2873" s="3" t="s">
        <v>99</v>
      </c>
      <c r="H2873" s="2" t="s">
        <v>62</v>
      </c>
      <c r="I2873" s="2" t="s">
        <v>6624</v>
      </c>
      <c r="J2873" s="3" t="str">
        <f>HYPERLINK("https://www.boe.es/gazeta/dias/1814/05/28/pdfs/GMD-1814-78.pdf#page=5","Abrir facsímil")</f>
        <v>Abrir facsímil</v>
      </c>
      <c r="K2873" s="3" t="s">
        <v>64</v>
      </c>
    </row>
    <row r="2874" spans="1:11" ht="42" customHeight="1">
      <c r="A2874" s="2" t="s">
        <v>6625</v>
      </c>
      <c r="B2874" s="2" t="s">
        <v>6626</v>
      </c>
      <c r="C2874" s="2" t="s">
        <v>26</v>
      </c>
      <c r="D2874" s="2" t="s">
        <v>27</v>
      </c>
      <c r="E2874" s="5">
        <v>-31259</v>
      </c>
      <c r="F2874" s="3" t="s">
        <v>853</v>
      </c>
      <c r="G2874" s="3" t="s">
        <v>6627</v>
      </c>
      <c r="H2874" s="2" t="s">
        <v>21</v>
      </c>
      <c r="I2874" s="2" t="s">
        <v>6628</v>
      </c>
      <c r="J2874" s="3" t="str">
        <f>HYPERLINK("https://www.boe.es/gazeta/dias/1814/05/31/pdfs/GMD-1814-79.pdf#page=8","Abrir facsímil")</f>
        <v>Abrir facsímil</v>
      </c>
      <c r="K2874" s="3" t="s">
        <v>23</v>
      </c>
    </row>
    <row r="2875" spans="1:11" ht="42" customHeight="1">
      <c r="A2875" s="2" t="s">
        <v>6629</v>
      </c>
      <c r="B2875" s="2" t="s">
        <v>6629</v>
      </c>
      <c r="C2875" s="2" t="s">
        <v>38</v>
      </c>
      <c r="D2875" s="2" t="s">
        <v>39</v>
      </c>
      <c r="E2875" s="5">
        <v>-31108</v>
      </c>
      <c r="F2875" s="3" t="s">
        <v>528</v>
      </c>
      <c r="G2875" s="3" t="s">
        <v>99</v>
      </c>
      <c r="H2875" s="2" t="s">
        <v>62</v>
      </c>
      <c r="I2875" s="2" t="s">
        <v>6630</v>
      </c>
      <c r="J2875" s="3" t="str">
        <f>HYPERLINK("https://www.boe.es/gazeta/dias/1814/10/29/pdfs/GMD-1814-145.pdf#page=5","Abrir facsímil")</f>
        <v>Abrir facsímil</v>
      </c>
      <c r="K2875" s="3" t="s">
        <v>64</v>
      </c>
    </row>
    <row r="2876" spans="1:11" ht="42" customHeight="1">
      <c r="A2876" s="2" t="s">
        <v>6631</v>
      </c>
      <c r="B2876" s="2" t="s">
        <v>6632</v>
      </c>
      <c r="C2876" s="2" t="s">
        <v>309</v>
      </c>
      <c r="D2876" s="2" t="s">
        <v>18</v>
      </c>
      <c r="E2876" s="5">
        <v>-31084</v>
      </c>
      <c r="F2876" s="3" t="s">
        <v>282</v>
      </c>
      <c r="G2876" s="3" t="s">
        <v>52</v>
      </c>
      <c r="H2876" s="2" t="s">
        <v>62</v>
      </c>
      <c r="I2876" s="2" t="s">
        <v>6633</v>
      </c>
      <c r="J2876" s="3" t="str">
        <f>HYPERLINK("https://www.boe.es/gazeta/dias/1814/11/22/pdfs/GMD-1814-155.pdf#page=8","Abrir facsímil")</f>
        <v>Abrir facsímil</v>
      </c>
      <c r="K2876" s="3" t="s">
        <v>64</v>
      </c>
    </row>
    <row r="2877" spans="1:11" ht="42" customHeight="1">
      <c r="A2877" s="2" t="s">
        <v>6634</v>
      </c>
      <c r="B2877" s="2" t="s">
        <v>6635</v>
      </c>
      <c r="C2877" s="2" t="s">
        <v>38</v>
      </c>
      <c r="D2877" s="2" t="s">
        <v>39</v>
      </c>
      <c r="E2877" s="5">
        <v>-31131</v>
      </c>
      <c r="F2877" s="3" t="s">
        <v>132</v>
      </c>
      <c r="G2877" s="3" t="s">
        <v>99</v>
      </c>
      <c r="H2877" s="2" t="s">
        <v>21</v>
      </c>
      <c r="I2877" s="2" t="s">
        <v>6636</v>
      </c>
      <c r="J2877" s="3" t="str">
        <f>HYPERLINK("https://www.boe.es/gazeta/dias/1814/10/06/pdfs/GMD-1814-135.pdf#page=5","Abrir facsímil")</f>
        <v>Abrir facsímil</v>
      </c>
      <c r="K2877" s="3" t="s">
        <v>23</v>
      </c>
    </row>
    <row r="2878" spans="1:11" ht="42" customHeight="1">
      <c r="A2878" s="2" t="s">
        <v>6637</v>
      </c>
      <c r="B2878" s="2" t="s">
        <v>6637</v>
      </c>
      <c r="C2878" s="2" t="s">
        <v>38</v>
      </c>
      <c r="D2878" s="2" t="s">
        <v>39</v>
      </c>
      <c r="E2878" s="5">
        <v>-31392</v>
      </c>
      <c r="F2878" s="3" t="s">
        <v>195</v>
      </c>
      <c r="G2878" s="3" t="s">
        <v>3134</v>
      </c>
      <c r="H2878" s="2" t="s">
        <v>62</v>
      </c>
      <c r="I2878" s="2" t="s">
        <v>6638</v>
      </c>
      <c r="J2878" s="3" t="str">
        <f>HYPERLINK("https://www.boe.es/gazeta/dias/1814/01/18/pdfs/GRE-1814-9.pdf#page=5","Abrir facsímil")</f>
        <v>Abrir facsímil</v>
      </c>
      <c r="K2878" s="3" t="s">
        <v>64</v>
      </c>
    </row>
    <row r="2879" spans="1:11" ht="42" customHeight="1">
      <c r="A2879" s="2" t="s">
        <v>6639</v>
      </c>
      <c r="B2879" s="2" t="s">
        <v>6639</v>
      </c>
      <c r="C2879" s="2" t="s">
        <v>38</v>
      </c>
      <c r="D2879" s="2" t="s">
        <v>39</v>
      </c>
      <c r="E2879" s="5">
        <v>-31329</v>
      </c>
      <c r="F2879" s="3" t="s">
        <v>621</v>
      </c>
      <c r="G2879" s="3" t="s">
        <v>622</v>
      </c>
      <c r="H2879" s="2" t="s">
        <v>62</v>
      </c>
      <c r="I2879" s="2" t="s">
        <v>6640</v>
      </c>
      <c r="J2879" s="3" t="str">
        <f>HYPERLINK("https://www.boe.es/gazeta/dias/1814/03/22/pdfs/GRE-1814-39.pdf#page=2","Abrir facsímil")</f>
        <v>Abrir facsímil</v>
      </c>
      <c r="K2879" s="3" t="s">
        <v>64</v>
      </c>
    </row>
    <row r="2880" spans="1:11" ht="42" customHeight="1">
      <c r="A2880" s="2" t="s">
        <v>6639</v>
      </c>
      <c r="B2880" s="2" t="s">
        <v>6639</v>
      </c>
      <c r="C2880" s="2" t="s">
        <v>38</v>
      </c>
      <c r="D2880" s="2" t="s">
        <v>39</v>
      </c>
      <c r="E2880" s="5">
        <v>-31329</v>
      </c>
      <c r="F2880" s="3" t="s">
        <v>621</v>
      </c>
      <c r="G2880" s="3" t="s">
        <v>107</v>
      </c>
      <c r="H2880" s="2" t="s">
        <v>62</v>
      </c>
      <c r="I2880" s="2" t="s">
        <v>6641</v>
      </c>
      <c r="J2880" s="3" t="str">
        <f>HYPERLINK("https://www.boe.es/gazeta/dias/1814/03/22/pdfs/GRE-1814-39.pdf#page=1","Abrir facsímil")</f>
        <v>Abrir facsímil</v>
      </c>
      <c r="K2880" s="3" t="s">
        <v>64</v>
      </c>
    </row>
    <row r="2881" spans="1:11" ht="42" customHeight="1">
      <c r="A2881" s="2" t="s">
        <v>6639</v>
      </c>
      <c r="B2881" s="2" t="s">
        <v>6639</v>
      </c>
      <c r="C2881" s="2" t="s">
        <v>38</v>
      </c>
      <c r="D2881" s="2" t="s">
        <v>39</v>
      </c>
      <c r="E2881" s="5">
        <v>-31329</v>
      </c>
      <c r="F2881" s="3" t="s">
        <v>621</v>
      </c>
      <c r="G2881" s="3" t="s">
        <v>82</v>
      </c>
      <c r="H2881" s="2" t="s">
        <v>62</v>
      </c>
      <c r="I2881" s="2" t="s">
        <v>6642</v>
      </c>
      <c r="J2881" s="3" t="str">
        <f>HYPERLINK("https://www.boe.es/gazeta/dias/1814/03/22/pdfs/GRE-1814-39.pdf#page=3","Abrir facsímil")</f>
        <v>Abrir facsímil</v>
      </c>
      <c r="K2881" s="3" t="s">
        <v>64</v>
      </c>
    </row>
    <row r="2882" spans="1:11" ht="42" customHeight="1">
      <c r="A2882" s="2" t="s">
        <v>6643</v>
      </c>
      <c r="B2882" s="2" t="s">
        <v>6643</v>
      </c>
      <c r="C2882" s="2" t="s">
        <v>105</v>
      </c>
      <c r="D2882" s="2" t="s">
        <v>18</v>
      </c>
      <c r="E2882" s="5">
        <v>-31199</v>
      </c>
      <c r="F2882" s="3" t="s">
        <v>453</v>
      </c>
      <c r="G2882" s="3" t="s">
        <v>6644</v>
      </c>
      <c r="H2882" s="2" t="s">
        <v>62</v>
      </c>
      <c r="I2882" s="2" t="s">
        <v>6645</v>
      </c>
      <c r="J2882" s="3" t="str">
        <f>HYPERLINK("https://www.boe.es/gazeta/dias/1814/07/30/pdfs/GMD-1814-105.pdf#page=2","Abrir facsímil")</f>
        <v>Abrir facsímil</v>
      </c>
      <c r="K2882" s="3" t="s">
        <v>64</v>
      </c>
    </row>
    <row r="2883" spans="1:11" ht="42" customHeight="1">
      <c r="A2883" s="2" t="s">
        <v>6646</v>
      </c>
      <c r="B2883" s="2" t="s">
        <v>6647</v>
      </c>
      <c r="C2883" s="2" t="s">
        <v>38</v>
      </c>
      <c r="D2883" s="2" t="s">
        <v>39</v>
      </c>
      <c r="E2883" s="5">
        <v>-31290</v>
      </c>
      <c r="F2883" s="3" t="s">
        <v>488</v>
      </c>
      <c r="G2883" s="3" t="s">
        <v>20</v>
      </c>
      <c r="H2883" s="2" t="s">
        <v>21</v>
      </c>
      <c r="I2883" s="2" t="s">
        <v>6648</v>
      </c>
      <c r="J2883" s="3" t="str">
        <f>HYPERLINK("https://www.boe.es/gazeta/dias/1814/04/30/pdfs/GRE-1814-64.pdf#page=7","Abrir facsímil")</f>
        <v>Abrir facsímil</v>
      </c>
      <c r="K2883" s="3" t="s">
        <v>23</v>
      </c>
    </row>
    <row r="2884" spans="1:11" ht="42" customHeight="1">
      <c r="A2884" s="2" t="s">
        <v>6649</v>
      </c>
      <c r="B2884" s="2" t="s">
        <v>6650</v>
      </c>
      <c r="C2884" s="2" t="s">
        <v>38</v>
      </c>
      <c r="D2884" s="2" t="s">
        <v>39</v>
      </c>
      <c r="E2884" s="5">
        <v>-31315</v>
      </c>
      <c r="F2884" s="3" t="s">
        <v>645</v>
      </c>
      <c r="G2884" s="3" t="s">
        <v>52</v>
      </c>
      <c r="H2884" s="2" t="s">
        <v>21</v>
      </c>
      <c r="I2884" s="2" t="s">
        <v>6651</v>
      </c>
      <c r="J2884" s="3" t="str">
        <f>HYPERLINK("https://www.boe.es/gazeta/dias/1814/04/05/pdfs/GRE-1814-49.pdf#page=8","Abrir facsímil")</f>
        <v>Abrir facsímil</v>
      </c>
      <c r="K2884" s="3" t="s">
        <v>23</v>
      </c>
    </row>
    <row r="2885" spans="1:11" ht="42" customHeight="1">
      <c r="A2885" s="2" t="s">
        <v>6652</v>
      </c>
      <c r="B2885" s="2" t="s">
        <v>6652</v>
      </c>
      <c r="C2885" s="2" t="s">
        <v>38</v>
      </c>
      <c r="D2885" s="2" t="s">
        <v>314</v>
      </c>
      <c r="E2885" s="5">
        <v>-31341</v>
      </c>
      <c r="F2885" s="3" t="s">
        <v>354</v>
      </c>
      <c r="G2885" s="3" t="s">
        <v>82</v>
      </c>
      <c r="H2885" s="2" t="s">
        <v>62</v>
      </c>
      <c r="I2885" s="2" t="s">
        <v>6653</v>
      </c>
      <c r="J2885" s="3" t="str">
        <f>HYPERLINK("https://www.boe.es/gazeta/dias/1814/03/10/pdfs/GRE-1814-34E.pdf#page=3","Abrir facsímil")</f>
        <v>Abrir facsímil</v>
      </c>
      <c r="K2885" s="3" t="s">
        <v>64</v>
      </c>
    </row>
    <row r="2886" spans="1:11" ht="42" customHeight="1">
      <c r="A2886" s="2" t="s">
        <v>6654</v>
      </c>
      <c r="B2886" s="2" t="s">
        <v>6655</v>
      </c>
      <c r="C2886" s="2" t="s">
        <v>17</v>
      </c>
      <c r="D2886" s="2" t="s">
        <v>18</v>
      </c>
      <c r="E2886" s="5">
        <v>-31119</v>
      </c>
      <c r="F2886" s="3" t="s">
        <v>136</v>
      </c>
      <c r="G2886" s="3" t="s">
        <v>137</v>
      </c>
      <c r="H2886" s="2" t="s">
        <v>62</v>
      </c>
      <c r="I2886" s="2" t="s">
        <v>6656</v>
      </c>
      <c r="J2886" s="3" t="str">
        <f>HYPERLINK("https://www.boe.es/gazeta/dias/1814/10/18/pdfs/GMD-1814-140.pdf#page=9","Abrir facsímil")</f>
        <v>Abrir facsímil</v>
      </c>
      <c r="K2886" s="3" t="s">
        <v>64</v>
      </c>
    </row>
    <row r="2887" spans="1:11" ht="42" customHeight="1">
      <c r="A2887" s="2" t="s">
        <v>6657</v>
      </c>
      <c r="B2887" s="2" t="s">
        <v>6657</v>
      </c>
      <c r="C2887" s="2" t="s">
        <v>17</v>
      </c>
      <c r="D2887" s="2" t="s">
        <v>18</v>
      </c>
      <c r="E2887" s="5">
        <v>-31406</v>
      </c>
      <c r="F2887" s="3" t="s">
        <v>1718</v>
      </c>
      <c r="G2887" s="3" t="s">
        <v>1801</v>
      </c>
      <c r="H2887" s="2" t="s">
        <v>62</v>
      </c>
      <c r="I2887" s="2" t="s">
        <v>6658</v>
      </c>
      <c r="J2887" s="3" t="str">
        <f>HYPERLINK("https://www.boe.es/gazeta/dias/1814/01/04/pdfs/GRE-1814-2.pdf#page=4","Abrir facsímil")</f>
        <v>Abrir facsímil</v>
      </c>
      <c r="K2887" s="3" t="s">
        <v>64</v>
      </c>
    </row>
    <row r="2888" spans="1:11" ht="42" customHeight="1">
      <c r="A2888" s="2" t="s">
        <v>6657</v>
      </c>
      <c r="B2888" s="2" t="s">
        <v>6657</v>
      </c>
      <c r="C2888" s="2" t="s">
        <v>38</v>
      </c>
      <c r="D2888" s="2" t="s">
        <v>39</v>
      </c>
      <c r="E2888" s="5">
        <v>-31315</v>
      </c>
      <c r="F2888" s="3" t="s">
        <v>645</v>
      </c>
      <c r="G2888" s="3" t="s">
        <v>82</v>
      </c>
      <c r="H2888" s="2" t="s">
        <v>62</v>
      </c>
      <c r="I2888" s="2" t="s">
        <v>6659</v>
      </c>
      <c r="J2888" s="3" t="str">
        <f>HYPERLINK("https://www.boe.es/gazeta/dias/1814/04/05/pdfs/GRE-1814-49.pdf#page=3","Abrir facsímil")</f>
        <v>Abrir facsímil</v>
      </c>
      <c r="K2888" s="3" t="s">
        <v>64</v>
      </c>
    </row>
    <row r="2889" spans="1:11" ht="42" customHeight="1">
      <c r="A2889" s="2" t="s">
        <v>6660</v>
      </c>
      <c r="B2889" s="2" t="s">
        <v>6660</v>
      </c>
      <c r="C2889" s="2" t="s">
        <v>26</v>
      </c>
      <c r="D2889" s="2" t="s">
        <v>27</v>
      </c>
      <c r="E2889" s="5">
        <v>-31138</v>
      </c>
      <c r="F2889" s="3" t="s">
        <v>1363</v>
      </c>
      <c r="G2889" s="3" t="s">
        <v>87</v>
      </c>
      <c r="H2889" s="2" t="s">
        <v>62</v>
      </c>
      <c r="I2889" s="2" t="s">
        <v>6661</v>
      </c>
      <c r="J2889" s="3" t="str">
        <f>HYPERLINK("https://www.boe.es/gazeta/dias/1814/09/29/pdfs/GMD-1814-132.pdf#page=2","Abrir facsímil")</f>
        <v>Abrir facsímil</v>
      </c>
      <c r="K2889" s="3" t="s">
        <v>64</v>
      </c>
    </row>
    <row r="2890" spans="1:11" ht="42" customHeight="1">
      <c r="A2890" s="2" t="s">
        <v>6662</v>
      </c>
      <c r="B2890" s="2" t="s">
        <v>6662</v>
      </c>
      <c r="C2890" s="2" t="s">
        <v>38</v>
      </c>
      <c r="D2890" s="2" t="s">
        <v>39</v>
      </c>
      <c r="E2890" s="5">
        <v>-31084</v>
      </c>
      <c r="F2890" s="3" t="s">
        <v>282</v>
      </c>
      <c r="G2890" s="3" t="s">
        <v>3050</v>
      </c>
      <c r="H2890" s="2" t="s">
        <v>62</v>
      </c>
      <c r="I2890" s="2" t="s">
        <v>6663</v>
      </c>
      <c r="J2890" s="3" t="str">
        <f>HYPERLINK("https://www.boe.es/gazeta/dias/1814/11/22/pdfs/GMD-1814-155.pdf#page=4","Abrir facsímil")</f>
        <v>Abrir facsímil</v>
      </c>
      <c r="K2890" s="3" t="s">
        <v>64</v>
      </c>
    </row>
    <row r="2891" spans="1:11" ht="42" customHeight="1">
      <c r="A2891" s="2" t="s">
        <v>6664</v>
      </c>
      <c r="B2891" s="2" t="s">
        <v>6664</v>
      </c>
      <c r="C2891" s="2" t="s">
        <v>38</v>
      </c>
      <c r="D2891" s="2" t="s">
        <v>39</v>
      </c>
      <c r="E2891" s="5">
        <v>-31052</v>
      </c>
      <c r="F2891" s="3" t="s">
        <v>1407</v>
      </c>
      <c r="G2891" s="3" t="s">
        <v>82</v>
      </c>
      <c r="H2891" s="2" t="s">
        <v>62</v>
      </c>
      <c r="I2891" s="2" t="s">
        <v>6665</v>
      </c>
      <c r="J2891" s="3" t="str">
        <f>HYPERLINK("https://www.boe.es/gazeta/dias/1814/12/24/pdfs/GMD-1814-170.pdf#page=3","Abrir facsímil")</f>
        <v>Abrir facsímil</v>
      </c>
      <c r="K2891" s="3" t="s">
        <v>64</v>
      </c>
    </row>
    <row r="2892" spans="1:11" ht="42" customHeight="1">
      <c r="A2892" s="2" t="s">
        <v>6666</v>
      </c>
      <c r="B2892" s="2" t="s">
        <v>6666</v>
      </c>
      <c r="C2892" s="2" t="s">
        <v>38</v>
      </c>
      <c r="D2892" s="2" t="s">
        <v>39</v>
      </c>
      <c r="E2892" s="5">
        <v>-31371</v>
      </c>
      <c r="F2892" s="3" t="s">
        <v>476</v>
      </c>
      <c r="G2892" s="3" t="s">
        <v>87</v>
      </c>
      <c r="H2892" s="2" t="s">
        <v>62</v>
      </c>
      <c r="I2892" s="2" t="s">
        <v>6667</v>
      </c>
      <c r="J2892" s="3" t="str">
        <f>HYPERLINK("https://www.boe.es/gazeta/dias/1814/02/08/pdfs/GRE-1814-31.pdf#page=2","Abrir facsímil")</f>
        <v>Abrir facsímil</v>
      </c>
      <c r="K2892" s="3" t="s">
        <v>64</v>
      </c>
    </row>
    <row r="2893" spans="1:11" ht="42" customHeight="1">
      <c r="A2893" s="2" t="s">
        <v>6666</v>
      </c>
      <c r="B2893" s="2" t="s">
        <v>6666</v>
      </c>
      <c r="C2893" s="2" t="s">
        <v>38</v>
      </c>
      <c r="D2893" s="2" t="s">
        <v>39</v>
      </c>
      <c r="E2893" s="5">
        <v>-31343</v>
      </c>
      <c r="F2893" s="3" t="s">
        <v>476</v>
      </c>
      <c r="G2893" s="3" t="s">
        <v>87</v>
      </c>
      <c r="H2893" s="2" t="s">
        <v>62</v>
      </c>
      <c r="I2893" s="2" t="s">
        <v>6667</v>
      </c>
      <c r="J2893" s="3" t="str">
        <f>HYPERLINK("https://www.boe.es/gazeta/dias/1814/03/08/pdfs/GRE-1814-31.pdf#page=2","Abrir facsímil")</f>
        <v>Abrir facsímil</v>
      </c>
      <c r="K2893" s="3" t="s">
        <v>64</v>
      </c>
    </row>
    <row r="2894" spans="1:11" ht="42" customHeight="1">
      <c r="A2894" s="2" t="s">
        <v>6668</v>
      </c>
      <c r="B2894" s="2" t="s">
        <v>6668</v>
      </c>
      <c r="C2894" s="2" t="s">
        <v>38</v>
      </c>
      <c r="D2894" s="2" t="s">
        <v>39</v>
      </c>
      <c r="E2894" s="5">
        <v>-31334</v>
      </c>
      <c r="F2894" s="3" t="s">
        <v>482</v>
      </c>
      <c r="G2894" s="3" t="s">
        <v>82</v>
      </c>
      <c r="H2894" s="2" t="s">
        <v>62</v>
      </c>
      <c r="I2894" s="2" t="s">
        <v>6669</v>
      </c>
      <c r="J2894" s="3" t="str">
        <f>HYPERLINK("https://www.boe.es/gazeta/dias/1814/03/17/pdfs/GRE-1814-37.pdf#page=3","Abrir facsímil")</f>
        <v>Abrir facsímil</v>
      </c>
      <c r="K2894" s="3" t="s">
        <v>64</v>
      </c>
    </row>
    <row r="2895" spans="1:11" ht="42" customHeight="1">
      <c r="A2895" s="2" t="s">
        <v>6668</v>
      </c>
      <c r="B2895" s="2" t="s">
        <v>6668</v>
      </c>
      <c r="C2895" s="2" t="s">
        <v>38</v>
      </c>
      <c r="D2895" s="2" t="s">
        <v>39</v>
      </c>
      <c r="E2895" s="5">
        <v>-31329</v>
      </c>
      <c r="F2895" s="3" t="s">
        <v>621</v>
      </c>
      <c r="G2895" s="3" t="s">
        <v>622</v>
      </c>
      <c r="H2895" s="2" t="s">
        <v>62</v>
      </c>
      <c r="I2895" s="2" t="s">
        <v>6670</v>
      </c>
      <c r="J2895" s="3" t="str">
        <f>HYPERLINK("https://www.boe.es/gazeta/dias/1814/03/22/pdfs/GRE-1814-39.pdf#page=2","Abrir facsímil")</f>
        <v>Abrir facsímil</v>
      </c>
      <c r="K2895" s="3" t="s">
        <v>64</v>
      </c>
    </row>
    <row r="2896" spans="1:11" ht="42" customHeight="1">
      <c r="A2896" s="2" t="s">
        <v>6668</v>
      </c>
      <c r="B2896" s="2" t="s">
        <v>6668</v>
      </c>
      <c r="C2896" s="2" t="s">
        <v>38</v>
      </c>
      <c r="D2896" s="2" t="s">
        <v>39</v>
      </c>
      <c r="E2896" s="5">
        <v>-31329</v>
      </c>
      <c r="F2896" s="3" t="s">
        <v>621</v>
      </c>
      <c r="G2896" s="3" t="s">
        <v>2115</v>
      </c>
      <c r="H2896" s="2" t="s">
        <v>62</v>
      </c>
      <c r="I2896" s="2" t="s">
        <v>6671</v>
      </c>
      <c r="J2896" s="3" t="str">
        <f>HYPERLINK("https://www.boe.es/gazeta/dias/1814/03/22/pdfs/GRE-1814-39.pdf#page=4","Abrir facsímil")</f>
        <v>Abrir facsímil</v>
      </c>
      <c r="K2896" s="3" t="s">
        <v>64</v>
      </c>
    </row>
    <row r="2897" spans="1:11" ht="42" customHeight="1">
      <c r="A2897" s="2" t="s">
        <v>6668</v>
      </c>
      <c r="B2897" s="2" t="s">
        <v>6668</v>
      </c>
      <c r="C2897" s="2" t="s">
        <v>38</v>
      </c>
      <c r="D2897" s="2" t="s">
        <v>39</v>
      </c>
      <c r="E2897" s="5">
        <v>-31329</v>
      </c>
      <c r="F2897" s="3" t="s">
        <v>621</v>
      </c>
      <c r="G2897" s="3" t="s">
        <v>82</v>
      </c>
      <c r="H2897" s="2" t="s">
        <v>62</v>
      </c>
      <c r="I2897" s="2" t="s">
        <v>6672</v>
      </c>
      <c r="J2897" s="3" t="str">
        <f>HYPERLINK("https://www.boe.es/gazeta/dias/1814/03/22/pdfs/GRE-1814-39.pdf#page=3","Abrir facsímil")</f>
        <v>Abrir facsímil</v>
      </c>
      <c r="K2897" s="3" t="s">
        <v>64</v>
      </c>
    </row>
    <row r="2898" spans="1:11" ht="42" customHeight="1">
      <c r="A2898" s="2" t="s">
        <v>6668</v>
      </c>
      <c r="B2898" s="2" t="s">
        <v>6668</v>
      </c>
      <c r="C2898" s="2" t="s">
        <v>38</v>
      </c>
      <c r="D2898" s="2" t="s">
        <v>39</v>
      </c>
      <c r="E2898" s="5">
        <v>-31322</v>
      </c>
      <c r="F2898" s="3" t="s">
        <v>114</v>
      </c>
      <c r="G2898" s="3" t="s">
        <v>99</v>
      </c>
      <c r="H2898" s="2" t="s">
        <v>62</v>
      </c>
      <c r="I2898" s="2" t="s">
        <v>6673</v>
      </c>
      <c r="J2898" s="3" t="str">
        <f>HYPERLINK("https://www.boe.es/gazeta/dias/1814/03/29/pdfs/GRE-1814-44.pdf#page=5","Abrir facsímil")</f>
        <v>Abrir facsímil</v>
      </c>
      <c r="K2898" s="3" t="s">
        <v>64</v>
      </c>
    </row>
    <row r="2899" spans="1:11" ht="42" customHeight="1">
      <c r="A2899" s="2" t="s">
        <v>6674</v>
      </c>
      <c r="B2899" s="2" t="s">
        <v>6674</v>
      </c>
      <c r="C2899" s="2" t="s">
        <v>38</v>
      </c>
      <c r="D2899" s="2" t="s">
        <v>39</v>
      </c>
      <c r="E2899" s="5">
        <v>-31405</v>
      </c>
      <c r="F2899" s="3" t="s">
        <v>1754</v>
      </c>
      <c r="G2899" s="3" t="s">
        <v>41</v>
      </c>
      <c r="H2899" s="2" t="s">
        <v>62</v>
      </c>
      <c r="I2899" s="2" t="s">
        <v>6675</v>
      </c>
      <c r="J2899" s="3" t="str">
        <f>HYPERLINK("https://www.boe.es/gazeta/dias/1814/01/05/pdfs/GRE-1814-5.pdf#page=4","Abrir facsímil")</f>
        <v>Abrir facsímil</v>
      </c>
      <c r="K2899" s="3" t="s">
        <v>64</v>
      </c>
    </row>
    <row r="2900" spans="1:11" ht="42" customHeight="1">
      <c r="A2900" s="2" t="s">
        <v>6674</v>
      </c>
      <c r="B2900" s="2" t="s">
        <v>6674</v>
      </c>
      <c r="C2900" s="2" t="s">
        <v>38</v>
      </c>
      <c r="D2900" s="2" t="s">
        <v>39</v>
      </c>
      <c r="E2900" s="5">
        <v>-31402</v>
      </c>
      <c r="F2900" s="3" t="s">
        <v>1754</v>
      </c>
      <c r="G2900" s="3" t="s">
        <v>41</v>
      </c>
      <c r="H2900" s="2" t="s">
        <v>62</v>
      </c>
      <c r="I2900" s="2" t="s">
        <v>6675</v>
      </c>
      <c r="J2900" s="3" t="str">
        <f>HYPERLINK("https://www.boe.es/gazeta/dias/1814/01/08/pdfs/GRE-1814-5.pdf#page=4","Abrir facsímil")</f>
        <v>Abrir facsímil</v>
      </c>
      <c r="K2900" s="3" t="s">
        <v>64</v>
      </c>
    </row>
    <row r="2901" spans="1:11" ht="42" customHeight="1">
      <c r="A2901" s="2" t="s">
        <v>6674</v>
      </c>
      <c r="B2901" s="2" t="s">
        <v>6674</v>
      </c>
      <c r="C2901" s="2" t="s">
        <v>38</v>
      </c>
      <c r="D2901" s="2" t="s">
        <v>39</v>
      </c>
      <c r="E2901" s="5">
        <v>-31376</v>
      </c>
      <c r="F2901" s="3" t="s">
        <v>1954</v>
      </c>
      <c r="G2901" s="3" t="s">
        <v>1955</v>
      </c>
      <c r="H2901" s="2" t="s">
        <v>62</v>
      </c>
      <c r="I2901" s="2" t="s">
        <v>6676</v>
      </c>
      <c r="J2901" s="3" t="str">
        <f>HYPERLINK("https://www.boe.es/gazeta/dias/1814/02/03/pdfs/GRE-1814-16.pdf#page=8","Abrir facsímil")</f>
        <v>Abrir facsímil</v>
      </c>
      <c r="K2901" s="3" t="s">
        <v>64</v>
      </c>
    </row>
    <row r="2902" spans="1:11" ht="42" customHeight="1">
      <c r="A2902" s="2" t="s">
        <v>6674</v>
      </c>
      <c r="B2902" s="2" t="s">
        <v>6674</v>
      </c>
      <c r="C2902" s="2" t="s">
        <v>38</v>
      </c>
      <c r="D2902" s="2" t="s">
        <v>39</v>
      </c>
      <c r="E2902" s="5">
        <v>-31346</v>
      </c>
      <c r="F2902" s="3" t="s">
        <v>78</v>
      </c>
      <c r="G2902" s="3" t="s">
        <v>3031</v>
      </c>
      <c r="H2902" s="2" t="s">
        <v>62</v>
      </c>
      <c r="I2902" s="2" t="s">
        <v>6677</v>
      </c>
      <c r="J2902" s="3" t="str">
        <f>HYPERLINK("https://www.boe.es/gazeta/dias/1814/03/05/pdfs/GRE-1814-30.pdf#page=5","Abrir facsímil")</f>
        <v>Abrir facsímil</v>
      </c>
      <c r="K2902" s="3" t="s">
        <v>64</v>
      </c>
    </row>
    <row r="2903" spans="1:11" ht="42" customHeight="1">
      <c r="A2903" s="2" t="s">
        <v>6674</v>
      </c>
      <c r="B2903" s="2" t="s">
        <v>6674</v>
      </c>
      <c r="C2903" s="2" t="s">
        <v>38</v>
      </c>
      <c r="D2903" s="2" t="s">
        <v>39</v>
      </c>
      <c r="E2903" s="5">
        <v>-31329</v>
      </c>
      <c r="F2903" s="3" t="s">
        <v>621</v>
      </c>
      <c r="G2903" s="3" t="s">
        <v>107</v>
      </c>
      <c r="H2903" s="2" t="s">
        <v>62</v>
      </c>
      <c r="I2903" s="2" t="s">
        <v>6678</v>
      </c>
      <c r="J2903" s="3" t="str">
        <f>HYPERLINK("https://www.boe.es/gazeta/dias/1814/03/22/pdfs/GRE-1814-39.pdf#page=1","Abrir facsímil")</f>
        <v>Abrir facsímil</v>
      </c>
      <c r="K2903" s="3" t="s">
        <v>64</v>
      </c>
    </row>
    <row r="2904" spans="1:11" ht="42" customHeight="1">
      <c r="A2904" s="2" t="s">
        <v>6674</v>
      </c>
      <c r="B2904" s="2" t="s">
        <v>6674</v>
      </c>
      <c r="C2904" s="2" t="s">
        <v>38</v>
      </c>
      <c r="D2904" s="2" t="s">
        <v>39</v>
      </c>
      <c r="E2904" s="5">
        <v>-31327</v>
      </c>
      <c r="F2904" s="3" t="s">
        <v>180</v>
      </c>
      <c r="G2904" s="3" t="s">
        <v>87</v>
      </c>
      <c r="H2904" s="2" t="s">
        <v>62</v>
      </c>
      <c r="I2904" s="2" t="s">
        <v>6679</v>
      </c>
      <c r="J2904" s="3" t="str">
        <f>HYPERLINK("https://www.boe.es/gazeta/dias/1814/03/24/pdfs/GRE-1814-41.pdf#page=2","Abrir facsímil")</f>
        <v>Abrir facsímil</v>
      </c>
      <c r="K2904" s="3" t="s">
        <v>64</v>
      </c>
    </row>
    <row r="2905" spans="1:11" ht="42" customHeight="1">
      <c r="A2905" s="2" t="s">
        <v>6680</v>
      </c>
      <c r="B2905" s="2" t="s">
        <v>6680</v>
      </c>
      <c r="C2905" s="2" t="s">
        <v>38</v>
      </c>
      <c r="D2905" s="2" t="s">
        <v>39</v>
      </c>
      <c r="E2905" s="5">
        <v>-31140</v>
      </c>
      <c r="F2905" s="3" t="s">
        <v>525</v>
      </c>
      <c r="G2905" s="3" t="s">
        <v>87</v>
      </c>
      <c r="H2905" s="2" t="s">
        <v>62</v>
      </c>
      <c r="I2905" s="2" t="s">
        <v>6681</v>
      </c>
      <c r="J2905" s="3" t="str">
        <f>HYPERLINK("https://www.boe.es/gazeta/dias/1814/09/27/pdfs/GMD-1814-131.pdf#page=2","Abrir facsímil")</f>
        <v>Abrir facsímil</v>
      </c>
      <c r="K2905" s="3" t="s">
        <v>64</v>
      </c>
    </row>
    <row r="2906" spans="1:11" ht="42" customHeight="1">
      <c r="A2906" s="2" t="s">
        <v>6682</v>
      </c>
      <c r="B2906" s="2" t="s">
        <v>6682</v>
      </c>
      <c r="C2906" s="2" t="s">
        <v>38</v>
      </c>
      <c r="D2906" s="2" t="s">
        <v>39</v>
      </c>
      <c r="E2906" s="5">
        <v>-31405</v>
      </c>
      <c r="F2906" s="3" t="s">
        <v>1754</v>
      </c>
      <c r="G2906" s="3" t="s">
        <v>82</v>
      </c>
      <c r="H2906" s="2" t="s">
        <v>62</v>
      </c>
      <c r="I2906" s="2" t="s">
        <v>6683</v>
      </c>
      <c r="J2906" s="3" t="str">
        <f>HYPERLINK("https://www.boe.es/gazeta/dias/1814/01/05/pdfs/GRE-1814-5.pdf#page=3","Abrir facsímil")</f>
        <v>Abrir facsímil</v>
      </c>
      <c r="K2906" s="3" t="s">
        <v>64</v>
      </c>
    </row>
    <row r="2907" spans="1:11" ht="42" customHeight="1">
      <c r="A2907" s="2" t="s">
        <v>6682</v>
      </c>
      <c r="B2907" s="2" t="s">
        <v>6682</v>
      </c>
      <c r="C2907" s="2" t="s">
        <v>38</v>
      </c>
      <c r="D2907" s="2" t="s">
        <v>39</v>
      </c>
      <c r="E2907" s="5">
        <v>-31405</v>
      </c>
      <c r="F2907" s="3" t="s">
        <v>1754</v>
      </c>
      <c r="G2907" s="3" t="s">
        <v>41</v>
      </c>
      <c r="H2907" s="2" t="s">
        <v>62</v>
      </c>
      <c r="I2907" s="2" t="s">
        <v>6684</v>
      </c>
      <c r="J2907" s="3" t="str">
        <f>HYPERLINK("https://www.boe.es/gazeta/dias/1814/01/05/pdfs/GRE-1814-5.pdf#page=4","Abrir facsímil")</f>
        <v>Abrir facsímil</v>
      </c>
      <c r="K2907" s="3" t="s">
        <v>64</v>
      </c>
    </row>
    <row r="2908" spans="1:11" ht="42" customHeight="1">
      <c r="A2908" s="2" t="s">
        <v>6682</v>
      </c>
      <c r="B2908" s="2" t="s">
        <v>6682</v>
      </c>
      <c r="C2908" s="2" t="s">
        <v>38</v>
      </c>
      <c r="D2908" s="2" t="s">
        <v>39</v>
      </c>
      <c r="E2908" s="5">
        <v>-31402</v>
      </c>
      <c r="F2908" s="3" t="s">
        <v>1754</v>
      </c>
      <c r="G2908" s="3" t="s">
        <v>82</v>
      </c>
      <c r="H2908" s="2" t="s">
        <v>62</v>
      </c>
      <c r="I2908" s="2" t="s">
        <v>6683</v>
      </c>
      <c r="J2908" s="3" t="str">
        <f>HYPERLINK("https://www.boe.es/gazeta/dias/1814/01/08/pdfs/GRE-1814-5.pdf#page=3","Abrir facsímil")</f>
        <v>Abrir facsímil</v>
      </c>
      <c r="K2908" s="3" t="s">
        <v>64</v>
      </c>
    </row>
    <row r="2909" spans="1:11" ht="42" customHeight="1">
      <c r="A2909" s="2" t="s">
        <v>6682</v>
      </c>
      <c r="B2909" s="2" t="s">
        <v>6682</v>
      </c>
      <c r="C2909" s="2" t="s">
        <v>38</v>
      </c>
      <c r="D2909" s="2" t="s">
        <v>39</v>
      </c>
      <c r="E2909" s="5">
        <v>-31402</v>
      </c>
      <c r="F2909" s="3" t="s">
        <v>1754</v>
      </c>
      <c r="G2909" s="3" t="s">
        <v>41</v>
      </c>
      <c r="H2909" s="2" t="s">
        <v>62</v>
      </c>
      <c r="I2909" s="2" t="s">
        <v>6684</v>
      </c>
      <c r="J2909" s="3" t="str">
        <f>HYPERLINK("https://www.boe.es/gazeta/dias/1814/01/08/pdfs/GRE-1814-5.pdf#page=4","Abrir facsímil")</f>
        <v>Abrir facsímil</v>
      </c>
      <c r="K2909" s="3" t="s">
        <v>64</v>
      </c>
    </row>
    <row r="2910" spans="1:11" ht="42" customHeight="1">
      <c r="A2910" s="2" t="s">
        <v>6682</v>
      </c>
      <c r="B2910" s="2" t="s">
        <v>6682</v>
      </c>
      <c r="C2910" s="2" t="s">
        <v>38</v>
      </c>
      <c r="D2910" s="2" t="s">
        <v>39</v>
      </c>
      <c r="E2910" s="5">
        <v>-31395</v>
      </c>
      <c r="F2910" s="3" t="s">
        <v>662</v>
      </c>
      <c r="G2910" s="3" t="s">
        <v>99</v>
      </c>
      <c r="H2910" s="2" t="s">
        <v>62</v>
      </c>
      <c r="I2910" s="2" t="s">
        <v>6685</v>
      </c>
      <c r="J2910" s="3" t="str">
        <f>HYPERLINK("https://www.boe.es/gazeta/dias/1814/01/15/pdfs/GRE-1814-8.pdf#page=5","Abrir facsímil")</f>
        <v>Abrir facsímil</v>
      </c>
      <c r="K2910" s="3" t="s">
        <v>64</v>
      </c>
    </row>
    <row r="2911" spans="1:11" ht="42" customHeight="1">
      <c r="A2911" s="2" t="s">
        <v>6682</v>
      </c>
      <c r="B2911" s="2" t="s">
        <v>6682</v>
      </c>
      <c r="C2911" s="2" t="s">
        <v>38</v>
      </c>
      <c r="D2911" s="2" t="s">
        <v>39</v>
      </c>
      <c r="E2911" s="5">
        <v>-31374</v>
      </c>
      <c r="F2911" s="3" t="s">
        <v>474</v>
      </c>
      <c r="G2911" s="3" t="s">
        <v>107</v>
      </c>
      <c r="H2911" s="2" t="s">
        <v>62</v>
      </c>
      <c r="I2911" s="2" t="s">
        <v>6686</v>
      </c>
      <c r="J2911" s="3" t="str">
        <f>HYPERLINK("https://www.boe.es/gazeta/dias/1814/02/05/pdfs/GRE-1814-17.pdf#page=1","Abrir facsímil")</f>
        <v>Abrir facsímil</v>
      </c>
      <c r="K2911" s="3" t="s">
        <v>64</v>
      </c>
    </row>
    <row r="2912" spans="1:11" ht="42" customHeight="1">
      <c r="A2912" s="2" t="s">
        <v>6687</v>
      </c>
      <c r="B2912" s="2" t="s">
        <v>6687</v>
      </c>
      <c r="C2912" s="2" t="s">
        <v>38</v>
      </c>
      <c r="D2912" s="2" t="s">
        <v>39</v>
      </c>
      <c r="E2912" s="5">
        <v>-31322</v>
      </c>
      <c r="F2912" s="3" t="s">
        <v>114</v>
      </c>
      <c r="G2912" s="3" t="s">
        <v>99</v>
      </c>
      <c r="H2912" s="2" t="s">
        <v>62</v>
      </c>
      <c r="I2912" s="2" t="s">
        <v>6688</v>
      </c>
      <c r="J2912" s="3" t="str">
        <f>HYPERLINK("https://www.boe.es/gazeta/dias/1814/03/29/pdfs/GRE-1814-44.pdf#page=5","Abrir facsímil")</f>
        <v>Abrir facsímil</v>
      </c>
      <c r="K2912" s="3" t="s">
        <v>64</v>
      </c>
    </row>
    <row r="2913" spans="1:11" ht="42" customHeight="1">
      <c r="A2913" s="2" t="s">
        <v>6689</v>
      </c>
      <c r="B2913" s="2" t="s">
        <v>6689</v>
      </c>
      <c r="C2913" s="2" t="s">
        <v>38</v>
      </c>
      <c r="D2913" s="2" t="s">
        <v>39</v>
      </c>
      <c r="E2913" s="5">
        <v>-31201</v>
      </c>
      <c r="F2913" s="3" t="s">
        <v>863</v>
      </c>
      <c r="G2913" s="3" t="s">
        <v>6690</v>
      </c>
      <c r="H2913" s="2" t="s">
        <v>62</v>
      </c>
      <c r="I2913" s="2" t="s">
        <v>6691</v>
      </c>
      <c r="J2913" s="3" t="str">
        <f>HYPERLINK("https://www.boe.es/gazeta/dias/1814/07/28/pdfs/GMD-1814-104.pdf#page=2","Abrir facsímil")</f>
        <v>Abrir facsímil</v>
      </c>
      <c r="K2913" s="3" t="s">
        <v>64</v>
      </c>
    </row>
    <row r="2914" spans="1:11" ht="42" customHeight="1">
      <c r="A2914" s="2" t="s">
        <v>6692</v>
      </c>
      <c r="B2914" s="2" t="s">
        <v>6692</v>
      </c>
      <c r="C2914" s="2" t="s">
        <v>38</v>
      </c>
      <c r="D2914" s="2" t="s">
        <v>39</v>
      </c>
      <c r="E2914" s="5">
        <v>-31199</v>
      </c>
      <c r="F2914" s="3" t="s">
        <v>453</v>
      </c>
      <c r="G2914" s="3" t="s">
        <v>41</v>
      </c>
      <c r="H2914" s="2" t="s">
        <v>62</v>
      </c>
      <c r="I2914" s="2" t="s">
        <v>6693</v>
      </c>
      <c r="J2914" s="3" t="str">
        <f>HYPERLINK("https://www.boe.es/gazeta/dias/1814/07/30/pdfs/GMD-1814-105.pdf#page=4","Abrir facsímil")</f>
        <v>Abrir facsímil</v>
      </c>
      <c r="K2914" s="3" t="s">
        <v>64</v>
      </c>
    </row>
    <row r="2915" spans="1:11" ht="42" customHeight="1">
      <c r="A2915" s="2" t="s">
        <v>6694</v>
      </c>
      <c r="B2915" s="2" t="s">
        <v>6694</v>
      </c>
      <c r="C2915" s="2" t="s">
        <v>38</v>
      </c>
      <c r="D2915" s="2" t="s">
        <v>39</v>
      </c>
      <c r="E2915" s="5">
        <v>-31129</v>
      </c>
      <c r="F2915" s="3" t="s">
        <v>418</v>
      </c>
      <c r="G2915" s="3" t="s">
        <v>107</v>
      </c>
      <c r="H2915" s="2" t="s">
        <v>62</v>
      </c>
      <c r="I2915" s="2" t="s">
        <v>6695</v>
      </c>
      <c r="J2915" s="3" t="str">
        <f>HYPERLINK("https://www.boe.es/gazeta/dias/1814/10/08/pdfs/GMD-1814-136.pdf#page=1","Abrir facsímil")</f>
        <v>Abrir facsímil</v>
      </c>
      <c r="K2915" s="3" t="s">
        <v>64</v>
      </c>
    </row>
    <row r="2916" spans="1:11" ht="42" customHeight="1">
      <c r="A2916" s="2" t="s">
        <v>6696</v>
      </c>
      <c r="B2916" s="2" t="s">
        <v>6696</v>
      </c>
      <c r="C2916" s="2" t="s">
        <v>38</v>
      </c>
      <c r="D2916" s="2" t="s">
        <v>39</v>
      </c>
      <c r="E2916" s="5">
        <v>-31122</v>
      </c>
      <c r="F2916" s="3" t="s">
        <v>28</v>
      </c>
      <c r="G2916" s="3" t="s">
        <v>107</v>
      </c>
      <c r="H2916" s="2" t="s">
        <v>62</v>
      </c>
      <c r="I2916" s="2" t="s">
        <v>6697</v>
      </c>
      <c r="J2916" s="3" t="str">
        <f>HYPERLINK("https://www.boe.es/gazeta/dias/1814/10/15/pdfs/GMD-1814-139.pdf#page=1","Abrir facsímil")</f>
        <v>Abrir facsímil</v>
      </c>
      <c r="K2916" s="3" t="s">
        <v>64</v>
      </c>
    </row>
    <row r="2917" spans="1:11" ht="42" customHeight="1">
      <c r="A2917" s="2" t="s">
        <v>6698</v>
      </c>
      <c r="B2917" s="2" t="s">
        <v>6698</v>
      </c>
      <c r="C2917" s="2" t="s">
        <v>38</v>
      </c>
      <c r="D2917" s="2" t="s">
        <v>39</v>
      </c>
      <c r="E2917" s="5">
        <v>-31222</v>
      </c>
      <c r="F2917" s="3" t="s">
        <v>153</v>
      </c>
      <c r="G2917" s="3" t="s">
        <v>82</v>
      </c>
      <c r="H2917" s="2" t="s">
        <v>62</v>
      </c>
      <c r="I2917" s="2" t="s">
        <v>6699</v>
      </c>
      <c r="J2917" s="3" t="str">
        <f>HYPERLINK("https://www.boe.es/gazeta/dias/1814/07/07/pdfs/GMD-1814-95.pdf#page=3","Abrir facsímil")</f>
        <v>Abrir facsímil</v>
      </c>
      <c r="K2917" s="3" t="s">
        <v>64</v>
      </c>
    </row>
    <row r="2918" spans="1:11" ht="42" customHeight="1">
      <c r="A2918" s="2" t="s">
        <v>6700</v>
      </c>
      <c r="B2918" s="2" t="s">
        <v>6700</v>
      </c>
      <c r="C2918" s="2" t="s">
        <v>38</v>
      </c>
      <c r="D2918" s="2" t="s">
        <v>39</v>
      </c>
      <c r="E2918" s="5">
        <v>-31208</v>
      </c>
      <c r="F2918" s="3" t="s">
        <v>509</v>
      </c>
      <c r="G2918" s="3" t="s">
        <v>107</v>
      </c>
      <c r="H2918" s="2" t="s">
        <v>62</v>
      </c>
      <c r="I2918" s="2" t="s">
        <v>6701</v>
      </c>
      <c r="J2918" s="3" t="str">
        <f>HYPERLINK("https://www.boe.es/gazeta/dias/1814/07/21/pdfs/GMD-1814-101.pdf#page=1","Abrir facsímil")</f>
        <v>Abrir facsímil</v>
      </c>
      <c r="K2918" s="3" t="s">
        <v>64</v>
      </c>
    </row>
    <row r="2919" spans="1:11" ht="42" customHeight="1">
      <c r="A2919" s="2" t="s">
        <v>6702</v>
      </c>
      <c r="B2919" s="2" t="s">
        <v>6702</v>
      </c>
      <c r="C2919" s="2" t="s">
        <v>38</v>
      </c>
      <c r="D2919" s="2" t="s">
        <v>39</v>
      </c>
      <c r="E2919" s="5">
        <v>-31404</v>
      </c>
      <c r="F2919" s="3" t="s">
        <v>630</v>
      </c>
      <c r="G2919" s="3" t="s">
        <v>99</v>
      </c>
      <c r="H2919" s="2" t="s">
        <v>62</v>
      </c>
      <c r="I2919" s="2" t="s">
        <v>6703</v>
      </c>
      <c r="J2919" s="3" t="str">
        <f>HYPERLINK("https://www.boe.es/gazeta/dias/1814/01/06/pdfs/GRE-1814-3.pdf#page=5","Abrir facsímil")</f>
        <v>Abrir facsímil</v>
      </c>
      <c r="K2919" s="3" t="s">
        <v>64</v>
      </c>
    </row>
    <row r="2920" spans="1:11" ht="42" customHeight="1">
      <c r="A2920" s="2" t="s">
        <v>6704</v>
      </c>
      <c r="B2920" s="2" t="s">
        <v>6704</v>
      </c>
      <c r="C2920" s="2" t="s">
        <v>38</v>
      </c>
      <c r="D2920" s="2" t="s">
        <v>39</v>
      </c>
      <c r="E2920" s="5">
        <v>-31350</v>
      </c>
      <c r="F2920" s="3" t="s">
        <v>377</v>
      </c>
      <c r="G2920" s="3" t="s">
        <v>87</v>
      </c>
      <c r="H2920" s="2" t="s">
        <v>62</v>
      </c>
      <c r="I2920" s="2" t="s">
        <v>6705</v>
      </c>
      <c r="J2920" s="3" t="str">
        <f>HYPERLINK("https://www.boe.es/gazeta/dias/1814/03/01/pdfs/GRE-1814-28.pdf#page=2","Abrir facsímil")</f>
        <v>Abrir facsímil</v>
      </c>
      <c r="K2920" s="3" t="s">
        <v>64</v>
      </c>
    </row>
    <row r="2921" spans="1:11" ht="42" customHeight="1">
      <c r="A2921" s="2" t="s">
        <v>6706</v>
      </c>
      <c r="B2921" s="2" t="s">
        <v>6706</v>
      </c>
      <c r="C2921" s="2" t="s">
        <v>38</v>
      </c>
      <c r="D2921" s="2" t="s">
        <v>39</v>
      </c>
      <c r="E2921" s="5">
        <v>-31229</v>
      </c>
      <c r="F2921" s="3" t="s">
        <v>502</v>
      </c>
      <c r="G2921" s="3" t="s">
        <v>41</v>
      </c>
      <c r="H2921" s="2" t="s">
        <v>62</v>
      </c>
      <c r="I2921" s="2" t="s">
        <v>6707</v>
      </c>
      <c r="J2921" s="3" t="str">
        <f>HYPERLINK("https://www.boe.es/gazeta/dias/1814/06/30/pdfs/GMD-1814-92.pdf#page=4","Abrir facsímil")</f>
        <v>Abrir facsímil</v>
      </c>
      <c r="K2921" s="3" t="s">
        <v>64</v>
      </c>
    </row>
    <row r="2922" spans="1:11" ht="42" customHeight="1">
      <c r="A2922" s="2" t="s">
        <v>6708</v>
      </c>
      <c r="B2922" s="2" t="s">
        <v>6709</v>
      </c>
      <c r="C2922" s="2" t="s">
        <v>17</v>
      </c>
      <c r="D2922" s="2" t="s">
        <v>18</v>
      </c>
      <c r="E2922" s="5">
        <v>-31252</v>
      </c>
      <c r="F2922" s="3" t="s">
        <v>364</v>
      </c>
      <c r="G2922" s="3" t="s">
        <v>20</v>
      </c>
      <c r="H2922" s="2" t="s">
        <v>62</v>
      </c>
      <c r="I2922" s="2" t="s">
        <v>6710</v>
      </c>
      <c r="J2922" s="3" t="str">
        <f>HYPERLINK("https://www.boe.es/gazeta/dias/1814/06/07/pdfs/GMD-1814-82.pdf#page=7","Abrir facsímil")</f>
        <v>Abrir facsímil</v>
      </c>
      <c r="K2922" s="3" t="s">
        <v>64</v>
      </c>
    </row>
    <row r="2923" spans="1:11" ht="42" customHeight="1">
      <c r="A2923" s="2" t="s">
        <v>6711</v>
      </c>
      <c r="B2923" s="2" t="s">
        <v>6712</v>
      </c>
      <c r="C2923" s="2" t="s">
        <v>26</v>
      </c>
      <c r="D2923" s="2" t="s">
        <v>27</v>
      </c>
      <c r="E2923" s="5">
        <v>-31236</v>
      </c>
      <c r="F2923" s="3" t="s">
        <v>33</v>
      </c>
      <c r="G2923" s="3" t="s">
        <v>425</v>
      </c>
      <c r="H2923" s="2" t="s">
        <v>62</v>
      </c>
      <c r="I2923" s="2" t="s">
        <v>6713</v>
      </c>
      <c r="J2923" s="3" t="str">
        <f>HYPERLINK("https://www.boe.es/gazeta/dias/1814/06/23/pdfs/GMD-1814-89.pdf#page=8","Abrir facsímil")</f>
        <v>Abrir facsímil</v>
      </c>
      <c r="K2923" s="3" t="s">
        <v>64</v>
      </c>
    </row>
    <row r="2924" spans="1:11" ht="42" customHeight="1">
      <c r="A2924" s="2" t="s">
        <v>6714</v>
      </c>
      <c r="B2924" s="2" t="s">
        <v>6715</v>
      </c>
      <c r="C2924" s="2" t="s">
        <v>26</v>
      </c>
      <c r="D2924" s="2" t="s">
        <v>27</v>
      </c>
      <c r="E2924" s="5">
        <v>-31059</v>
      </c>
      <c r="F2924" s="3" t="s">
        <v>263</v>
      </c>
      <c r="G2924" s="3" t="s">
        <v>57</v>
      </c>
      <c r="H2924" s="2" t="s">
        <v>21</v>
      </c>
      <c r="I2924" s="2" t="s">
        <v>6716</v>
      </c>
      <c r="J2924" s="3" t="str">
        <f>HYPERLINK("https://www.boe.es/gazeta/dias/1814/12/17/pdfs/GMD-1814-167.pdf#page=6","Abrir facsímil")</f>
        <v>Abrir facsímil</v>
      </c>
      <c r="K2924" s="3" t="s">
        <v>23</v>
      </c>
    </row>
    <row r="2925" spans="1:11" ht="42" customHeight="1">
      <c r="A2925" s="2" t="s">
        <v>6717</v>
      </c>
      <c r="B2925" s="2" t="s">
        <v>6717</v>
      </c>
      <c r="C2925" s="2" t="s">
        <v>38</v>
      </c>
      <c r="D2925" s="2" t="s">
        <v>39</v>
      </c>
      <c r="E2925" s="5">
        <v>-31124</v>
      </c>
      <c r="F2925" s="3" t="s">
        <v>383</v>
      </c>
      <c r="G2925" s="3" t="s">
        <v>107</v>
      </c>
      <c r="H2925" s="2" t="s">
        <v>62</v>
      </c>
      <c r="I2925" s="2" t="s">
        <v>6718</v>
      </c>
      <c r="J2925" s="3" t="str">
        <f>HYPERLINK("https://www.boe.es/gazeta/dias/1814/10/13/pdfs/GMD-1814-138.pdf#page=1","Abrir facsímil")</f>
        <v>Abrir facsímil</v>
      </c>
      <c r="K2925" s="3" t="s">
        <v>64</v>
      </c>
    </row>
    <row r="2926" spans="1:11" ht="42" customHeight="1">
      <c r="A2926" s="2" t="s">
        <v>6719</v>
      </c>
      <c r="B2926" s="2" t="s">
        <v>6720</v>
      </c>
      <c r="C2926" s="2" t="s">
        <v>26</v>
      </c>
      <c r="D2926" s="2" t="s">
        <v>27</v>
      </c>
      <c r="E2926" s="5">
        <v>-31236</v>
      </c>
      <c r="F2926" s="3" t="s">
        <v>33</v>
      </c>
      <c r="G2926" s="3" t="s">
        <v>137</v>
      </c>
      <c r="H2926" s="2" t="s">
        <v>62</v>
      </c>
      <c r="I2926" s="2" t="s">
        <v>6721</v>
      </c>
      <c r="J2926" s="3" t="str">
        <f>HYPERLINK("https://www.boe.es/gazeta/dias/1814/06/23/pdfs/GMD-1814-89.pdf#page=9","Abrir facsímil")</f>
        <v>Abrir facsímil</v>
      </c>
      <c r="K2926" s="3" t="s">
        <v>64</v>
      </c>
    </row>
    <row r="2927" spans="1:11" ht="42" customHeight="1">
      <c r="A2927" s="2" t="s">
        <v>6719</v>
      </c>
      <c r="B2927" s="2" t="s">
        <v>6720</v>
      </c>
      <c r="C2927" s="2" t="s">
        <v>26</v>
      </c>
      <c r="D2927" s="2" t="s">
        <v>27</v>
      </c>
      <c r="E2927" s="5">
        <v>-31089</v>
      </c>
      <c r="F2927" s="3" t="s">
        <v>531</v>
      </c>
      <c r="G2927" s="3" t="s">
        <v>82</v>
      </c>
      <c r="H2927" s="2" t="s">
        <v>62</v>
      </c>
      <c r="I2927" s="2" t="s">
        <v>6722</v>
      </c>
      <c r="J2927" s="3" t="str">
        <f>HYPERLINK("https://www.boe.es/gazeta/dias/1814/11/17/pdfs/GMD-1814-153.pdf#page=3","Abrir facsímil")</f>
        <v>Abrir facsímil</v>
      </c>
      <c r="K2927" s="3" t="s">
        <v>64</v>
      </c>
    </row>
    <row r="2928" spans="1:11" ht="42" customHeight="1">
      <c r="A2928" s="2" t="s">
        <v>6723</v>
      </c>
      <c r="B2928" s="2" t="s">
        <v>6724</v>
      </c>
      <c r="C2928" s="2" t="s">
        <v>26</v>
      </c>
      <c r="D2928" s="2" t="s">
        <v>27</v>
      </c>
      <c r="E2928" s="5">
        <v>-31273</v>
      </c>
      <c r="F2928" s="3" t="s">
        <v>2108</v>
      </c>
      <c r="G2928" s="3" t="s">
        <v>52</v>
      </c>
      <c r="H2928" s="2" t="s">
        <v>62</v>
      </c>
      <c r="I2928" s="2" t="s">
        <v>6725</v>
      </c>
      <c r="J2928" s="3" t="str">
        <f>HYPERLINK("https://www.boe.es/gazeta/dias/1814/05/17/pdfs/GMD-1814-72.pdf#page=8","Abrir facsímil")</f>
        <v>Abrir facsímil</v>
      </c>
      <c r="K2928" s="3" t="s">
        <v>64</v>
      </c>
    </row>
    <row r="2929" spans="1:11" ht="42" customHeight="1">
      <c r="A2929" s="2" t="s">
        <v>6723</v>
      </c>
      <c r="B2929" s="2" t="s">
        <v>6724</v>
      </c>
      <c r="C2929" s="2" t="s">
        <v>17</v>
      </c>
      <c r="D2929" s="2" t="s">
        <v>18</v>
      </c>
      <c r="E2929" s="5">
        <v>-31166</v>
      </c>
      <c r="F2929" s="3" t="s">
        <v>2799</v>
      </c>
      <c r="G2929" s="3" t="s">
        <v>4738</v>
      </c>
      <c r="H2929" s="2" t="s">
        <v>62</v>
      </c>
      <c r="I2929" s="2" t="s">
        <v>6726</v>
      </c>
      <c r="J2929" s="3" t="str">
        <f>HYPERLINK("https://www.boe.es/gazeta/dias/1814/09/01/pdfs/GMD-1814-119.pdf#page=15","Abrir facsímil")</f>
        <v>Abrir facsímil</v>
      </c>
      <c r="K2929" s="3" t="s">
        <v>64</v>
      </c>
    </row>
    <row r="2930" spans="1:11" ht="42" customHeight="1">
      <c r="A2930" s="2" t="s">
        <v>6723</v>
      </c>
      <c r="B2930" s="2" t="s">
        <v>6724</v>
      </c>
      <c r="C2930" s="2" t="s">
        <v>105</v>
      </c>
      <c r="D2930" s="2" t="s">
        <v>18</v>
      </c>
      <c r="E2930" s="5">
        <v>-31166</v>
      </c>
      <c r="F2930" s="3" t="s">
        <v>2799</v>
      </c>
      <c r="G2930" s="3" t="s">
        <v>99</v>
      </c>
      <c r="H2930" s="2" t="s">
        <v>62</v>
      </c>
      <c r="I2930" s="2" t="s">
        <v>6727</v>
      </c>
      <c r="J2930" s="3" t="str">
        <f>HYPERLINK("https://www.boe.es/gazeta/dias/1814/09/01/pdfs/GMD-1814-119.pdf#page=5","Abrir facsímil")</f>
        <v>Abrir facsímil</v>
      </c>
      <c r="K2930" s="3" t="s">
        <v>64</v>
      </c>
    </row>
    <row r="2931" spans="1:11" ht="42" customHeight="1">
      <c r="A2931" s="2" t="s">
        <v>6728</v>
      </c>
      <c r="B2931" s="2" t="s">
        <v>6728</v>
      </c>
      <c r="C2931" s="2" t="s">
        <v>38</v>
      </c>
      <c r="D2931" s="2" t="s">
        <v>39</v>
      </c>
      <c r="E2931" s="5">
        <v>-31047</v>
      </c>
      <c r="F2931" s="3" t="s">
        <v>815</v>
      </c>
      <c r="G2931" s="3" t="s">
        <v>20</v>
      </c>
      <c r="H2931" s="2" t="s">
        <v>62</v>
      </c>
      <c r="I2931" s="2" t="s">
        <v>6729</v>
      </c>
      <c r="J2931" s="3" t="str">
        <f>HYPERLINK("https://www.boe.es/gazeta/dias/1814/12/29/pdfs/GMD-1814-172.pdf#page=7","Abrir facsímil")</f>
        <v>Abrir facsímil</v>
      </c>
      <c r="K2931" s="3" t="s">
        <v>64</v>
      </c>
    </row>
    <row r="2932" spans="1:11" ht="42" customHeight="1">
      <c r="A2932" s="2" t="s">
        <v>6730</v>
      </c>
      <c r="B2932" s="2" t="s">
        <v>6730</v>
      </c>
      <c r="C2932" s="2" t="s">
        <v>38</v>
      </c>
      <c r="D2932" s="2" t="s">
        <v>39</v>
      </c>
      <c r="E2932" s="5">
        <v>-31255</v>
      </c>
      <c r="F2932" s="3" t="s">
        <v>983</v>
      </c>
      <c r="G2932" s="3" t="s">
        <v>82</v>
      </c>
      <c r="H2932" s="2" t="s">
        <v>62</v>
      </c>
      <c r="I2932" s="2" t="s">
        <v>6731</v>
      </c>
      <c r="J2932" s="3" t="str">
        <f>HYPERLINK("https://www.boe.es/gazeta/dias/1814/06/04/pdfs/GMD-1814-81.pdf#page=3","Abrir facsímil")</f>
        <v>Abrir facsímil</v>
      </c>
      <c r="K2932" s="3" t="s">
        <v>64</v>
      </c>
    </row>
    <row r="2933" spans="1:11" ht="42" customHeight="1">
      <c r="A2933" s="2" t="s">
        <v>6732</v>
      </c>
      <c r="B2933" s="2" t="s">
        <v>6733</v>
      </c>
      <c r="C2933" s="2" t="s">
        <v>38</v>
      </c>
      <c r="D2933" s="2" t="s">
        <v>39</v>
      </c>
      <c r="E2933" s="5">
        <v>-31306</v>
      </c>
      <c r="F2933" s="3" t="s">
        <v>670</v>
      </c>
      <c r="G2933" s="3" t="s">
        <v>41</v>
      </c>
      <c r="H2933" s="2" t="s">
        <v>62</v>
      </c>
      <c r="I2933" s="2" t="s">
        <v>6734</v>
      </c>
      <c r="J2933" s="3" t="str">
        <f>HYPERLINK("https://www.boe.es/gazeta/dias/1814/04/14/pdfs/GRE-1814-53.pdf#page=4","Abrir facsímil")</f>
        <v>Abrir facsímil</v>
      </c>
      <c r="K2933" s="3" t="s">
        <v>64</v>
      </c>
    </row>
    <row r="2934" spans="1:11" ht="42" customHeight="1">
      <c r="A2934" s="2" t="s">
        <v>6732</v>
      </c>
      <c r="B2934" s="2" t="s">
        <v>6733</v>
      </c>
      <c r="C2934" s="2" t="s">
        <v>38</v>
      </c>
      <c r="D2934" s="2" t="s">
        <v>39</v>
      </c>
      <c r="E2934" s="5">
        <v>-31250</v>
      </c>
      <c r="F2934" s="3" t="s">
        <v>177</v>
      </c>
      <c r="G2934" s="3" t="s">
        <v>41</v>
      </c>
      <c r="H2934" s="2" t="s">
        <v>62</v>
      </c>
      <c r="I2934" s="2" t="s">
        <v>6735</v>
      </c>
      <c r="J2934" s="3" t="str">
        <f>HYPERLINK("https://www.boe.es/gazeta/dias/1814/06/09/pdfs/GMD-1814-83.pdf#page=4","Abrir facsímil")</f>
        <v>Abrir facsímil</v>
      </c>
      <c r="K2934" s="3" t="s">
        <v>64</v>
      </c>
    </row>
    <row r="2935" spans="1:11" ht="42" customHeight="1">
      <c r="A2935" s="2" t="s">
        <v>6736</v>
      </c>
      <c r="B2935" s="2" t="s">
        <v>6737</v>
      </c>
      <c r="C2935" s="2" t="s">
        <v>45</v>
      </c>
      <c r="D2935" s="2" t="s">
        <v>18</v>
      </c>
      <c r="E2935" s="5">
        <v>-31131</v>
      </c>
      <c r="F2935" s="3" t="s">
        <v>132</v>
      </c>
      <c r="G2935" s="3" t="s">
        <v>2188</v>
      </c>
      <c r="H2935" s="2" t="s">
        <v>62</v>
      </c>
      <c r="I2935" s="2" t="s">
        <v>6738</v>
      </c>
      <c r="J2935" s="3" t="str">
        <f>HYPERLINK("https://www.boe.es/gazeta/dias/1814/10/06/pdfs/GMD-1814-135.pdf#page=6","Abrir facsímil")</f>
        <v>Abrir facsímil</v>
      </c>
      <c r="K2935" s="3" t="s">
        <v>64</v>
      </c>
    </row>
    <row r="2936" spans="1:11" ht="42" customHeight="1">
      <c r="A2936" s="2" t="s">
        <v>6739</v>
      </c>
      <c r="B2936" s="2" t="s">
        <v>6740</v>
      </c>
      <c r="C2936" s="2" t="s">
        <v>45</v>
      </c>
      <c r="D2936" s="2" t="s">
        <v>18</v>
      </c>
      <c r="E2936" s="5">
        <v>-31173</v>
      </c>
      <c r="F2936" s="3" t="s">
        <v>46</v>
      </c>
      <c r="G2936" s="3" t="s">
        <v>20</v>
      </c>
      <c r="H2936" s="2" t="s">
        <v>62</v>
      </c>
      <c r="I2936" s="2" t="s">
        <v>6741</v>
      </c>
      <c r="J2936" s="3" t="str">
        <f>HYPERLINK("https://www.boe.es/gazeta/dias/1814/08/25/pdfs/GMD-1814-116.pdf#page=7","Abrir facsímil")</f>
        <v>Abrir facsímil</v>
      </c>
      <c r="K2936" s="3" t="s">
        <v>64</v>
      </c>
    </row>
    <row r="2937" spans="1:11" ht="42" customHeight="1">
      <c r="A2937" s="2" t="s">
        <v>6742</v>
      </c>
      <c r="B2937" s="2" t="s">
        <v>6743</v>
      </c>
      <c r="C2937" s="2" t="s">
        <v>38</v>
      </c>
      <c r="D2937" s="2" t="s">
        <v>39</v>
      </c>
      <c r="E2937" s="5">
        <v>-31133</v>
      </c>
      <c r="F2937" s="3" t="s">
        <v>184</v>
      </c>
      <c r="G2937" s="3" t="s">
        <v>20</v>
      </c>
      <c r="H2937" s="2" t="s">
        <v>62</v>
      </c>
      <c r="I2937" s="2" t="s">
        <v>6744</v>
      </c>
      <c r="J2937" s="3" t="str">
        <f>HYPERLINK("https://www.boe.es/gazeta/dias/1814/10/04/pdfs/GMD-1814-134.pdf#page=7","Abrir facsímil")</f>
        <v>Abrir facsímil</v>
      </c>
      <c r="K2937" s="3" t="s">
        <v>64</v>
      </c>
    </row>
    <row r="2938" spans="1:11" ht="42" customHeight="1">
      <c r="A2938" s="2" t="s">
        <v>6745</v>
      </c>
      <c r="B2938" s="2" t="s">
        <v>6745</v>
      </c>
      <c r="C2938" s="2" t="s">
        <v>38</v>
      </c>
      <c r="D2938" s="2" t="s">
        <v>39</v>
      </c>
      <c r="E2938" s="5">
        <v>-31294</v>
      </c>
      <c r="F2938" s="3" t="s">
        <v>680</v>
      </c>
      <c r="G2938" s="3" t="s">
        <v>41</v>
      </c>
      <c r="H2938" s="2" t="s">
        <v>62</v>
      </c>
      <c r="I2938" s="2" t="s">
        <v>6746</v>
      </c>
      <c r="J2938" s="3" t="str">
        <f>HYPERLINK("https://www.boe.es/gazeta/dias/1814/04/26/pdfs/GRE-1814-61.pdf#page=4","Abrir facsímil")</f>
        <v>Abrir facsímil</v>
      </c>
      <c r="K2938" s="3" t="s">
        <v>64</v>
      </c>
    </row>
    <row r="2939" spans="1:11" ht="42" customHeight="1">
      <c r="A2939" s="2" t="s">
        <v>6747</v>
      </c>
      <c r="B2939" s="2" t="s">
        <v>6748</v>
      </c>
      <c r="C2939" s="2" t="s">
        <v>38</v>
      </c>
      <c r="D2939" s="2" t="s">
        <v>39</v>
      </c>
      <c r="E2939" s="5">
        <v>-31063</v>
      </c>
      <c r="F2939" s="3" t="s">
        <v>649</v>
      </c>
      <c r="G2939" s="3" t="s">
        <v>57</v>
      </c>
      <c r="H2939" s="2" t="s">
        <v>62</v>
      </c>
      <c r="I2939" s="2" t="s">
        <v>6749</v>
      </c>
      <c r="J2939" s="3" t="str">
        <f>HYPERLINK("https://www.boe.es/gazeta/dias/1814/12/13/pdfs/GMD-1814-164.pdf#page=6","Abrir facsímil")</f>
        <v>Abrir facsímil</v>
      </c>
      <c r="K2939" s="3" t="s">
        <v>64</v>
      </c>
    </row>
    <row r="2940" spans="1:11" ht="42" customHeight="1">
      <c r="A2940" s="2" t="s">
        <v>6750</v>
      </c>
      <c r="B2940" s="2" t="s">
        <v>6751</v>
      </c>
      <c r="C2940" s="2" t="s">
        <v>26</v>
      </c>
      <c r="D2940" s="2" t="s">
        <v>27</v>
      </c>
      <c r="E2940" s="5">
        <v>-31122</v>
      </c>
      <c r="F2940" s="3" t="s">
        <v>28</v>
      </c>
      <c r="G2940" s="3" t="s">
        <v>82</v>
      </c>
      <c r="H2940" s="2" t="s">
        <v>21</v>
      </c>
      <c r="I2940" s="2" t="s">
        <v>6752</v>
      </c>
      <c r="J2940" s="3" t="str">
        <f>HYPERLINK("https://www.boe.es/gazeta/dias/1814/10/15/pdfs/GMD-1814-139.pdf#page=3","Abrir facsímil")</f>
        <v>Abrir facsímil</v>
      </c>
      <c r="K2940" s="3" t="s">
        <v>23</v>
      </c>
    </row>
    <row r="2941" spans="1:11" ht="42" customHeight="1">
      <c r="A2941" s="2" t="s">
        <v>6753</v>
      </c>
      <c r="B2941" s="2" t="s">
        <v>6754</v>
      </c>
      <c r="C2941" s="2" t="s">
        <v>38</v>
      </c>
      <c r="D2941" s="2" t="s">
        <v>314</v>
      </c>
      <c r="E2941" s="5">
        <v>-31328</v>
      </c>
      <c r="F2941" s="3" t="s">
        <v>442</v>
      </c>
      <c r="G2941" s="3" t="s">
        <v>57</v>
      </c>
      <c r="H2941" s="2" t="s">
        <v>62</v>
      </c>
      <c r="I2941" s="2" t="s">
        <v>6755</v>
      </c>
      <c r="J2941" s="3" t="str">
        <f>HYPERLINK("https://www.boe.es/gazeta/dias/1814/03/23/pdfs/GRE-1814-40E.pdf#page=6","Abrir facsímil")</f>
        <v>Abrir facsímil</v>
      </c>
      <c r="K2941" s="3" t="s">
        <v>64</v>
      </c>
    </row>
    <row r="2942" spans="1:11" ht="42" customHeight="1">
      <c r="A2942" s="2" t="s">
        <v>6756</v>
      </c>
      <c r="B2942" s="2" t="s">
        <v>6757</v>
      </c>
      <c r="C2942" s="2" t="s">
        <v>17</v>
      </c>
      <c r="D2942" s="2" t="s">
        <v>18</v>
      </c>
      <c r="E2942" s="5">
        <v>-31234</v>
      </c>
      <c r="F2942" s="3" t="s">
        <v>462</v>
      </c>
      <c r="G2942" s="3" t="s">
        <v>82</v>
      </c>
      <c r="H2942" s="2" t="s">
        <v>62</v>
      </c>
      <c r="I2942" s="2" t="s">
        <v>6758</v>
      </c>
      <c r="J2942" s="3" t="str">
        <f>HYPERLINK("https://www.boe.es/gazeta/dias/1814/06/25/pdfs/GMD-1814-90.pdf#page=3","Abrir facsímil")</f>
        <v>Abrir facsímil</v>
      </c>
      <c r="K2942" s="3" t="s">
        <v>64</v>
      </c>
    </row>
    <row r="2943" spans="1:11" ht="42" customHeight="1">
      <c r="A2943" s="2" t="s">
        <v>6759</v>
      </c>
      <c r="B2943" s="2" t="s">
        <v>6759</v>
      </c>
      <c r="C2943" s="2" t="s">
        <v>38</v>
      </c>
      <c r="D2943" s="2" t="s">
        <v>39</v>
      </c>
      <c r="E2943" s="5">
        <v>-31199</v>
      </c>
      <c r="F2943" s="3" t="s">
        <v>453</v>
      </c>
      <c r="G2943" s="3" t="s">
        <v>82</v>
      </c>
      <c r="H2943" s="2" t="s">
        <v>62</v>
      </c>
      <c r="I2943" s="2" t="s">
        <v>6760</v>
      </c>
      <c r="J2943" s="3" t="str">
        <f>HYPERLINK("https://www.boe.es/gazeta/dias/1814/07/30/pdfs/GMD-1814-105.pdf#page=3","Abrir facsímil")</f>
        <v>Abrir facsímil</v>
      </c>
      <c r="K2943" s="3" t="s">
        <v>64</v>
      </c>
    </row>
    <row r="2944" spans="1:11" ht="42" customHeight="1">
      <c r="A2944" s="2" t="s">
        <v>6761</v>
      </c>
      <c r="B2944" s="2" t="s">
        <v>6762</v>
      </c>
      <c r="C2944" s="2" t="s">
        <v>38</v>
      </c>
      <c r="D2944" s="2" t="s">
        <v>39</v>
      </c>
      <c r="E2944" s="5">
        <v>-31278</v>
      </c>
      <c r="F2944" s="3" t="s">
        <v>773</v>
      </c>
      <c r="G2944" s="3" t="s">
        <v>774</v>
      </c>
      <c r="H2944" s="2" t="s">
        <v>62</v>
      </c>
      <c r="I2944" s="2" t="s">
        <v>6763</v>
      </c>
      <c r="J2944" s="3" t="str">
        <f>HYPERLINK("https://www.boe.es/gazeta/dias/1814/05/12/pdfs/GMD-1814-69.pdf#page=8","Abrir facsímil")</f>
        <v>Abrir facsímil</v>
      </c>
      <c r="K2944" s="3" t="s">
        <v>64</v>
      </c>
    </row>
    <row r="2945" spans="1:11" ht="42" customHeight="1">
      <c r="A2945" s="2" t="s">
        <v>6764</v>
      </c>
      <c r="B2945" s="2" t="s">
        <v>6764</v>
      </c>
      <c r="C2945" s="2" t="s">
        <v>38</v>
      </c>
      <c r="D2945" s="2" t="s">
        <v>39</v>
      </c>
      <c r="E2945" s="5">
        <v>-31395</v>
      </c>
      <c r="F2945" s="3" t="s">
        <v>662</v>
      </c>
      <c r="G2945" s="3" t="s">
        <v>20</v>
      </c>
      <c r="H2945" s="2" t="s">
        <v>62</v>
      </c>
      <c r="I2945" s="2" t="s">
        <v>6765</v>
      </c>
      <c r="J2945" s="3" t="str">
        <f>HYPERLINK("https://www.boe.es/gazeta/dias/1814/01/15/pdfs/GRE-1814-8.pdf#page=7","Abrir facsímil")</f>
        <v>Abrir facsímil</v>
      </c>
      <c r="K2945" s="3" t="s">
        <v>64</v>
      </c>
    </row>
    <row r="2946" spans="1:11" ht="42" customHeight="1">
      <c r="A2946" s="2" t="s">
        <v>6766</v>
      </c>
      <c r="B2946" s="2" t="s">
        <v>6766</v>
      </c>
      <c r="C2946" s="2" t="s">
        <v>38</v>
      </c>
      <c r="D2946" s="2" t="s">
        <v>39</v>
      </c>
      <c r="E2946" s="5">
        <v>-31362</v>
      </c>
      <c r="F2946" s="3" t="s">
        <v>302</v>
      </c>
      <c r="G2946" s="3" t="s">
        <v>82</v>
      </c>
      <c r="H2946" s="2" t="s">
        <v>62</v>
      </c>
      <c r="I2946" s="2" t="s">
        <v>6767</v>
      </c>
      <c r="J2946" s="3" t="str">
        <f>HYPERLINK("https://www.boe.es/gazeta/dias/1814/02/17/pdfs/GRE-1814-22.pdf#page=3","Abrir facsímil")</f>
        <v>Abrir facsímil</v>
      </c>
      <c r="K2946" s="3" t="s">
        <v>64</v>
      </c>
    </row>
    <row r="2947" spans="1:11" ht="42" customHeight="1">
      <c r="A2947" s="2" t="s">
        <v>6768</v>
      </c>
      <c r="B2947" s="2" t="s">
        <v>6769</v>
      </c>
      <c r="C2947" s="2" t="s">
        <v>38</v>
      </c>
      <c r="D2947" s="2" t="s">
        <v>39</v>
      </c>
      <c r="E2947" s="5">
        <v>-31322</v>
      </c>
      <c r="F2947" s="3" t="s">
        <v>114</v>
      </c>
      <c r="G2947" s="3" t="s">
        <v>52</v>
      </c>
      <c r="H2947" s="2" t="s">
        <v>62</v>
      </c>
      <c r="I2947" s="2" t="s">
        <v>6770</v>
      </c>
      <c r="J2947" s="3" t="str">
        <f>HYPERLINK("https://www.boe.es/gazeta/dias/1814/03/29/pdfs/GRE-1814-44.pdf#page=8","Abrir facsímil")</f>
        <v>Abrir facsímil</v>
      </c>
      <c r="K2947" s="3" t="s">
        <v>64</v>
      </c>
    </row>
    <row r="2948" spans="1:11" ht="42" customHeight="1">
      <c r="A2948" s="2" t="s">
        <v>6771</v>
      </c>
      <c r="B2948" s="2" t="s">
        <v>6771</v>
      </c>
      <c r="C2948" s="2" t="s">
        <v>38</v>
      </c>
      <c r="D2948" s="2" t="s">
        <v>39</v>
      </c>
      <c r="E2948" s="5">
        <v>-31325</v>
      </c>
      <c r="F2948" s="3" t="s">
        <v>67</v>
      </c>
      <c r="G2948" s="3" t="s">
        <v>57</v>
      </c>
      <c r="H2948" s="2" t="s">
        <v>62</v>
      </c>
      <c r="I2948" s="2" t="s">
        <v>6772</v>
      </c>
      <c r="J2948" s="3" t="str">
        <f>HYPERLINK("https://www.boe.es/gazeta/dias/1814/03/26/pdfs/GRE-1814-43.pdf#page=6","Abrir facsímil")</f>
        <v>Abrir facsímil</v>
      </c>
      <c r="K2948" s="3" t="s">
        <v>64</v>
      </c>
    </row>
    <row r="2949" spans="1:11" ht="42" customHeight="1">
      <c r="A2949" s="2" t="s">
        <v>6771</v>
      </c>
      <c r="B2949" s="2" t="s">
        <v>6771</v>
      </c>
      <c r="C2949" s="2" t="s">
        <v>38</v>
      </c>
      <c r="D2949" s="2" t="s">
        <v>39</v>
      </c>
      <c r="E2949" s="5">
        <v>-31283</v>
      </c>
      <c r="F2949" s="3" t="s">
        <v>701</v>
      </c>
      <c r="G2949" s="3" t="s">
        <v>99</v>
      </c>
      <c r="H2949" s="2" t="s">
        <v>62</v>
      </c>
      <c r="I2949" s="2" t="s">
        <v>6773</v>
      </c>
      <c r="J2949" s="3" t="str">
        <f>HYPERLINK("https://www.boe.es/gazeta/dias/1814/05/07/pdfs/GRE-1814-67.pdf#page=5","Abrir facsímil")</f>
        <v>Abrir facsímil</v>
      </c>
      <c r="K2949" s="3" t="s">
        <v>64</v>
      </c>
    </row>
    <row r="2950" spans="1:11" ht="42" customHeight="1">
      <c r="A2950" s="2" t="s">
        <v>6774</v>
      </c>
      <c r="B2950" s="2" t="s">
        <v>6774</v>
      </c>
      <c r="C2950" s="2" t="s">
        <v>38</v>
      </c>
      <c r="D2950" s="2" t="s">
        <v>314</v>
      </c>
      <c r="E2950" s="5">
        <v>-31294</v>
      </c>
      <c r="F2950" s="3" t="s">
        <v>2505</v>
      </c>
      <c r="G2950" s="3" t="s">
        <v>57</v>
      </c>
      <c r="H2950" s="2" t="s">
        <v>62</v>
      </c>
      <c r="I2950" s="2" t="s">
        <v>6775</v>
      </c>
      <c r="J2950" s="3" t="str">
        <f>HYPERLINK("https://www.boe.es/gazeta/dias/1814/04/26/pdfs/GRE-1814-62E.pdf#page=6","Abrir facsímil")</f>
        <v>Abrir facsímil</v>
      </c>
      <c r="K2950" s="3" t="s">
        <v>64</v>
      </c>
    </row>
    <row r="2951" spans="1:11" ht="42" customHeight="1">
      <c r="A2951" s="2" t="s">
        <v>6776</v>
      </c>
      <c r="B2951" s="2" t="s">
        <v>6777</v>
      </c>
      <c r="C2951" s="2" t="s">
        <v>38</v>
      </c>
      <c r="D2951" s="2" t="s">
        <v>39</v>
      </c>
      <c r="E2951" s="5">
        <v>-31124</v>
      </c>
      <c r="F2951" s="3" t="s">
        <v>383</v>
      </c>
      <c r="G2951" s="3" t="s">
        <v>384</v>
      </c>
      <c r="H2951" s="2" t="s">
        <v>62</v>
      </c>
      <c r="I2951" s="2" t="s">
        <v>6778</v>
      </c>
      <c r="J2951" s="3" t="str">
        <f>HYPERLINK("https://www.boe.es/gazeta/dias/1814/10/13/pdfs/GMD-1814-138.pdf#page=11","Abrir facsímil")</f>
        <v>Abrir facsímil</v>
      </c>
      <c r="K2951" s="3" t="s">
        <v>64</v>
      </c>
    </row>
    <row r="2952" spans="1:11" ht="42" customHeight="1">
      <c r="A2952" s="2" t="s">
        <v>6779</v>
      </c>
      <c r="B2952" s="2" t="s">
        <v>6780</v>
      </c>
      <c r="C2952" s="2" t="s">
        <v>38</v>
      </c>
      <c r="D2952" s="2" t="s">
        <v>39</v>
      </c>
      <c r="E2952" s="5">
        <v>-31045</v>
      </c>
      <c r="F2952" s="3" t="s">
        <v>165</v>
      </c>
      <c r="G2952" s="3" t="s">
        <v>57</v>
      </c>
      <c r="H2952" s="2" t="s">
        <v>62</v>
      </c>
      <c r="I2952" s="2" t="s">
        <v>6781</v>
      </c>
      <c r="J2952" s="3" t="str">
        <f>HYPERLINK("https://www.boe.es/gazeta/dias/1814/12/31/pdfs/GMD-1814-173.pdf#page=6","Abrir facsímil")</f>
        <v>Abrir facsímil</v>
      </c>
      <c r="K2952" s="3" t="s">
        <v>64</v>
      </c>
    </row>
    <row r="2953" spans="1:11" ht="42" customHeight="1">
      <c r="A2953" s="2" t="s">
        <v>6782</v>
      </c>
      <c r="B2953" s="2" t="s">
        <v>6782</v>
      </c>
      <c r="C2953" s="2" t="s">
        <v>38</v>
      </c>
      <c r="D2953" s="2" t="s">
        <v>39</v>
      </c>
      <c r="E2953" s="5">
        <v>-31329</v>
      </c>
      <c r="F2953" s="3" t="s">
        <v>621</v>
      </c>
      <c r="G2953" s="3" t="s">
        <v>107</v>
      </c>
      <c r="H2953" s="2" t="s">
        <v>62</v>
      </c>
      <c r="I2953" s="2" t="s">
        <v>6783</v>
      </c>
      <c r="J2953" s="3" t="str">
        <f>HYPERLINK("https://www.boe.es/gazeta/dias/1814/03/22/pdfs/GRE-1814-39.pdf#page=1","Abrir facsímil")</f>
        <v>Abrir facsímil</v>
      </c>
      <c r="K2953" s="3" t="s">
        <v>64</v>
      </c>
    </row>
    <row r="2954" spans="1:11" ht="42" customHeight="1">
      <c r="A2954" s="2" t="s">
        <v>6784</v>
      </c>
      <c r="B2954" s="2" t="s">
        <v>6785</v>
      </c>
      <c r="C2954" s="2" t="s">
        <v>38</v>
      </c>
      <c r="D2954" s="2" t="s">
        <v>39</v>
      </c>
      <c r="E2954" s="5">
        <v>-31047</v>
      </c>
      <c r="F2954" s="3" t="s">
        <v>815</v>
      </c>
      <c r="G2954" s="3" t="s">
        <v>57</v>
      </c>
      <c r="H2954" s="2" t="s">
        <v>21</v>
      </c>
      <c r="I2954" s="2" t="s">
        <v>6786</v>
      </c>
      <c r="J2954" s="3" t="str">
        <f>HYPERLINK("https://www.boe.es/gazeta/dias/1814/12/29/pdfs/GMD-1814-172.pdf#page=6","Abrir facsímil")</f>
        <v>Abrir facsímil</v>
      </c>
      <c r="K2954" s="3" t="s">
        <v>23</v>
      </c>
    </row>
    <row r="2955" spans="1:11" ht="42" customHeight="1">
      <c r="A2955" s="2" t="s">
        <v>6787</v>
      </c>
      <c r="B2955" s="2" t="s">
        <v>6788</v>
      </c>
      <c r="C2955" s="2" t="s">
        <v>38</v>
      </c>
      <c r="D2955" s="2" t="s">
        <v>39</v>
      </c>
      <c r="E2955" s="5">
        <v>-31259</v>
      </c>
      <c r="F2955" s="3" t="s">
        <v>853</v>
      </c>
      <c r="G2955" s="3" t="s">
        <v>1732</v>
      </c>
      <c r="H2955" s="2" t="s">
        <v>62</v>
      </c>
      <c r="I2955" s="2" t="s">
        <v>6789</v>
      </c>
      <c r="J2955" s="3" t="str">
        <f>HYPERLINK("https://www.boe.es/gazeta/dias/1814/05/31/pdfs/GMD-1814-79.pdf#page=5","Abrir facsímil")</f>
        <v>Abrir facsímil</v>
      </c>
      <c r="K2955" s="3" t="s">
        <v>64</v>
      </c>
    </row>
    <row r="2956" spans="1:11" ht="42" customHeight="1">
      <c r="A2956" s="2" t="s">
        <v>6790</v>
      </c>
      <c r="B2956" s="2" t="s">
        <v>6791</v>
      </c>
      <c r="C2956" s="2" t="s">
        <v>45</v>
      </c>
      <c r="D2956" s="2" t="s">
        <v>18</v>
      </c>
      <c r="E2956" s="5">
        <v>-31173</v>
      </c>
      <c r="F2956" s="3" t="s">
        <v>46</v>
      </c>
      <c r="G2956" s="3" t="s">
        <v>20</v>
      </c>
      <c r="H2956" s="2" t="s">
        <v>62</v>
      </c>
      <c r="I2956" s="2" t="s">
        <v>6792</v>
      </c>
      <c r="J2956" s="3" t="str">
        <f>HYPERLINK("https://www.boe.es/gazeta/dias/1814/08/25/pdfs/GMD-1814-116.pdf#page=7","Abrir facsímil")</f>
        <v>Abrir facsímil</v>
      </c>
      <c r="K2956" s="3" t="s">
        <v>64</v>
      </c>
    </row>
    <row r="2957" spans="1:11" ht="42" customHeight="1">
      <c r="A2957" s="2" t="s">
        <v>6790</v>
      </c>
      <c r="B2957" s="2" t="s">
        <v>6791</v>
      </c>
      <c r="C2957" s="2" t="s">
        <v>45</v>
      </c>
      <c r="D2957" s="2" t="s">
        <v>18</v>
      </c>
      <c r="E2957" s="5">
        <v>-31131</v>
      </c>
      <c r="F2957" s="3" t="s">
        <v>132</v>
      </c>
      <c r="G2957" s="3" t="s">
        <v>2188</v>
      </c>
      <c r="H2957" s="2" t="s">
        <v>62</v>
      </c>
      <c r="I2957" s="2" t="s">
        <v>6793</v>
      </c>
      <c r="J2957" s="3" t="str">
        <f>HYPERLINK("https://www.boe.es/gazeta/dias/1814/10/06/pdfs/GMD-1814-135.pdf#page=6","Abrir facsímil")</f>
        <v>Abrir facsímil</v>
      </c>
      <c r="K2957" s="3" t="s">
        <v>64</v>
      </c>
    </row>
    <row r="2958" spans="1:11" ht="42" customHeight="1">
      <c r="A2958" s="2" t="s">
        <v>6794</v>
      </c>
      <c r="B2958" s="2" t="s">
        <v>6795</v>
      </c>
      <c r="C2958" s="2" t="s">
        <v>26</v>
      </c>
      <c r="D2958" s="2" t="s">
        <v>27</v>
      </c>
      <c r="E2958" s="5">
        <v>-31091</v>
      </c>
      <c r="F2958" s="3" t="s">
        <v>1156</v>
      </c>
      <c r="G2958" s="3" t="s">
        <v>52</v>
      </c>
      <c r="H2958" s="2" t="s">
        <v>62</v>
      </c>
      <c r="I2958" s="2" t="s">
        <v>6796</v>
      </c>
      <c r="J2958" s="3" t="str">
        <f>HYPERLINK("https://www.boe.es/gazeta/dias/1814/11/15/pdfs/GMD-1814-152.pdf#page=8","Abrir facsímil")</f>
        <v>Abrir facsímil</v>
      </c>
      <c r="K2958" s="3" t="s">
        <v>64</v>
      </c>
    </row>
    <row r="2959" spans="1:11" ht="42" customHeight="1">
      <c r="A2959" s="2" t="s">
        <v>6797</v>
      </c>
      <c r="B2959" s="2" t="s">
        <v>6798</v>
      </c>
      <c r="C2959" s="2" t="s">
        <v>38</v>
      </c>
      <c r="D2959" s="2" t="s">
        <v>39</v>
      </c>
      <c r="E2959" s="5">
        <v>-31222</v>
      </c>
      <c r="F2959" s="3" t="s">
        <v>153</v>
      </c>
      <c r="G2959" s="3" t="s">
        <v>52</v>
      </c>
      <c r="H2959" s="2" t="s">
        <v>62</v>
      </c>
      <c r="I2959" s="2" t="s">
        <v>6799</v>
      </c>
      <c r="J2959" s="3" t="str">
        <f>HYPERLINK("https://www.boe.es/gazeta/dias/1814/07/07/pdfs/GMD-1814-95.pdf#page=8","Abrir facsímil")</f>
        <v>Abrir facsímil</v>
      </c>
      <c r="K2959" s="3" t="s">
        <v>64</v>
      </c>
    </row>
    <row r="2960" spans="1:11" ht="42" customHeight="1">
      <c r="A2960" s="2" t="s">
        <v>6800</v>
      </c>
      <c r="B2960" s="2" t="s">
        <v>6800</v>
      </c>
      <c r="C2960" s="2" t="s">
        <v>38</v>
      </c>
      <c r="D2960" s="2" t="s">
        <v>39</v>
      </c>
      <c r="E2960" s="5">
        <v>-31327</v>
      </c>
      <c r="F2960" s="3" t="s">
        <v>180</v>
      </c>
      <c r="G2960" s="3" t="s">
        <v>87</v>
      </c>
      <c r="H2960" s="2" t="s">
        <v>62</v>
      </c>
      <c r="I2960" s="2" t="s">
        <v>6801</v>
      </c>
      <c r="J2960" s="3" t="str">
        <f>HYPERLINK("https://www.boe.es/gazeta/dias/1814/03/24/pdfs/GRE-1814-41.pdf#page=2","Abrir facsímil")</f>
        <v>Abrir facsímil</v>
      </c>
      <c r="K2960" s="3" t="s">
        <v>64</v>
      </c>
    </row>
    <row r="2961" spans="1:11" ht="42" customHeight="1">
      <c r="A2961" s="2" t="s">
        <v>6802</v>
      </c>
      <c r="B2961" s="2" t="s">
        <v>6802</v>
      </c>
      <c r="C2961" s="2" t="s">
        <v>38</v>
      </c>
      <c r="D2961" s="2" t="s">
        <v>39</v>
      </c>
      <c r="E2961" s="5">
        <v>-31374</v>
      </c>
      <c r="F2961" s="3" t="s">
        <v>474</v>
      </c>
      <c r="G2961" s="3" t="s">
        <v>87</v>
      </c>
      <c r="H2961" s="2" t="s">
        <v>62</v>
      </c>
      <c r="I2961" s="2" t="s">
        <v>6803</v>
      </c>
      <c r="J2961" s="3" t="str">
        <f>HYPERLINK("https://www.boe.es/gazeta/dias/1814/02/05/pdfs/GRE-1814-17.pdf#page=2","Abrir facsímil")</f>
        <v>Abrir facsímil</v>
      </c>
      <c r="K2961" s="3" t="s">
        <v>64</v>
      </c>
    </row>
    <row r="2962" spans="1:11" ht="42" customHeight="1">
      <c r="A2962" s="2" t="s">
        <v>6804</v>
      </c>
      <c r="B2962" s="2" t="s">
        <v>6804</v>
      </c>
      <c r="C2962" s="2" t="s">
        <v>38</v>
      </c>
      <c r="D2962" s="2" t="s">
        <v>39</v>
      </c>
      <c r="E2962" s="5">
        <v>-31374</v>
      </c>
      <c r="F2962" s="3" t="s">
        <v>474</v>
      </c>
      <c r="G2962" s="3" t="s">
        <v>41</v>
      </c>
      <c r="H2962" s="2" t="s">
        <v>62</v>
      </c>
      <c r="I2962" s="2" t="s">
        <v>6805</v>
      </c>
      <c r="J2962" s="3" t="str">
        <f>HYPERLINK("https://www.boe.es/gazeta/dias/1814/02/05/pdfs/GRE-1814-17.pdf#page=4","Abrir facsímil")</f>
        <v>Abrir facsímil</v>
      </c>
      <c r="K2962" s="3" t="s">
        <v>64</v>
      </c>
    </row>
    <row r="2963" spans="1:11" ht="42" customHeight="1">
      <c r="A2963" s="2" t="s">
        <v>6802</v>
      </c>
      <c r="B2963" s="2" t="s">
        <v>6802</v>
      </c>
      <c r="C2963" s="2" t="s">
        <v>38</v>
      </c>
      <c r="D2963" s="2" t="s">
        <v>39</v>
      </c>
      <c r="E2963" s="5">
        <v>-31369</v>
      </c>
      <c r="F2963" s="3" t="s">
        <v>695</v>
      </c>
      <c r="G2963" s="3" t="s">
        <v>87</v>
      </c>
      <c r="H2963" s="2" t="s">
        <v>62</v>
      </c>
      <c r="I2963" s="2" t="s">
        <v>6806</v>
      </c>
      <c r="J2963" s="3" t="str">
        <f>HYPERLINK("https://www.boe.es/gazeta/dias/1814/02/10/pdfs/GRE-1814-19.pdf#page=2","Abrir facsímil")</f>
        <v>Abrir facsímil</v>
      </c>
      <c r="K2963" s="3" t="s">
        <v>64</v>
      </c>
    </row>
    <row r="2964" spans="1:11" ht="42" customHeight="1">
      <c r="A2964" s="2" t="s">
        <v>6802</v>
      </c>
      <c r="B2964" s="2" t="s">
        <v>6802</v>
      </c>
      <c r="C2964" s="2" t="s">
        <v>38</v>
      </c>
      <c r="D2964" s="2" t="s">
        <v>39</v>
      </c>
      <c r="E2964" s="5">
        <v>-31367</v>
      </c>
      <c r="F2964" s="3" t="s">
        <v>857</v>
      </c>
      <c r="G2964" s="3" t="s">
        <v>82</v>
      </c>
      <c r="H2964" s="2" t="s">
        <v>62</v>
      </c>
      <c r="I2964" s="2" t="s">
        <v>6807</v>
      </c>
      <c r="J2964" s="3" t="str">
        <f>HYPERLINK("https://www.boe.es/gazeta/dias/1814/02/12/pdfs/GRE-1814-20.pdf#page=3","Abrir facsímil")</f>
        <v>Abrir facsímil</v>
      </c>
      <c r="K2964" s="3" t="s">
        <v>64</v>
      </c>
    </row>
    <row r="2965" spans="1:11" ht="42" customHeight="1">
      <c r="A2965" s="2" t="s">
        <v>6802</v>
      </c>
      <c r="B2965" s="2" t="s">
        <v>6802</v>
      </c>
      <c r="C2965" s="2" t="s">
        <v>38</v>
      </c>
      <c r="D2965" s="2" t="s">
        <v>39</v>
      </c>
      <c r="E2965" s="5">
        <v>-31346</v>
      </c>
      <c r="F2965" s="3" t="s">
        <v>78</v>
      </c>
      <c r="G2965" s="3" t="s">
        <v>3031</v>
      </c>
      <c r="H2965" s="2" t="s">
        <v>62</v>
      </c>
      <c r="I2965" s="2" t="s">
        <v>6808</v>
      </c>
      <c r="J2965" s="3" t="str">
        <f>HYPERLINK("https://www.boe.es/gazeta/dias/1814/03/05/pdfs/GRE-1814-30.pdf#page=5","Abrir facsímil")</f>
        <v>Abrir facsímil</v>
      </c>
      <c r="K2965" s="3" t="s">
        <v>64</v>
      </c>
    </row>
    <row r="2966" spans="1:11" ht="42" customHeight="1">
      <c r="A2966" s="2" t="s">
        <v>6802</v>
      </c>
      <c r="B2966" s="2" t="s">
        <v>6802</v>
      </c>
      <c r="C2966" s="2" t="s">
        <v>38</v>
      </c>
      <c r="D2966" s="2" t="s">
        <v>39</v>
      </c>
      <c r="E2966" s="5">
        <v>-31322</v>
      </c>
      <c r="F2966" s="3" t="s">
        <v>114</v>
      </c>
      <c r="G2966" s="3" t="s">
        <v>99</v>
      </c>
      <c r="H2966" s="2" t="s">
        <v>62</v>
      </c>
      <c r="I2966" s="2" t="s">
        <v>6809</v>
      </c>
      <c r="J2966" s="3" t="str">
        <f>HYPERLINK("https://www.boe.es/gazeta/dias/1814/03/29/pdfs/GRE-1814-44.pdf#page=5","Abrir facsímil")</f>
        <v>Abrir facsímil</v>
      </c>
      <c r="K2966" s="3" t="s">
        <v>64</v>
      </c>
    </row>
    <row r="2967" spans="1:11" ht="42" customHeight="1">
      <c r="A2967" s="2" t="s">
        <v>6810</v>
      </c>
      <c r="B2967" s="2" t="s">
        <v>6810</v>
      </c>
      <c r="C2967" s="2" t="s">
        <v>38</v>
      </c>
      <c r="D2967" s="2" t="s">
        <v>39</v>
      </c>
      <c r="E2967" s="5">
        <v>-31150</v>
      </c>
      <c r="F2967" s="3" t="s">
        <v>106</v>
      </c>
      <c r="G2967" s="3" t="s">
        <v>3046</v>
      </c>
      <c r="H2967" s="2" t="s">
        <v>62</v>
      </c>
      <c r="I2967" s="2" t="s">
        <v>6811</v>
      </c>
      <c r="J2967" s="3" t="str">
        <f>HYPERLINK("https://www.boe.es/gazeta/dias/1814/09/17/pdfs/GMD-1814-127.pdf#page=2","Abrir facsímil")</f>
        <v>Abrir facsímil</v>
      </c>
      <c r="K2967" s="3" t="s">
        <v>64</v>
      </c>
    </row>
    <row r="2968" spans="1:11" ht="42" customHeight="1">
      <c r="A2968" s="2" t="s">
        <v>6812</v>
      </c>
      <c r="B2968" s="2" t="s">
        <v>6813</v>
      </c>
      <c r="C2968" s="2" t="s">
        <v>38</v>
      </c>
      <c r="D2968" s="2" t="s">
        <v>39</v>
      </c>
      <c r="E2968" s="5">
        <v>-31080</v>
      </c>
      <c r="F2968" s="3" t="s">
        <v>286</v>
      </c>
      <c r="G2968" s="3" t="s">
        <v>41</v>
      </c>
      <c r="H2968" s="2" t="s">
        <v>62</v>
      </c>
      <c r="I2968" s="2" t="s">
        <v>6814</v>
      </c>
      <c r="J2968" s="3" t="str">
        <f>HYPERLINK("https://www.boe.es/gazeta/dias/1814/11/26/pdfs/GMD-1814-157.pdf#page=4","Abrir facsímil")</f>
        <v>Abrir facsímil</v>
      </c>
      <c r="K2968" s="3" t="s">
        <v>64</v>
      </c>
    </row>
    <row r="2969" spans="1:11" ht="42" customHeight="1">
      <c r="A2969" s="2" t="s">
        <v>6815</v>
      </c>
      <c r="B2969" s="2" t="s">
        <v>6816</v>
      </c>
      <c r="C2969" s="2" t="s">
        <v>26</v>
      </c>
      <c r="D2969" s="2" t="s">
        <v>27</v>
      </c>
      <c r="E2969" s="5">
        <v>-31266</v>
      </c>
      <c r="F2969" s="3" t="s">
        <v>191</v>
      </c>
      <c r="G2969" s="3" t="s">
        <v>99</v>
      </c>
      <c r="H2969" s="2" t="s">
        <v>62</v>
      </c>
      <c r="I2969" s="2" t="s">
        <v>6817</v>
      </c>
      <c r="J2969" s="3" t="str">
        <f>HYPERLINK("https://www.boe.es/gazeta/dias/1814/05/24/pdfs/GMD-1814-76.pdf#page=5","Abrir facsímil")</f>
        <v>Abrir facsímil</v>
      </c>
      <c r="K2969" s="3" t="s">
        <v>64</v>
      </c>
    </row>
    <row r="2970" spans="1:11" ht="42" customHeight="1">
      <c r="A2970" s="2" t="s">
        <v>6815</v>
      </c>
      <c r="B2970" s="2" t="s">
        <v>6816</v>
      </c>
      <c r="C2970" s="2" t="s">
        <v>38</v>
      </c>
      <c r="D2970" s="2" t="s">
        <v>39</v>
      </c>
      <c r="E2970" s="5">
        <v>-31171</v>
      </c>
      <c r="F2970" s="3" t="s">
        <v>157</v>
      </c>
      <c r="G2970" s="3" t="s">
        <v>52</v>
      </c>
      <c r="H2970" s="2" t="s">
        <v>62</v>
      </c>
      <c r="I2970" s="2" t="s">
        <v>6818</v>
      </c>
      <c r="J2970" s="3" t="str">
        <f>HYPERLINK("https://www.boe.es/gazeta/dias/1814/08/27/pdfs/GMD-1814-117.pdf#page=8","Abrir facsímil")</f>
        <v>Abrir facsímil</v>
      </c>
      <c r="K2970" s="3" t="s">
        <v>64</v>
      </c>
    </row>
    <row r="2971" spans="1:11" ht="42" customHeight="1">
      <c r="A2971" s="2" t="s">
        <v>6819</v>
      </c>
      <c r="B2971" s="2" t="s">
        <v>6820</v>
      </c>
      <c r="C2971" s="2" t="s">
        <v>26</v>
      </c>
      <c r="D2971" s="2" t="s">
        <v>27</v>
      </c>
      <c r="E2971" s="5">
        <v>-31124</v>
      </c>
      <c r="F2971" s="3" t="s">
        <v>383</v>
      </c>
      <c r="G2971" s="3" t="s">
        <v>574</v>
      </c>
      <c r="H2971" s="2" t="s">
        <v>62</v>
      </c>
      <c r="I2971" s="2" t="s">
        <v>6821</v>
      </c>
      <c r="J2971" s="3" t="str">
        <f>HYPERLINK("https://www.boe.es/gazeta/dias/1814/10/13/pdfs/GMD-1814-138.pdf#page=10","Abrir facsímil")</f>
        <v>Abrir facsímil</v>
      </c>
      <c r="K2971" s="3" t="s">
        <v>64</v>
      </c>
    </row>
    <row r="2972" spans="1:11" ht="42" customHeight="1">
      <c r="A2972" s="2" t="s">
        <v>6822</v>
      </c>
      <c r="B2972" s="2" t="s">
        <v>6822</v>
      </c>
      <c r="C2972" s="2" t="s">
        <v>105</v>
      </c>
      <c r="D2972" s="2" t="s">
        <v>18</v>
      </c>
      <c r="E2972" s="5">
        <v>-31252</v>
      </c>
      <c r="F2972" s="3" t="s">
        <v>364</v>
      </c>
      <c r="G2972" s="3" t="s">
        <v>1437</v>
      </c>
      <c r="H2972" s="2" t="s">
        <v>62</v>
      </c>
      <c r="I2972" s="2" t="s">
        <v>6823</v>
      </c>
      <c r="J2972" s="3" t="str">
        <f>HYPERLINK("https://www.boe.es/gazeta/dias/1814/06/07/pdfs/GMD-1814-82.pdf#page=11","Abrir facsímil")</f>
        <v>Abrir facsímil</v>
      </c>
      <c r="K2972" s="3" t="s">
        <v>64</v>
      </c>
    </row>
    <row r="2973" spans="1:11" ht="42" customHeight="1">
      <c r="A2973" s="2" t="s">
        <v>6824</v>
      </c>
      <c r="B2973" s="2" t="s">
        <v>6825</v>
      </c>
      <c r="C2973" s="2" t="s">
        <v>26</v>
      </c>
      <c r="D2973" s="2" t="s">
        <v>27</v>
      </c>
      <c r="E2973" s="5">
        <v>-31080</v>
      </c>
      <c r="F2973" s="3" t="s">
        <v>286</v>
      </c>
      <c r="G2973" s="3" t="s">
        <v>41</v>
      </c>
      <c r="H2973" s="2" t="s">
        <v>62</v>
      </c>
      <c r="I2973" s="2" t="s">
        <v>6826</v>
      </c>
      <c r="J2973" s="3" t="str">
        <f>HYPERLINK("https://www.boe.es/gazeta/dias/1814/11/26/pdfs/GMD-1814-157.pdf#page=4","Abrir facsímil")</f>
        <v>Abrir facsímil</v>
      </c>
      <c r="K2973" s="3" t="s">
        <v>64</v>
      </c>
    </row>
    <row r="2974" spans="1:11" ht="42" customHeight="1">
      <c r="A2974" s="2" t="s">
        <v>6827</v>
      </c>
      <c r="B2974" s="2" t="s">
        <v>6828</v>
      </c>
      <c r="C2974" s="2" t="s">
        <v>38</v>
      </c>
      <c r="D2974" s="2" t="s">
        <v>39</v>
      </c>
      <c r="E2974" s="5">
        <v>-31273</v>
      </c>
      <c r="F2974" s="3" t="s">
        <v>2108</v>
      </c>
      <c r="G2974" s="3" t="s">
        <v>52</v>
      </c>
      <c r="H2974" s="2" t="s">
        <v>62</v>
      </c>
      <c r="I2974" s="2" t="s">
        <v>6829</v>
      </c>
      <c r="J2974" s="3" t="str">
        <f>HYPERLINK("https://www.boe.es/gazeta/dias/1814/05/17/pdfs/GMD-1814-72.pdf#page=8","Abrir facsímil")</f>
        <v>Abrir facsímil</v>
      </c>
      <c r="K2974" s="3" t="s">
        <v>64</v>
      </c>
    </row>
    <row r="2975" spans="1:11" ht="42" customHeight="1">
      <c r="A2975" s="2" t="s">
        <v>6830</v>
      </c>
      <c r="B2975" s="2" t="s">
        <v>6830</v>
      </c>
      <c r="C2975" s="2" t="s">
        <v>105</v>
      </c>
      <c r="D2975" s="2" t="s">
        <v>18</v>
      </c>
      <c r="E2975" s="5">
        <v>-31252</v>
      </c>
      <c r="F2975" s="3" t="s">
        <v>364</v>
      </c>
      <c r="G2975" s="3" t="s">
        <v>1437</v>
      </c>
      <c r="H2975" s="2" t="s">
        <v>62</v>
      </c>
      <c r="I2975" s="2" t="s">
        <v>6831</v>
      </c>
      <c r="J2975" s="3" t="str">
        <f>HYPERLINK("https://www.boe.es/gazeta/dias/1814/06/07/pdfs/GMD-1814-82.pdf#page=11","Abrir facsímil")</f>
        <v>Abrir facsímil</v>
      </c>
      <c r="K2975" s="3" t="s">
        <v>64</v>
      </c>
    </row>
    <row r="2976" spans="1:11" ht="42" customHeight="1">
      <c r="A2976" s="2" t="s">
        <v>6830</v>
      </c>
      <c r="B2976" s="2" t="s">
        <v>6830</v>
      </c>
      <c r="C2976" s="2" t="s">
        <v>38</v>
      </c>
      <c r="D2976" s="2" t="s">
        <v>39</v>
      </c>
      <c r="E2976" s="5">
        <v>-31236</v>
      </c>
      <c r="F2976" s="3" t="s">
        <v>33</v>
      </c>
      <c r="G2976" s="3" t="s">
        <v>322</v>
      </c>
      <c r="H2976" s="2" t="s">
        <v>62</v>
      </c>
      <c r="I2976" s="2" t="s">
        <v>6832</v>
      </c>
      <c r="J2976" s="3" t="str">
        <f>HYPERLINK("https://www.boe.es/gazeta/dias/1814/06/23/pdfs/GMD-1814-89.pdf#page=12","Abrir facsímil")</f>
        <v>Abrir facsímil</v>
      </c>
      <c r="K2976" s="3" t="s">
        <v>64</v>
      </c>
    </row>
    <row r="2977" spans="1:11" ht="42" customHeight="1">
      <c r="A2977" s="2" t="s">
        <v>6833</v>
      </c>
      <c r="B2977" s="2" t="s">
        <v>6834</v>
      </c>
      <c r="C2977" s="2" t="s">
        <v>38</v>
      </c>
      <c r="D2977" s="2" t="s">
        <v>39</v>
      </c>
      <c r="E2977" s="5">
        <v>-31308</v>
      </c>
      <c r="F2977" s="3" t="s">
        <v>210</v>
      </c>
      <c r="G2977" s="3" t="s">
        <v>20</v>
      </c>
      <c r="H2977" s="2" t="s">
        <v>62</v>
      </c>
      <c r="I2977" s="2" t="s">
        <v>6835</v>
      </c>
      <c r="J2977" s="3" t="str">
        <f>HYPERLINK("https://www.boe.es/gazeta/dias/1814/04/12/pdfs/GRE-1814-52.pdf#page=7","Abrir facsímil")</f>
        <v>Abrir facsímil</v>
      </c>
      <c r="K2977" s="3" t="s">
        <v>64</v>
      </c>
    </row>
    <row r="2978" spans="1:11" ht="42" customHeight="1">
      <c r="A2978" s="2" t="s">
        <v>6836</v>
      </c>
      <c r="B2978" s="2" t="s">
        <v>6837</v>
      </c>
      <c r="C2978" s="2" t="s">
        <v>38</v>
      </c>
      <c r="D2978" s="2" t="s">
        <v>39</v>
      </c>
      <c r="E2978" s="5">
        <v>-31098</v>
      </c>
      <c r="F2978" s="3" t="s">
        <v>290</v>
      </c>
      <c r="G2978" s="3" t="s">
        <v>57</v>
      </c>
      <c r="H2978" s="2" t="s">
        <v>62</v>
      </c>
      <c r="I2978" s="2" t="s">
        <v>6838</v>
      </c>
      <c r="J2978" s="3" t="str">
        <f>HYPERLINK("https://www.boe.es/gazeta/dias/1814/11/08/pdfs/GMD-1814-149.pdf#page=6","Abrir facsímil")</f>
        <v>Abrir facsímil</v>
      </c>
      <c r="K2978" s="3" t="s">
        <v>64</v>
      </c>
    </row>
    <row r="2979" spans="1:11" ht="42" customHeight="1">
      <c r="A2979" s="2" t="s">
        <v>6839</v>
      </c>
      <c r="B2979" s="2" t="s">
        <v>6840</v>
      </c>
      <c r="C2979" s="2" t="s">
        <v>26</v>
      </c>
      <c r="D2979" s="2" t="s">
        <v>27</v>
      </c>
      <c r="E2979" s="5">
        <v>-31250</v>
      </c>
      <c r="F2979" s="3" t="s">
        <v>177</v>
      </c>
      <c r="G2979" s="3" t="s">
        <v>52</v>
      </c>
      <c r="H2979" s="2" t="s">
        <v>62</v>
      </c>
      <c r="I2979" s="2" t="s">
        <v>6841</v>
      </c>
      <c r="J2979" s="3" t="str">
        <f>HYPERLINK("https://www.boe.es/gazeta/dias/1814/06/09/pdfs/GMD-1814-83.pdf#page=8","Abrir facsímil")</f>
        <v>Abrir facsímil</v>
      </c>
      <c r="K2979" s="3" t="s">
        <v>64</v>
      </c>
    </row>
    <row r="2980" spans="1:11" ht="42" customHeight="1">
      <c r="A2980" s="2" t="s">
        <v>6839</v>
      </c>
      <c r="B2980" s="2" t="s">
        <v>6840</v>
      </c>
      <c r="C2980" s="2" t="s">
        <v>17</v>
      </c>
      <c r="D2980" s="2" t="s">
        <v>18</v>
      </c>
      <c r="E2980" s="5">
        <v>-31224</v>
      </c>
      <c r="F2980" s="3" t="s">
        <v>609</v>
      </c>
      <c r="G2980" s="3" t="s">
        <v>384</v>
      </c>
      <c r="H2980" s="2" t="s">
        <v>62</v>
      </c>
      <c r="I2980" s="2" t="s">
        <v>6842</v>
      </c>
      <c r="J2980" s="3" t="str">
        <f>HYPERLINK("https://www.boe.es/gazeta/dias/1814/07/05/pdfs/GMD-1814-94.pdf#page=11","Abrir facsímil")</f>
        <v>Abrir facsímil</v>
      </c>
      <c r="K2980" s="3" t="s">
        <v>64</v>
      </c>
    </row>
    <row r="2981" spans="1:11" ht="42" customHeight="1">
      <c r="A2981" s="2" t="s">
        <v>6843</v>
      </c>
      <c r="B2981" s="2" t="s">
        <v>6844</v>
      </c>
      <c r="C2981" s="2" t="s">
        <v>26</v>
      </c>
      <c r="D2981" s="2" t="s">
        <v>27</v>
      </c>
      <c r="E2981" s="5">
        <v>-31049</v>
      </c>
      <c r="F2981" s="3" t="s">
        <v>542</v>
      </c>
      <c r="G2981" s="3" t="s">
        <v>1035</v>
      </c>
      <c r="H2981" s="2" t="s">
        <v>62</v>
      </c>
      <c r="I2981" s="2" t="s">
        <v>6845</v>
      </c>
      <c r="J2981" s="3" t="str">
        <f>HYPERLINK("https://www.boe.es/gazeta/dias/1814/12/27/pdfs/GMD-1814-171.pdf#page=6","Abrir facsímil")</f>
        <v>Abrir facsímil</v>
      </c>
      <c r="K2981" s="3" t="s">
        <v>64</v>
      </c>
    </row>
    <row r="2982" spans="1:11" ht="42" customHeight="1">
      <c r="A2982" s="2" t="s">
        <v>6846</v>
      </c>
      <c r="B2982" s="2" t="s">
        <v>6847</v>
      </c>
      <c r="C2982" s="2" t="s">
        <v>38</v>
      </c>
      <c r="D2982" s="2" t="s">
        <v>39</v>
      </c>
      <c r="E2982" s="5">
        <v>-31091</v>
      </c>
      <c r="F2982" s="3" t="s">
        <v>1156</v>
      </c>
      <c r="G2982" s="3" t="s">
        <v>20</v>
      </c>
      <c r="H2982" s="2" t="s">
        <v>62</v>
      </c>
      <c r="I2982" s="2" t="s">
        <v>6848</v>
      </c>
      <c r="J2982" s="3" t="str">
        <f>HYPERLINK("https://www.boe.es/gazeta/dias/1814/11/15/pdfs/GMD-1814-152.pdf#page=7","Abrir facsímil")</f>
        <v>Abrir facsímil</v>
      </c>
      <c r="K2982" s="3" t="s">
        <v>64</v>
      </c>
    </row>
    <row r="2983" spans="1:11" ht="42" customHeight="1">
      <c r="A2983" s="2" t="s">
        <v>6849</v>
      </c>
      <c r="B2983" s="2" t="s">
        <v>6850</v>
      </c>
      <c r="C2983" s="2" t="s">
        <v>26</v>
      </c>
      <c r="D2983" s="2" t="s">
        <v>27</v>
      </c>
      <c r="E2983" s="5">
        <v>-31241</v>
      </c>
      <c r="F2983" s="3" t="s">
        <v>703</v>
      </c>
      <c r="G2983" s="3" t="s">
        <v>704</v>
      </c>
      <c r="H2983" s="2" t="s">
        <v>62</v>
      </c>
      <c r="I2983" s="2" t="s">
        <v>6851</v>
      </c>
      <c r="J2983" s="3" t="str">
        <f>HYPERLINK("https://www.boe.es/gazeta/dias/1814/06/18/pdfs/GMD-1814-87.pdf#page=10","Abrir facsímil")</f>
        <v>Abrir facsímil</v>
      </c>
      <c r="K2983" s="3" t="s">
        <v>64</v>
      </c>
    </row>
    <row r="2984" spans="1:11" ht="42" customHeight="1">
      <c r="A2984" s="2" t="s">
        <v>6852</v>
      </c>
      <c r="B2984" s="2" t="s">
        <v>6852</v>
      </c>
      <c r="C2984" s="2" t="s">
        <v>32</v>
      </c>
      <c r="D2984" s="2" t="s">
        <v>18</v>
      </c>
      <c r="E2984" s="5">
        <v>-31409</v>
      </c>
      <c r="F2984" s="3" t="s">
        <v>168</v>
      </c>
      <c r="G2984" s="3" t="s">
        <v>99</v>
      </c>
      <c r="H2984" s="2" t="s">
        <v>62</v>
      </c>
      <c r="I2984" s="2" t="s">
        <v>6853</v>
      </c>
      <c r="J2984" s="3" t="str">
        <f>HYPERLINK("https://www.boe.es/gazeta/dias/1814/01/01/pdfs/GRE-1814-1.pdf#page=5","Abrir facsímil")</f>
        <v>Abrir facsímil</v>
      </c>
      <c r="K2984" s="3" t="s">
        <v>64</v>
      </c>
    </row>
    <row r="2985" spans="1:11" ht="42" customHeight="1">
      <c r="A2985" s="2" t="s">
        <v>6854</v>
      </c>
      <c r="B2985" s="2" t="s">
        <v>6855</v>
      </c>
      <c r="C2985" s="2" t="s">
        <v>38</v>
      </c>
      <c r="D2985" s="2" t="s">
        <v>39</v>
      </c>
      <c r="E2985" s="5">
        <v>-31259</v>
      </c>
      <c r="F2985" s="3" t="s">
        <v>853</v>
      </c>
      <c r="G2985" s="3" t="s">
        <v>82</v>
      </c>
      <c r="H2985" s="2" t="s">
        <v>62</v>
      </c>
      <c r="I2985" s="2" t="s">
        <v>6856</v>
      </c>
      <c r="J2985" s="3" t="str">
        <f>HYPERLINK("https://www.boe.es/gazeta/dias/1814/05/31/pdfs/GMD-1814-79.pdf#page=3","Abrir facsímil")</f>
        <v>Abrir facsímil</v>
      </c>
      <c r="K2985" s="3" t="s">
        <v>64</v>
      </c>
    </row>
    <row r="2986" spans="1:11" ht="42" customHeight="1">
      <c r="A2986" s="2" t="s">
        <v>6854</v>
      </c>
      <c r="B2986" s="2" t="s">
        <v>6855</v>
      </c>
      <c r="C2986" s="2" t="s">
        <v>38</v>
      </c>
      <c r="D2986" s="2" t="s">
        <v>39</v>
      </c>
      <c r="E2986" s="5">
        <v>-31259</v>
      </c>
      <c r="F2986" s="3" t="s">
        <v>853</v>
      </c>
      <c r="G2986" s="3" t="s">
        <v>41</v>
      </c>
      <c r="H2986" s="2" t="s">
        <v>62</v>
      </c>
      <c r="I2986" s="2" t="s">
        <v>6857</v>
      </c>
      <c r="J2986" s="3" t="str">
        <f>HYPERLINK("https://www.boe.es/gazeta/dias/1814/05/31/pdfs/GMD-1814-79.pdf#page=4","Abrir facsímil")</f>
        <v>Abrir facsímil</v>
      </c>
      <c r="K2986" s="3" t="s">
        <v>64</v>
      </c>
    </row>
    <row r="2987" spans="1:11" ht="42" customHeight="1">
      <c r="A2987" s="2" t="s">
        <v>6858</v>
      </c>
      <c r="B2987" s="2" t="s">
        <v>6859</v>
      </c>
      <c r="C2987" s="2" t="s">
        <v>32</v>
      </c>
      <c r="D2987" s="2" t="s">
        <v>18</v>
      </c>
      <c r="E2987" s="5">
        <v>-31208</v>
      </c>
      <c r="F2987" s="3" t="s">
        <v>509</v>
      </c>
      <c r="G2987" s="3" t="s">
        <v>3455</v>
      </c>
      <c r="H2987" s="2" t="s">
        <v>62</v>
      </c>
      <c r="I2987" s="2" t="s">
        <v>6860</v>
      </c>
      <c r="J2987" s="3" t="str">
        <f>HYPERLINK("https://www.boe.es/gazeta/dias/1814/07/21/pdfs/GMD-1814-101.pdf#page=8","Abrir facsímil")</f>
        <v>Abrir facsímil</v>
      </c>
      <c r="K2987" s="3" t="s">
        <v>64</v>
      </c>
    </row>
    <row r="2988" spans="1:11" ht="42" customHeight="1">
      <c r="A2988" s="2" t="s">
        <v>6861</v>
      </c>
      <c r="B2988" s="2" t="s">
        <v>6862</v>
      </c>
      <c r="C2988" s="2" t="s">
        <v>17</v>
      </c>
      <c r="D2988" s="2" t="s">
        <v>18</v>
      </c>
      <c r="E2988" s="5">
        <v>-31194</v>
      </c>
      <c r="F2988" s="3" t="s">
        <v>333</v>
      </c>
      <c r="G2988" s="3" t="s">
        <v>57</v>
      </c>
      <c r="H2988" s="2" t="s">
        <v>62</v>
      </c>
      <c r="I2988" s="2" t="s">
        <v>6863</v>
      </c>
      <c r="J2988" s="3" t="str">
        <f>HYPERLINK("https://www.boe.es/gazeta/dias/1814/08/04/pdfs/GMD-1814-107.pdf#page=6","Abrir facsímil")</f>
        <v>Abrir facsímil</v>
      </c>
      <c r="K2988" s="3" t="s">
        <v>64</v>
      </c>
    </row>
    <row r="2989" spans="1:11" ht="42" customHeight="1">
      <c r="A2989" s="2" t="s">
        <v>6864</v>
      </c>
      <c r="B2989" s="2" t="s">
        <v>6865</v>
      </c>
      <c r="C2989" s="2" t="s">
        <v>38</v>
      </c>
      <c r="D2989" s="2" t="s">
        <v>39</v>
      </c>
      <c r="E2989" s="5">
        <v>-31290</v>
      </c>
      <c r="F2989" s="3" t="s">
        <v>488</v>
      </c>
      <c r="G2989" s="3" t="s">
        <v>52</v>
      </c>
      <c r="H2989" s="2" t="s">
        <v>62</v>
      </c>
      <c r="I2989" s="2" t="s">
        <v>6866</v>
      </c>
      <c r="J2989" s="3" t="str">
        <f>HYPERLINK("https://www.boe.es/gazeta/dias/1814/04/30/pdfs/GRE-1814-64.pdf#page=8","Abrir facsímil")</f>
        <v>Abrir facsímil</v>
      </c>
      <c r="K2989" s="3" t="s">
        <v>64</v>
      </c>
    </row>
    <row r="2990" spans="1:11" ht="42" customHeight="1">
      <c r="A2990" s="2" t="s">
        <v>6867</v>
      </c>
      <c r="B2990" s="2" t="s">
        <v>6868</v>
      </c>
      <c r="C2990" s="2" t="s">
        <v>38</v>
      </c>
      <c r="D2990" s="2" t="s">
        <v>39</v>
      </c>
      <c r="E2990" s="5">
        <v>-31105</v>
      </c>
      <c r="F2990" s="3" t="s">
        <v>61</v>
      </c>
      <c r="G2990" s="3" t="s">
        <v>52</v>
      </c>
      <c r="H2990" s="2" t="s">
        <v>62</v>
      </c>
      <c r="I2990" s="2" t="s">
        <v>6869</v>
      </c>
      <c r="J2990" s="3" t="str">
        <f>HYPERLINK("https://www.boe.es/gazeta/dias/1814/11/01/pdfs/GMD-1814-146.pdf#page=8","Abrir facsímil")</f>
        <v>Abrir facsímil</v>
      </c>
      <c r="K2990" s="3" t="s">
        <v>64</v>
      </c>
    </row>
    <row r="2991" spans="1:11" ht="42" customHeight="1">
      <c r="A2991" s="2" t="s">
        <v>6870</v>
      </c>
      <c r="B2991" s="2" t="s">
        <v>6871</v>
      </c>
      <c r="C2991" s="2" t="s">
        <v>38</v>
      </c>
      <c r="D2991" s="2" t="s">
        <v>39</v>
      </c>
      <c r="E2991" s="5">
        <v>-31196</v>
      </c>
      <c r="F2991" s="3" t="s">
        <v>828</v>
      </c>
      <c r="G2991" s="3" t="s">
        <v>52</v>
      </c>
      <c r="H2991" s="2" t="s">
        <v>62</v>
      </c>
      <c r="I2991" s="2" t="s">
        <v>6872</v>
      </c>
      <c r="J2991" s="3" t="str">
        <f>HYPERLINK("https://www.boe.es/gazeta/dias/1814/08/02/pdfs/GMD-1814-106.pdf#page=8","Abrir facsímil")</f>
        <v>Abrir facsímil</v>
      </c>
      <c r="K2991" s="3" t="s">
        <v>64</v>
      </c>
    </row>
    <row r="2992" spans="1:11" ht="42" customHeight="1">
      <c r="A2992" s="2" t="s">
        <v>6873</v>
      </c>
      <c r="B2992" s="2" t="s">
        <v>6874</v>
      </c>
      <c r="C2992" s="2" t="s">
        <v>38</v>
      </c>
      <c r="D2992" s="2" t="s">
        <v>39</v>
      </c>
      <c r="E2992" s="5">
        <v>-31103</v>
      </c>
      <c r="F2992" s="3" t="s">
        <v>1260</v>
      </c>
      <c r="G2992" s="3" t="s">
        <v>20</v>
      </c>
      <c r="H2992" s="2" t="s">
        <v>62</v>
      </c>
      <c r="I2992" s="2" t="s">
        <v>6875</v>
      </c>
      <c r="J2992" s="3" t="str">
        <f>HYPERLINK("https://www.boe.es/gazeta/dias/1814/11/03/pdfs/GMD-1814-147.pdf#page=7","Abrir facsímil")</f>
        <v>Abrir facsímil</v>
      </c>
      <c r="K2992" s="3" t="s">
        <v>64</v>
      </c>
    </row>
    <row r="2993" spans="1:11" ht="42" customHeight="1">
      <c r="A2993" s="2" t="s">
        <v>6876</v>
      </c>
      <c r="B2993" s="2" t="s">
        <v>6877</v>
      </c>
      <c r="C2993" s="2" t="s">
        <v>26</v>
      </c>
      <c r="D2993" s="2" t="s">
        <v>27</v>
      </c>
      <c r="E2993" s="5">
        <v>-31250</v>
      </c>
      <c r="F2993" s="3" t="s">
        <v>177</v>
      </c>
      <c r="G2993" s="3" t="s">
        <v>52</v>
      </c>
      <c r="H2993" s="2" t="s">
        <v>62</v>
      </c>
      <c r="I2993" s="2" t="s">
        <v>6878</v>
      </c>
      <c r="J2993" s="3" t="str">
        <f>HYPERLINK("https://www.boe.es/gazeta/dias/1814/06/09/pdfs/GMD-1814-83.pdf#page=8","Abrir facsímil")</f>
        <v>Abrir facsímil</v>
      </c>
      <c r="K2993" s="3" t="s">
        <v>64</v>
      </c>
    </row>
    <row r="2994" spans="1:11" ht="42" customHeight="1">
      <c r="A2994" s="2" t="s">
        <v>6879</v>
      </c>
      <c r="B2994" s="2" t="s">
        <v>6880</v>
      </c>
      <c r="C2994" s="2" t="s">
        <v>17</v>
      </c>
      <c r="D2994" s="2" t="s">
        <v>18</v>
      </c>
      <c r="E2994" s="5">
        <v>-31224</v>
      </c>
      <c r="F2994" s="3" t="s">
        <v>609</v>
      </c>
      <c r="G2994" s="3" t="s">
        <v>322</v>
      </c>
      <c r="H2994" s="2" t="s">
        <v>62</v>
      </c>
      <c r="I2994" s="2" t="s">
        <v>6881</v>
      </c>
      <c r="J2994" s="3" t="str">
        <f>HYPERLINK("https://www.boe.es/gazeta/dias/1814/07/05/pdfs/GMD-1814-94.pdf#page=12","Abrir facsímil")</f>
        <v>Abrir facsímil</v>
      </c>
      <c r="K2994" s="3" t="s">
        <v>64</v>
      </c>
    </row>
    <row r="2995" spans="1:11" ht="42" customHeight="1">
      <c r="A2995" s="2" t="s">
        <v>6882</v>
      </c>
      <c r="B2995" s="2" t="s">
        <v>6883</v>
      </c>
      <c r="C2995" s="2" t="s">
        <v>38</v>
      </c>
      <c r="D2995" s="2" t="s">
        <v>39</v>
      </c>
      <c r="E2995" s="5">
        <v>-31196</v>
      </c>
      <c r="F2995" s="3" t="s">
        <v>828</v>
      </c>
      <c r="G2995" s="3" t="s">
        <v>52</v>
      </c>
      <c r="H2995" s="2" t="s">
        <v>62</v>
      </c>
      <c r="I2995" s="2" t="s">
        <v>6884</v>
      </c>
      <c r="J2995" s="3" t="str">
        <f>HYPERLINK("https://www.boe.es/gazeta/dias/1814/08/02/pdfs/GMD-1814-106.pdf#page=8","Abrir facsímil")</f>
        <v>Abrir facsímil</v>
      </c>
      <c r="K2995" s="3" t="s">
        <v>64</v>
      </c>
    </row>
    <row r="2996" spans="1:11" ht="42" customHeight="1">
      <c r="A2996" s="2" t="s">
        <v>6885</v>
      </c>
      <c r="B2996" s="2" t="s">
        <v>6886</v>
      </c>
      <c r="C2996" s="2" t="s">
        <v>309</v>
      </c>
      <c r="D2996" s="2" t="s">
        <v>18</v>
      </c>
      <c r="E2996" s="5">
        <v>-31124</v>
      </c>
      <c r="F2996" s="3" t="s">
        <v>383</v>
      </c>
      <c r="G2996" s="3" t="s">
        <v>4705</v>
      </c>
      <c r="H2996" s="2" t="s">
        <v>62</v>
      </c>
      <c r="I2996" s="2" t="s">
        <v>6887</v>
      </c>
      <c r="J2996" s="3" t="str">
        <f>HYPERLINK("https://www.boe.es/gazeta/dias/1814/10/13/pdfs/GMD-1814-138.pdf#page=4","Abrir facsímil")</f>
        <v>Abrir facsímil</v>
      </c>
      <c r="K2996" s="3" t="s">
        <v>64</v>
      </c>
    </row>
    <row r="2997" spans="1:11" ht="42" customHeight="1">
      <c r="A2997" s="2" t="s">
        <v>6888</v>
      </c>
      <c r="B2997" s="2" t="s">
        <v>6889</v>
      </c>
      <c r="C2997" s="2" t="s">
        <v>26</v>
      </c>
      <c r="D2997" s="2" t="s">
        <v>27</v>
      </c>
      <c r="E2997" s="5">
        <v>-31161</v>
      </c>
      <c r="F2997" s="3" t="s">
        <v>407</v>
      </c>
      <c r="G2997" s="3" t="s">
        <v>1361</v>
      </c>
      <c r="H2997" s="2" t="s">
        <v>62</v>
      </c>
      <c r="I2997" s="2" t="s">
        <v>6890</v>
      </c>
      <c r="J2997" s="3" t="str">
        <f>HYPERLINK("https://www.boe.es/gazeta/dias/1814/09/06/pdfs/GMD-1814-122.pdf#page=7","Abrir facsímil")</f>
        <v>Abrir facsímil</v>
      </c>
      <c r="K2997" s="3" t="s">
        <v>64</v>
      </c>
    </row>
    <row r="2998" spans="1:11" ht="42" customHeight="1">
      <c r="A2998" s="2" t="s">
        <v>6888</v>
      </c>
      <c r="B2998" s="2" t="s">
        <v>6889</v>
      </c>
      <c r="C2998" s="2" t="s">
        <v>26</v>
      </c>
      <c r="D2998" s="2" t="s">
        <v>27</v>
      </c>
      <c r="E2998" s="5">
        <v>-31143</v>
      </c>
      <c r="F2998" s="3" t="s">
        <v>787</v>
      </c>
      <c r="G2998" s="3" t="s">
        <v>20</v>
      </c>
      <c r="H2998" s="2" t="s">
        <v>62</v>
      </c>
      <c r="I2998" s="2" t="s">
        <v>6891</v>
      </c>
      <c r="J2998" s="3" t="str">
        <f>HYPERLINK("https://www.boe.es/gazeta/dias/1814/09/24/pdfs/GMD-1814-130.pdf#page=7","Abrir facsímil")</f>
        <v>Abrir facsímil</v>
      </c>
      <c r="K2998" s="3" t="s">
        <v>64</v>
      </c>
    </row>
    <row r="2999" spans="1:11" ht="42" customHeight="1">
      <c r="A2999" s="2" t="s">
        <v>6888</v>
      </c>
      <c r="B2999" s="2" t="s">
        <v>6889</v>
      </c>
      <c r="C2999" s="2" t="s">
        <v>26</v>
      </c>
      <c r="D2999" s="2" t="s">
        <v>27</v>
      </c>
      <c r="E2999" s="5">
        <v>-31129</v>
      </c>
      <c r="F2999" s="3" t="s">
        <v>418</v>
      </c>
      <c r="G2999" s="3" t="s">
        <v>1366</v>
      </c>
      <c r="H2999" s="2" t="s">
        <v>62</v>
      </c>
      <c r="I2999" s="2" t="s">
        <v>6892</v>
      </c>
      <c r="J2999" s="3" t="str">
        <f>HYPERLINK("https://www.boe.es/gazeta/dias/1814/10/08/pdfs/GMD-1814-136.pdf#page=6","Abrir facsímil")</f>
        <v>Abrir facsímil</v>
      </c>
      <c r="K2999" s="3" t="s">
        <v>64</v>
      </c>
    </row>
    <row r="3000" spans="1:11" ht="42" customHeight="1">
      <c r="A3000" s="2" t="s">
        <v>6893</v>
      </c>
      <c r="B3000" s="2" t="s">
        <v>6894</v>
      </c>
      <c r="C3000" s="2" t="s">
        <v>26</v>
      </c>
      <c r="D3000" s="2" t="s">
        <v>27</v>
      </c>
      <c r="E3000" s="5">
        <v>-31122</v>
      </c>
      <c r="F3000" s="3" t="s">
        <v>28</v>
      </c>
      <c r="G3000" s="3" t="s">
        <v>57</v>
      </c>
      <c r="H3000" s="2" t="s">
        <v>62</v>
      </c>
      <c r="I3000" s="2" t="s">
        <v>6895</v>
      </c>
      <c r="J3000" s="3" t="str">
        <f>HYPERLINK("https://www.boe.es/gazeta/dias/1814/10/15/pdfs/GMD-1814-139.pdf#page=6","Abrir facsímil")</f>
        <v>Abrir facsímil</v>
      </c>
      <c r="K3000" s="3" t="s">
        <v>64</v>
      </c>
    </row>
    <row r="3001" spans="1:11" ht="42" customHeight="1">
      <c r="A3001" s="2" t="s">
        <v>6896</v>
      </c>
      <c r="B3001" s="2" t="s">
        <v>6897</v>
      </c>
      <c r="C3001" s="2" t="s">
        <v>38</v>
      </c>
      <c r="D3001" s="2" t="s">
        <v>39</v>
      </c>
      <c r="E3001" s="5">
        <v>-31182</v>
      </c>
      <c r="F3001" s="3" t="s">
        <v>19</v>
      </c>
      <c r="G3001" s="3" t="s">
        <v>57</v>
      </c>
      <c r="H3001" s="2" t="s">
        <v>62</v>
      </c>
      <c r="I3001" s="2" t="s">
        <v>6898</v>
      </c>
      <c r="J3001" s="3" t="str">
        <f>HYPERLINK("https://www.boe.es/gazeta/dias/1814/08/16/pdfs/GMD-1814-112.pdf#page=6","Abrir facsímil")</f>
        <v>Abrir facsímil</v>
      </c>
      <c r="K3001" s="3" t="s">
        <v>64</v>
      </c>
    </row>
    <row r="3002" spans="1:11" ht="42" customHeight="1">
      <c r="A3002" s="2" t="s">
        <v>6899</v>
      </c>
      <c r="B3002" s="2" t="s">
        <v>6900</v>
      </c>
      <c r="C3002" s="2" t="s">
        <v>17</v>
      </c>
      <c r="D3002" s="2" t="s">
        <v>18</v>
      </c>
      <c r="E3002" s="5">
        <v>-31250</v>
      </c>
      <c r="F3002" s="3" t="s">
        <v>177</v>
      </c>
      <c r="G3002" s="3" t="s">
        <v>52</v>
      </c>
      <c r="H3002" s="2" t="s">
        <v>62</v>
      </c>
      <c r="I3002" s="2" t="s">
        <v>6901</v>
      </c>
      <c r="J3002" s="3" t="str">
        <f>HYPERLINK("https://www.boe.es/gazeta/dias/1814/06/09/pdfs/GMD-1814-83.pdf#page=8","Abrir facsímil")</f>
        <v>Abrir facsímil</v>
      </c>
      <c r="K3002" s="3" t="s">
        <v>64</v>
      </c>
    </row>
    <row r="3003" spans="1:11" ht="42" customHeight="1">
      <c r="A3003" s="2" t="s">
        <v>6899</v>
      </c>
      <c r="B3003" s="2" t="s">
        <v>6900</v>
      </c>
      <c r="C3003" s="2" t="s">
        <v>17</v>
      </c>
      <c r="D3003" s="2" t="s">
        <v>18</v>
      </c>
      <c r="E3003" s="5">
        <v>-31224</v>
      </c>
      <c r="F3003" s="3" t="s">
        <v>609</v>
      </c>
      <c r="G3003" s="3" t="s">
        <v>384</v>
      </c>
      <c r="H3003" s="2" t="s">
        <v>62</v>
      </c>
      <c r="I3003" s="2" t="s">
        <v>6902</v>
      </c>
      <c r="J3003" s="3" t="str">
        <f>HYPERLINK("https://www.boe.es/gazeta/dias/1814/07/05/pdfs/GMD-1814-94.pdf#page=11","Abrir facsímil")</f>
        <v>Abrir facsímil</v>
      </c>
      <c r="K3003" s="3" t="s">
        <v>64</v>
      </c>
    </row>
    <row r="3004" spans="1:11" ht="42" customHeight="1">
      <c r="A3004" s="2" t="s">
        <v>6899</v>
      </c>
      <c r="B3004" s="2" t="s">
        <v>6900</v>
      </c>
      <c r="C3004" s="2" t="s">
        <v>26</v>
      </c>
      <c r="D3004" s="2" t="s">
        <v>27</v>
      </c>
      <c r="E3004" s="5">
        <v>-31185</v>
      </c>
      <c r="F3004" s="3" t="s">
        <v>1238</v>
      </c>
      <c r="G3004" s="3" t="s">
        <v>1359</v>
      </c>
      <c r="H3004" s="2" t="s">
        <v>62</v>
      </c>
      <c r="I3004" s="2" t="s">
        <v>6903</v>
      </c>
      <c r="J3004" s="3" t="str">
        <f>HYPERLINK("https://www.boe.es/gazeta/dias/1814/08/13/pdfs/GMD-1814-111.pdf#page=6","Abrir facsímil")</f>
        <v>Abrir facsímil</v>
      </c>
      <c r="K3004" s="3" t="s">
        <v>64</v>
      </c>
    </row>
    <row r="3005" spans="1:11" ht="42" customHeight="1">
      <c r="A3005" s="2" t="s">
        <v>6899</v>
      </c>
      <c r="B3005" s="2" t="s">
        <v>6900</v>
      </c>
      <c r="C3005" s="2" t="s">
        <v>26</v>
      </c>
      <c r="D3005" s="2" t="s">
        <v>27</v>
      </c>
      <c r="E3005" s="5">
        <v>-31119</v>
      </c>
      <c r="F3005" s="3" t="s">
        <v>136</v>
      </c>
      <c r="G3005" s="3" t="s">
        <v>20</v>
      </c>
      <c r="H3005" s="2" t="s">
        <v>62</v>
      </c>
      <c r="I3005" s="2" t="s">
        <v>6904</v>
      </c>
      <c r="J3005" s="3" t="str">
        <f>HYPERLINK("https://www.boe.es/gazeta/dias/1814/10/18/pdfs/GMD-1814-140.pdf#page=7","Abrir facsímil")</f>
        <v>Abrir facsímil</v>
      </c>
      <c r="K3005" s="3" t="s">
        <v>64</v>
      </c>
    </row>
    <row r="3006" spans="1:11" ht="42" customHeight="1">
      <c r="A3006" s="2" t="s">
        <v>6905</v>
      </c>
      <c r="B3006" s="2" t="s">
        <v>6906</v>
      </c>
      <c r="C3006" s="2" t="s">
        <v>17</v>
      </c>
      <c r="D3006" s="2" t="s">
        <v>18</v>
      </c>
      <c r="E3006" s="5">
        <v>-31119</v>
      </c>
      <c r="F3006" s="3" t="s">
        <v>136</v>
      </c>
      <c r="G3006" s="3" t="s">
        <v>704</v>
      </c>
      <c r="H3006" s="2" t="s">
        <v>62</v>
      </c>
      <c r="I3006" s="2" t="s">
        <v>6907</v>
      </c>
      <c r="J3006" s="3" t="str">
        <f>HYPERLINK("https://www.boe.es/gazeta/dias/1814/10/18/pdfs/GMD-1814-140.pdf#page=10","Abrir facsímil")</f>
        <v>Abrir facsímil</v>
      </c>
      <c r="K3006" s="3" t="s">
        <v>64</v>
      </c>
    </row>
    <row r="3007" spans="1:11" ht="42" customHeight="1">
      <c r="A3007" s="2" t="s">
        <v>6908</v>
      </c>
      <c r="B3007" s="2" t="s">
        <v>6909</v>
      </c>
      <c r="C3007" s="2" t="s">
        <v>38</v>
      </c>
      <c r="D3007" s="2" t="s">
        <v>39</v>
      </c>
      <c r="E3007" s="5">
        <v>-31194</v>
      </c>
      <c r="F3007" s="3" t="s">
        <v>333</v>
      </c>
      <c r="G3007" s="3" t="s">
        <v>57</v>
      </c>
      <c r="H3007" s="2" t="s">
        <v>62</v>
      </c>
      <c r="I3007" s="2" t="s">
        <v>6910</v>
      </c>
      <c r="J3007" s="3" t="str">
        <f>HYPERLINK("https://www.boe.es/gazeta/dias/1814/08/04/pdfs/GMD-1814-107.pdf#page=6","Abrir facsímil")</f>
        <v>Abrir facsímil</v>
      </c>
      <c r="K3007" s="3" t="s">
        <v>64</v>
      </c>
    </row>
    <row r="3008" spans="1:11" ht="42" customHeight="1">
      <c r="A3008" s="2" t="s">
        <v>6911</v>
      </c>
      <c r="B3008" s="2" t="s">
        <v>6912</v>
      </c>
      <c r="C3008" s="2" t="s">
        <v>17</v>
      </c>
      <c r="D3008" s="2" t="s">
        <v>18</v>
      </c>
      <c r="E3008" s="5">
        <v>-31308</v>
      </c>
      <c r="F3008" s="3" t="s">
        <v>210</v>
      </c>
      <c r="G3008" s="3" t="s">
        <v>52</v>
      </c>
      <c r="H3008" s="2" t="s">
        <v>62</v>
      </c>
      <c r="I3008" s="2" t="s">
        <v>6913</v>
      </c>
      <c r="J3008" s="3" t="str">
        <f>HYPERLINK("https://www.boe.es/gazeta/dias/1814/04/12/pdfs/GRE-1814-52.pdf#page=8","Abrir facsímil")</f>
        <v>Abrir facsímil</v>
      </c>
      <c r="K3008" s="3" t="s">
        <v>64</v>
      </c>
    </row>
    <row r="3009" spans="1:11" ht="42" customHeight="1">
      <c r="A3009" s="2" t="s">
        <v>6914</v>
      </c>
      <c r="B3009" s="2" t="s">
        <v>6915</v>
      </c>
      <c r="C3009" s="2" t="s">
        <v>38</v>
      </c>
      <c r="D3009" s="2" t="s">
        <v>39</v>
      </c>
      <c r="E3009" s="5">
        <v>-31381</v>
      </c>
      <c r="F3009" s="3" t="s">
        <v>989</v>
      </c>
      <c r="G3009" s="3" t="s">
        <v>20</v>
      </c>
      <c r="H3009" s="2" t="s">
        <v>62</v>
      </c>
      <c r="I3009" s="2" t="s">
        <v>6916</v>
      </c>
      <c r="J3009" s="3" t="str">
        <f>HYPERLINK("https://www.boe.es/gazeta/dias/1814/01/29/pdfs/GRE-1814-14.pdf#page=7","Abrir facsímil")</f>
        <v>Abrir facsímil</v>
      </c>
      <c r="K3009" s="3" t="s">
        <v>64</v>
      </c>
    </row>
    <row r="3010" spans="1:11" ht="42" customHeight="1">
      <c r="A3010" s="2" t="s">
        <v>6917</v>
      </c>
      <c r="B3010" s="2" t="s">
        <v>6917</v>
      </c>
      <c r="C3010" s="2" t="s">
        <v>38</v>
      </c>
      <c r="D3010" s="2" t="s">
        <v>39</v>
      </c>
      <c r="E3010" s="5">
        <v>-31276</v>
      </c>
      <c r="F3010" s="3" t="s">
        <v>494</v>
      </c>
      <c r="G3010" s="3" t="s">
        <v>87</v>
      </c>
      <c r="H3010" s="2" t="s">
        <v>62</v>
      </c>
      <c r="I3010" s="2" t="s">
        <v>6918</v>
      </c>
      <c r="J3010" s="3" t="str">
        <f>HYPERLINK("https://www.boe.es/gazeta/dias/1814/05/14/pdfs/GMD-1814-71.pdf#page=2","Abrir facsímil")</f>
        <v>Abrir facsímil</v>
      </c>
      <c r="K3010" s="3" t="s">
        <v>64</v>
      </c>
    </row>
    <row r="3011" spans="1:11" ht="42" customHeight="1">
      <c r="A3011" s="2" t="s">
        <v>6919</v>
      </c>
      <c r="B3011" s="2" t="s">
        <v>6920</v>
      </c>
      <c r="C3011" s="2" t="s">
        <v>38</v>
      </c>
      <c r="D3011" s="2" t="s">
        <v>39</v>
      </c>
      <c r="E3011" s="5">
        <v>-31208</v>
      </c>
      <c r="F3011" s="3" t="s">
        <v>509</v>
      </c>
      <c r="G3011" s="3" t="s">
        <v>20</v>
      </c>
      <c r="H3011" s="2" t="s">
        <v>62</v>
      </c>
      <c r="I3011" s="2" t="s">
        <v>6921</v>
      </c>
      <c r="J3011" s="3" t="str">
        <f>HYPERLINK("https://www.boe.es/gazeta/dias/1814/07/21/pdfs/GMD-1814-101.pdf#page=7","Abrir facsímil")</f>
        <v>Abrir facsímil</v>
      </c>
      <c r="K3011" s="3" t="s">
        <v>64</v>
      </c>
    </row>
    <row r="3012" spans="1:11" ht="42" customHeight="1">
      <c r="A3012" s="2" t="s">
        <v>6922</v>
      </c>
      <c r="B3012" s="2" t="s">
        <v>6923</v>
      </c>
      <c r="C3012" s="2" t="s">
        <v>38</v>
      </c>
      <c r="D3012" s="2" t="s">
        <v>39</v>
      </c>
      <c r="E3012" s="5">
        <v>-31133</v>
      </c>
      <c r="F3012" s="3" t="s">
        <v>184</v>
      </c>
      <c r="G3012" s="3" t="s">
        <v>20</v>
      </c>
      <c r="H3012" s="2" t="s">
        <v>62</v>
      </c>
      <c r="I3012" s="2" t="s">
        <v>6924</v>
      </c>
      <c r="J3012" s="3" t="str">
        <f>HYPERLINK("https://www.boe.es/gazeta/dias/1814/10/04/pdfs/GMD-1814-134.pdf#page=7","Abrir facsímil")</f>
        <v>Abrir facsímil</v>
      </c>
      <c r="K3012" s="3" t="s">
        <v>64</v>
      </c>
    </row>
    <row r="3013" spans="1:11" ht="42" customHeight="1">
      <c r="A3013" s="2" t="s">
        <v>6925</v>
      </c>
      <c r="B3013" s="2" t="s">
        <v>6926</v>
      </c>
      <c r="C3013" s="2" t="s">
        <v>105</v>
      </c>
      <c r="D3013" s="2" t="s">
        <v>18</v>
      </c>
      <c r="E3013" s="5">
        <v>-31082</v>
      </c>
      <c r="F3013" s="3" t="s">
        <v>535</v>
      </c>
      <c r="G3013" s="3" t="s">
        <v>52</v>
      </c>
      <c r="H3013" s="2" t="s">
        <v>62</v>
      </c>
      <c r="I3013" s="2" t="s">
        <v>6927</v>
      </c>
      <c r="J3013" s="3" t="str">
        <f>HYPERLINK("https://www.boe.es/gazeta/dias/1814/11/24/pdfs/GMD-1814-156.pdf#page=8","Abrir facsímil")</f>
        <v>Abrir facsímil</v>
      </c>
      <c r="K3013" s="3" t="s">
        <v>64</v>
      </c>
    </row>
    <row r="3014" spans="1:11" ht="42" customHeight="1">
      <c r="A3014" s="2" t="s">
        <v>6928</v>
      </c>
      <c r="B3014" s="2" t="s">
        <v>6929</v>
      </c>
      <c r="C3014" s="2" t="s">
        <v>309</v>
      </c>
      <c r="D3014" s="2" t="s">
        <v>18</v>
      </c>
      <c r="E3014" s="5">
        <v>-31348</v>
      </c>
      <c r="F3014" s="3" t="s">
        <v>898</v>
      </c>
      <c r="G3014" s="3" t="s">
        <v>961</v>
      </c>
      <c r="H3014" s="2" t="s">
        <v>62</v>
      </c>
      <c r="I3014" s="2" t="s">
        <v>6930</v>
      </c>
      <c r="J3014" s="3" t="str">
        <f>HYPERLINK("https://www.boe.es/gazeta/dias/1814/03/03/pdfs/GRE-1814-29.pdf#page=7","Abrir facsímil")</f>
        <v>Abrir facsímil</v>
      </c>
      <c r="K3014" s="3" t="s">
        <v>64</v>
      </c>
    </row>
    <row r="3015" spans="1:11" ht="42" customHeight="1">
      <c r="A3015" s="2" t="s">
        <v>6931</v>
      </c>
      <c r="B3015" s="2" t="s">
        <v>6932</v>
      </c>
      <c r="C3015" s="2" t="s">
        <v>38</v>
      </c>
      <c r="D3015" s="2" t="s">
        <v>39</v>
      </c>
      <c r="E3015" s="5">
        <v>-31231</v>
      </c>
      <c r="F3015" s="3" t="s">
        <v>861</v>
      </c>
      <c r="G3015" s="3" t="s">
        <v>322</v>
      </c>
      <c r="H3015" s="2" t="s">
        <v>62</v>
      </c>
      <c r="I3015" s="2" t="s">
        <v>6933</v>
      </c>
      <c r="J3015" s="3" t="str">
        <f>HYPERLINK("https://www.boe.es/gazeta/dias/1814/06/28/pdfs/GMD-1814-91.pdf#page=12","Abrir facsímil")</f>
        <v>Abrir facsímil</v>
      </c>
      <c r="K3015" s="3" t="s">
        <v>64</v>
      </c>
    </row>
    <row r="3016" spans="1:11" ht="42" customHeight="1">
      <c r="A3016" s="2" t="s">
        <v>6934</v>
      </c>
      <c r="B3016" s="2" t="s">
        <v>6934</v>
      </c>
      <c r="C3016" s="2" t="s">
        <v>17</v>
      </c>
      <c r="D3016" s="2" t="s">
        <v>18</v>
      </c>
      <c r="E3016" s="5">
        <v>-31077</v>
      </c>
      <c r="F3016" s="3" t="s">
        <v>414</v>
      </c>
      <c r="G3016" s="3" t="s">
        <v>57</v>
      </c>
      <c r="H3016" s="2" t="s">
        <v>62</v>
      </c>
      <c r="I3016" s="2" t="s">
        <v>6935</v>
      </c>
      <c r="J3016" s="3" t="str">
        <f>HYPERLINK("https://www.boe.es/gazeta/dias/1814/11/29/pdfs/GMD-1814-158.pdf#page=6","Abrir facsímil")</f>
        <v>Abrir facsímil</v>
      </c>
      <c r="K3016" s="3" t="s">
        <v>64</v>
      </c>
    </row>
    <row r="3017" spans="1:11" ht="42" customHeight="1">
      <c r="A3017" s="2" t="s">
        <v>6936</v>
      </c>
      <c r="B3017" s="2" t="s">
        <v>6937</v>
      </c>
      <c r="C3017" s="2" t="s">
        <v>26</v>
      </c>
      <c r="D3017" s="2" t="s">
        <v>27</v>
      </c>
      <c r="E3017" s="5">
        <v>-31238</v>
      </c>
      <c r="F3017" s="3" t="s">
        <v>127</v>
      </c>
      <c r="G3017" s="3" t="s">
        <v>20</v>
      </c>
      <c r="H3017" s="2" t="s">
        <v>62</v>
      </c>
      <c r="I3017" s="2" t="s">
        <v>6938</v>
      </c>
      <c r="J3017" s="3" t="str">
        <f>HYPERLINK("https://www.boe.es/gazeta/dias/1814/06/21/pdfs/GMD-1814-88.pdf#page=7","Abrir facsímil")</f>
        <v>Abrir facsímil</v>
      </c>
      <c r="K3017" s="3" t="s">
        <v>64</v>
      </c>
    </row>
    <row r="3018" spans="1:11" ht="42" customHeight="1">
      <c r="A3018" s="2" t="s">
        <v>6939</v>
      </c>
      <c r="B3018" s="2" t="s">
        <v>6940</v>
      </c>
      <c r="C3018" s="2" t="s">
        <v>17</v>
      </c>
      <c r="D3018" s="2" t="s">
        <v>18</v>
      </c>
      <c r="E3018" s="5">
        <v>-31136</v>
      </c>
      <c r="F3018" s="3" t="s">
        <v>956</v>
      </c>
      <c r="G3018" s="3" t="s">
        <v>1254</v>
      </c>
      <c r="H3018" s="2" t="s">
        <v>62</v>
      </c>
      <c r="I3018" s="2" t="s">
        <v>6941</v>
      </c>
      <c r="J3018" s="3" t="str">
        <f>HYPERLINK("https://www.boe.es/gazeta/dias/1814/10/01/pdfs/GMD-1814-133.pdf#page=9","Abrir facsímil")</f>
        <v>Abrir facsímil</v>
      </c>
      <c r="K3018" s="3" t="s">
        <v>64</v>
      </c>
    </row>
    <row r="3019" spans="1:11" ht="42" customHeight="1">
      <c r="A3019" s="2" t="s">
        <v>6942</v>
      </c>
      <c r="B3019" s="2" t="s">
        <v>6943</v>
      </c>
      <c r="C3019" s="2" t="s">
        <v>38</v>
      </c>
      <c r="D3019" s="2" t="s">
        <v>39</v>
      </c>
      <c r="E3019" s="5">
        <v>-31404</v>
      </c>
      <c r="F3019" s="3" t="s">
        <v>630</v>
      </c>
      <c r="G3019" s="3" t="s">
        <v>57</v>
      </c>
      <c r="H3019" s="2" t="s">
        <v>21</v>
      </c>
      <c r="I3019" s="2" t="s">
        <v>6944</v>
      </c>
      <c r="J3019" s="3" t="str">
        <f>HYPERLINK("https://www.boe.es/gazeta/dias/1814/01/06/pdfs/GRE-1814-3.pdf#page=6","Abrir facsímil")</f>
        <v>Abrir facsímil</v>
      </c>
      <c r="K3019" s="3" t="s">
        <v>23</v>
      </c>
    </row>
    <row r="3020" spans="1:11" ht="42" customHeight="1">
      <c r="A3020" s="2" t="s">
        <v>6945</v>
      </c>
      <c r="B3020" s="2" t="s">
        <v>6945</v>
      </c>
      <c r="C3020" s="2" t="s">
        <v>38</v>
      </c>
      <c r="D3020" s="2" t="s">
        <v>39</v>
      </c>
      <c r="E3020" s="5">
        <v>-31341</v>
      </c>
      <c r="F3020" s="3" t="s">
        <v>360</v>
      </c>
      <c r="G3020" s="3" t="s">
        <v>99</v>
      </c>
      <c r="H3020" s="2" t="s">
        <v>62</v>
      </c>
      <c r="I3020" s="2" t="s">
        <v>6946</v>
      </c>
      <c r="J3020" s="3" t="str">
        <f>HYPERLINK("https://www.boe.es/gazeta/dias/1814/03/10/pdfs/GRE-1814-33.pdf#page=5","Abrir facsímil")</f>
        <v>Abrir facsímil</v>
      </c>
      <c r="K3020" s="3" t="s">
        <v>64</v>
      </c>
    </row>
    <row r="3021" spans="1:11" ht="42" customHeight="1">
      <c r="A3021" s="2" t="s">
        <v>6947</v>
      </c>
      <c r="B3021" s="2" t="s">
        <v>6948</v>
      </c>
      <c r="C3021" s="2" t="s">
        <v>38</v>
      </c>
      <c r="D3021" s="2" t="s">
        <v>39</v>
      </c>
      <c r="E3021" s="5">
        <v>-31299</v>
      </c>
      <c r="F3021" s="3" t="s">
        <v>71</v>
      </c>
      <c r="G3021" s="3" t="s">
        <v>52</v>
      </c>
      <c r="H3021" s="2" t="s">
        <v>62</v>
      </c>
      <c r="I3021" s="2" t="s">
        <v>6949</v>
      </c>
      <c r="J3021" s="3" t="str">
        <f>HYPERLINK("https://www.boe.es/gazeta/dias/1814/04/21/pdfs/GRE-1814-57.pdf#page=8","Abrir facsímil")</f>
        <v>Abrir facsímil</v>
      </c>
      <c r="K3021" s="3" t="s">
        <v>64</v>
      </c>
    </row>
    <row r="3022" spans="1:11" ht="42" customHeight="1">
      <c r="A3022" s="2" t="s">
        <v>6950</v>
      </c>
      <c r="B3022" s="2" t="s">
        <v>6950</v>
      </c>
      <c r="C3022" s="2" t="s">
        <v>17</v>
      </c>
      <c r="D3022" s="2" t="s">
        <v>18</v>
      </c>
      <c r="E3022" s="5">
        <v>-31089</v>
      </c>
      <c r="F3022" s="3" t="s">
        <v>531</v>
      </c>
      <c r="G3022" s="3" t="s">
        <v>107</v>
      </c>
      <c r="H3022" s="2" t="s">
        <v>62</v>
      </c>
      <c r="I3022" s="2" t="s">
        <v>6951</v>
      </c>
      <c r="J3022" s="3" t="str">
        <f>HYPERLINK("https://www.boe.es/gazeta/dias/1814/11/17/pdfs/GMD-1814-153.pdf#page=1","Abrir facsímil")</f>
        <v>Abrir facsímil</v>
      </c>
      <c r="K3022" s="3" t="s">
        <v>64</v>
      </c>
    </row>
    <row r="3023" spans="1:11" ht="42" customHeight="1">
      <c r="A3023" s="2" t="s">
        <v>6952</v>
      </c>
      <c r="B3023" s="2" t="s">
        <v>6953</v>
      </c>
      <c r="C3023" s="2" t="s">
        <v>38</v>
      </c>
      <c r="D3023" s="2" t="s">
        <v>39</v>
      </c>
      <c r="E3023" s="5">
        <v>-31192</v>
      </c>
      <c r="F3023" s="3" t="s">
        <v>388</v>
      </c>
      <c r="G3023" s="3" t="s">
        <v>20</v>
      </c>
      <c r="H3023" s="2" t="s">
        <v>62</v>
      </c>
      <c r="I3023" s="2" t="s">
        <v>6954</v>
      </c>
      <c r="J3023" s="3" t="str">
        <f>HYPERLINK("https://www.boe.es/gazeta/dias/1814/08/06/pdfs/GMD-1814-108.pdf#page=7","Abrir facsímil")</f>
        <v>Abrir facsímil</v>
      </c>
      <c r="K3023" s="3" t="s">
        <v>64</v>
      </c>
    </row>
    <row r="3024" spans="1:11" ht="42" customHeight="1">
      <c r="A3024" s="2" t="s">
        <v>6955</v>
      </c>
      <c r="B3024" s="2" t="s">
        <v>6955</v>
      </c>
      <c r="C3024" s="2" t="s">
        <v>38</v>
      </c>
      <c r="D3024" s="2" t="s">
        <v>39</v>
      </c>
      <c r="E3024" s="5">
        <v>-31346</v>
      </c>
      <c r="F3024" s="3" t="s">
        <v>78</v>
      </c>
      <c r="G3024" s="3" t="s">
        <v>3031</v>
      </c>
      <c r="H3024" s="2" t="s">
        <v>62</v>
      </c>
      <c r="I3024" s="2" t="s">
        <v>6956</v>
      </c>
      <c r="J3024" s="3" t="str">
        <f>HYPERLINK("https://www.boe.es/gazeta/dias/1814/03/05/pdfs/GRE-1814-30.pdf#page=5","Abrir facsímil")</f>
        <v>Abrir facsímil</v>
      </c>
      <c r="K3024" s="3" t="s">
        <v>64</v>
      </c>
    </row>
    <row r="3025" spans="1:11" ht="42" customHeight="1">
      <c r="A3025" s="2" t="s">
        <v>6957</v>
      </c>
      <c r="B3025" s="2" t="s">
        <v>6958</v>
      </c>
      <c r="C3025" s="2" t="s">
        <v>26</v>
      </c>
      <c r="D3025" s="2" t="s">
        <v>27</v>
      </c>
      <c r="E3025" s="5">
        <v>-31367</v>
      </c>
      <c r="F3025" s="3" t="s">
        <v>857</v>
      </c>
      <c r="G3025" s="3" t="s">
        <v>52</v>
      </c>
      <c r="H3025" s="2" t="s">
        <v>62</v>
      </c>
      <c r="I3025" s="2" t="s">
        <v>6959</v>
      </c>
      <c r="J3025" s="3" t="str">
        <f>HYPERLINK("https://www.boe.es/gazeta/dias/1814/02/12/pdfs/GRE-1814-20.pdf#page=8","Abrir facsímil")</f>
        <v>Abrir facsímil</v>
      </c>
      <c r="K3025" s="3" t="s">
        <v>64</v>
      </c>
    </row>
    <row r="3026" spans="1:11" ht="42" customHeight="1">
      <c r="A3026" s="2" t="s">
        <v>6960</v>
      </c>
      <c r="B3026" s="2" t="s">
        <v>6960</v>
      </c>
      <c r="C3026" s="2" t="s">
        <v>38</v>
      </c>
      <c r="D3026" s="2" t="s">
        <v>39</v>
      </c>
      <c r="E3026" s="5">
        <v>-31353</v>
      </c>
      <c r="F3026" s="3" t="s">
        <v>247</v>
      </c>
      <c r="G3026" s="3" t="s">
        <v>1617</v>
      </c>
      <c r="H3026" s="2" t="s">
        <v>62</v>
      </c>
      <c r="I3026" s="2" t="s">
        <v>6961</v>
      </c>
      <c r="J3026" s="3" t="str">
        <f>HYPERLINK("https://www.boe.es/gazeta/dias/1814/02/26/pdfs/GRE-1814-27.pdf#page=3","Abrir facsímil")</f>
        <v>Abrir facsímil</v>
      </c>
      <c r="K3026" s="3" t="s">
        <v>64</v>
      </c>
    </row>
    <row r="3027" spans="1:11" ht="42" customHeight="1">
      <c r="A3027" s="2" t="s">
        <v>6962</v>
      </c>
      <c r="B3027" s="2" t="s">
        <v>6962</v>
      </c>
      <c r="C3027" s="2" t="s">
        <v>38</v>
      </c>
      <c r="D3027" s="2" t="s">
        <v>39</v>
      </c>
      <c r="E3027" s="5">
        <v>-31353</v>
      </c>
      <c r="F3027" s="3" t="s">
        <v>247</v>
      </c>
      <c r="G3027" s="3" t="s">
        <v>2040</v>
      </c>
      <c r="H3027" s="2" t="s">
        <v>62</v>
      </c>
      <c r="I3027" s="2" t="s">
        <v>6963</v>
      </c>
      <c r="J3027" s="3" t="str">
        <f>HYPERLINK("https://www.boe.es/gazeta/dias/1814/02/26/pdfs/GRE-1814-27.pdf#page=2","Abrir facsímil")</f>
        <v>Abrir facsímil</v>
      </c>
      <c r="K3027" s="3" t="s">
        <v>64</v>
      </c>
    </row>
    <row r="3028" spans="1:11" ht="42" customHeight="1">
      <c r="A3028" s="2" t="s">
        <v>6964</v>
      </c>
      <c r="B3028" s="2" t="s">
        <v>6964</v>
      </c>
      <c r="C3028" s="2" t="s">
        <v>309</v>
      </c>
      <c r="D3028" s="2" t="s">
        <v>18</v>
      </c>
      <c r="E3028" s="5">
        <v>-31271</v>
      </c>
      <c r="F3028" s="3" t="s">
        <v>243</v>
      </c>
      <c r="G3028" s="3" t="s">
        <v>87</v>
      </c>
      <c r="H3028" s="2" t="s">
        <v>62</v>
      </c>
      <c r="I3028" s="2" t="s">
        <v>6965</v>
      </c>
      <c r="J3028" s="3" t="str">
        <f>HYPERLINK("https://www.boe.es/gazeta/dias/1814/05/19/pdfs/GMD-1814-74.pdf#page=2","Abrir facsímil")</f>
        <v>Abrir facsímil</v>
      </c>
      <c r="K3028" s="3" t="s">
        <v>64</v>
      </c>
    </row>
    <row r="3029" spans="1:11" ht="42" customHeight="1">
      <c r="A3029" s="2" t="s">
        <v>6966</v>
      </c>
      <c r="B3029" s="2" t="s">
        <v>6967</v>
      </c>
      <c r="C3029" s="2" t="s">
        <v>38</v>
      </c>
      <c r="D3029" s="2" t="s">
        <v>39</v>
      </c>
      <c r="E3029" s="5">
        <v>-31068</v>
      </c>
      <c r="F3029" s="3" t="s">
        <v>548</v>
      </c>
      <c r="G3029" s="3" t="s">
        <v>20</v>
      </c>
      <c r="H3029" s="2" t="s">
        <v>62</v>
      </c>
      <c r="I3029" s="2" t="s">
        <v>6968</v>
      </c>
      <c r="J3029" s="3" t="str">
        <f>HYPERLINK("https://www.boe.es/gazeta/dias/1814/12/08/pdfs/GMD-1814-162.pdf#page=7","Abrir facsímil")</f>
        <v>Abrir facsímil</v>
      </c>
      <c r="K3029" s="3" t="s">
        <v>64</v>
      </c>
    </row>
    <row r="3030" spans="1:11" ht="42" customHeight="1">
      <c r="A3030" s="2" t="s">
        <v>6969</v>
      </c>
      <c r="B3030" s="2" t="s">
        <v>6970</v>
      </c>
      <c r="C3030" s="2" t="s">
        <v>38</v>
      </c>
      <c r="D3030" s="2" t="s">
        <v>39</v>
      </c>
      <c r="E3030" s="5">
        <v>-31252</v>
      </c>
      <c r="F3030" s="3" t="s">
        <v>364</v>
      </c>
      <c r="G3030" s="3" t="s">
        <v>1437</v>
      </c>
      <c r="H3030" s="2" t="s">
        <v>62</v>
      </c>
      <c r="I3030" s="2" t="s">
        <v>6971</v>
      </c>
      <c r="J3030" s="3" t="str">
        <f>HYPERLINK("https://www.boe.es/gazeta/dias/1814/06/07/pdfs/GMD-1814-82.pdf#page=11","Abrir facsímil")</f>
        <v>Abrir facsímil</v>
      </c>
      <c r="K3030" s="3" t="s">
        <v>64</v>
      </c>
    </row>
    <row r="3031" spans="1:11" ht="42" customHeight="1">
      <c r="A3031" s="2" t="s">
        <v>6972</v>
      </c>
      <c r="B3031" s="2" t="s">
        <v>6973</v>
      </c>
      <c r="C3031" s="2" t="s">
        <v>38</v>
      </c>
      <c r="D3031" s="2" t="s">
        <v>39</v>
      </c>
      <c r="E3031" s="5">
        <v>-31112</v>
      </c>
      <c r="F3031" s="3" t="s">
        <v>707</v>
      </c>
      <c r="G3031" s="3" t="s">
        <v>20</v>
      </c>
      <c r="H3031" s="2" t="s">
        <v>21</v>
      </c>
      <c r="I3031" s="2" t="s">
        <v>6974</v>
      </c>
      <c r="J3031" s="3" t="str">
        <f>HYPERLINK("https://www.boe.es/gazeta/dias/1814/10/25/pdfs/GMD-1814-143.pdf#page=7","Abrir facsímil")</f>
        <v>Abrir facsímil</v>
      </c>
      <c r="K3031" s="3" t="s">
        <v>23</v>
      </c>
    </row>
    <row r="3032" spans="1:11" ht="42" customHeight="1">
      <c r="A3032" s="2" t="s">
        <v>6975</v>
      </c>
      <c r="B3032" s="2" t="s">
        <v>6976</v>
      </c>
      <c r="C3032" s="2" t="s">
        <v>38</v>
      </c>
      <c r="D3032" s="2" t="s">
        <v>39</v>
      </c>
      <c r="E3032" s="5">
        <v>-31140</v>
      </c>
      <c r="F3032" s="3" t="s">
        <v>525</v>
      </c>
      <c r="G3032" s="3" t="s">
        <v>87</v>
      </c>
      <c r="H3032" s="2" t="s">
        <v>62</v>
      </c>
      <c r="I3032" s="2" t="s">
        <v>6977</v>
      </c>
      <c r="J3032" s="3" t="str">
        <f>HYPERLINK("https://www.boe.es/gazeta/dias/1814/09/27/pdfs/GMD-1814-131.pdf#page=2","Abrir facsímil")</f>
        <v>Abrir facsímil</v>
      </c>
      <c r="K3032" s="3" t="s">
        <v>64</v>
      </c>
    </row>
    <row r="3033" spans="1:11" ht="42" customHeight="1">
      <c r="A3033" s="2" t="s">
        <v>6978</v>
      </c>
      <c r="B3033" s="2" t="s">
        <v>6979</v>
      </c>
      <c r="C3033" s="2" t="s">
        <v>38</v>
      </c>
      <c r="D3033" s="2" t="s">
        <v>39</v>
      </c>
      <c r="E3033" s="5">
        <v>-31122</v>
      </c>
      <c r="F3033" s="3" t="s">
        <v>28</v>
      </c>
      <c r="G3033" s="3" t="s">
        <v>57</v>
      </c>
      <c r="H3033" s="2" t="s">
        <v>62</v>
      </c>
      <c r="I3033" s="2" t="s">
        <v>6980</v>
      </c>
      <c r="J3033" s="3" t="str">
        <f>HYPERLINK("https://www.boe.es/gazeta/dias/1814/10/15/pdfs/GMD-1814-139.pdf#page=6","Abrir facsímil")</f>
        <v>Abrir facsímil</v>
      </c>
      <c r="K3033" s="3" t="s">
        <v>64</v>
      </c>
    </row>
    <row r="3034" spans="1:11" ht="42" customHeight="1">
      <c r="A3034" s="2" t="s">
        <v>6981</v>
      </c>
      <c r="B3034" s="2" t="s">
        <v>6982</v>
      </c>
      <c r="C3034" s="2" t="s">
        <v>45</v>
      </c>
      <c r="D3034" s="2" t="s">
        <v>18</v>
      </c>
      <c r="E3034" s="5">
        <v>-31131</v>
      </c>
      <c r="F3034" s="3" t="s">
        <v>132</v>
      </c>
      <c r="G3034" s="3" t="s">
        <v>4347</v>
      </c>
      <c r="H3034" s="2" t="s">
        <v>62</v>
      </c>
      <c r="I3034" s="2" t="s">
        <v>6983</v>
      </c>
      <c r="J3034" s="3" t="str">
        <f>HYPERLINK("https://www.boe.es/gazeta/dias/1814/10/06/pdfs/GMD-1814-135.pdf#page=8","Abrir facsímil")</f>
        <v>Abrir facsímil</v>
      </c>
      <c r="K3034" s="3" t="s">
        <v>64</v>
      </c>
    </row>
    <row r="3035" spans="1:11" ht="42" customHeight="1">
      <c r="A3035" s="2" t="s">
        <v>6984</v>
      </c>
      <c r="B3035" s="2" t="s">
        <v>6985</v>
      </c>
      <c r="C3035" s="2" t="s">
        <v>26</v>
      </c>
      <c r="D3035" s="2" t="s">
        <v>27</v>
      </c>
      <c r="E3035" s="5">
        <v>-31292</v>
      </c>
      <c r="F3035" s="3" t="s">
        <v>557</v>
      </c>
      <c r="G3035" s="3" t="s">
        <v>52</v>
      </c>
      <c r="H3035" s="2" t="s">
        <v>62</v>
      </c>
      <c r="I3035" s="2" t="s">
        <v>6986</v>
      </c>
      <c r="J3035" s="3" t="str">
        <f>HYPERLINK("https://www.boe.es/gazeta/dias/1814/04/28/pdfs/GRE-1814-63.pdf#page=8","Abrir facsímil")</f>
        <v>Abrir facsímil</v>
      </c>
      <c r="K3035" s="3" t="s">
        <v>64</v>
      </c>
    </row>
    <row r="3036" spans="1:11" ht="42" customHeight="1">
      <c r="A3036" s="2" t="s">
        <v>6987</v>
      </c>
      <c r="B3036" s="2" t="s">
        <v>6987</v>
      </c>
      <c r="C3036" s="2" t="s">
        <v>38</v>
      </c>
      <c r="D3036" s="2" t="s">
        <v>39</v>
      </c>
      <c r="E3036" s="5">
        <v>-31248</v>
      </c>
      <c r="F3036" s="3" t="s">
        <v>1123</v>
      </c>
      <c r="G3036" s="3" t="s">
        <v>87</v>
      </c>
      <c r="H3036" s="2" t="s">
        <v>62</v>
      </c>
      <c r="I3036" s="2" t="s">
        <v>6988</v>
      </c>
      <c r="J3036" s="3" t="str">
        <f>HYPERLINK("https://www.boe.es/gazeta/dias/1814/06/11/pdfs/GMD-1814-84.pdf#page=2","Abrir facsímil")</f>
        <v>Abrir facsímil</v>
      </c>
      <c r="K3036" s="3" t="s">
        <v>64</v>
      </c>
    </row>
    <row r="3037" spans="1:11" ht="42" customHeight="1">
      <c r="A3037" s="2" t="s">
        <v>6989</v>
      </c>
      <c r="B3037" s="2" t="s">
        <v>6989</v>
      </c>
      <c r="C3037" s="2" t="s">
        <v>38</v>
      </c>
      <c r="D3037" s="2" t="s">
        <v>39</v>
      </c>
      <c r="E3037" s="5">
        <v>-31371</v>
      </c>
      <c r="F3037" s="3" t="s">
        <v>476</v>
      </c>
      <c r="G3037" s="3" t="s">
        <v>87</v>
      </c>
      <c r="H3037" s="2" t="s">
        <v>62</v>
      </c>
      <c r="I3037" s="2" t="s">
        <v>6990</v>
      </c>
      <c r="J3037" s="3" t="str">
        <f>HYPERLINK("https://www.boe.es/gazeta/dias/1814/02/08/pdfs/GRE-1814-31.pdf#page=2","Abrir facsímil")</f>
        <v>Abrir facsímil</v>
      </c>
      <c r="K3037" s="3" t="s">
        <v>64</v>
      </c>
    </row>
    <row r="3038" spans="1:11" ht="42" customHeight="1">
      <c r="A3038" s="2" t="s">
        <v>6989</v>
      </c>
      <c r="B3038" s="2" t="s">
        <v>6989</v>
      </c>
      <c r="C3038" s="2" t="s">
        <v>38</v>
      </c>
      <c r="D3038" s="2" t="s">
        <v>39</v>
      </c>
      <c r="E3038" s="5">
        <v>-31343</v>
      </c>
      <c r="F3038" s="3" t="s">
        <v>476</v>
      </c>
      <c r="G3038" s="3" t="s">
        <v>87</v>
      </c>
      <c r="H3038" s="2" t="s">
        <v>62</v>
      </c>
      <c r="I3038" s="2" t="s">
        <v>6990</v>
      </c>
      <c r="J3038" s="3" t="str">
        <f>HYPERLINK("https://www.boe.es/gazeta/dias/1814/03/08/pdfs/GRE-1814-31.pdf#page=2","Abrir facsímil")</f>
        <v>Abrir facsímil</v>
      </c>
      <c r="K3038" s="3" t="s">
        <v>64</v>
      </c>
    </row>
    <row r="3039" spans="1:11" ht="42" customHeight="1">
      <c r="A3039" s="2" t="s">
        <v>6991</v>
      </c>
      <c r="B3039" s="2" t="s">
        <v>6991</v>
      </c>
      <c r="C3039" s="2" t="s">
        <v>38</v>
      </c>
      <c r="D3039" s="2" t="s">
        <v>39</v>
      </c>
      <c r="E3039" s="5">
        <v>-31124</v>
      </c>
      <c r="F3039" s="3" t="s">
        <v>383</v>
      </c>
      <c r="G3039" s="3" t="s">
        <v>574</v>
      </c>
      <c r="H3039" s="2" t="s">
        <v>62</v>
      </c>
      <c r="I3039" s="2" t="s">
        <v>6992</v>
      </c>
      <c r="J3039" s="3" t="str">
        <f>HYPERLINK("https://www.boe.es/gazeta/dias/1814/10/13/pdfs/GMD-1814-138.pdf#page=10","Abrir facsímil")</f>
        <v>Abrir facsímil</v>
      </c>
      <c r="K3039" s="3" t="s">
        <v>64</v>
      </c>
    </row>
    <row r="3040" spans="1:11" ht="42" customHeight="1">
      <c r="A3040" s="2" t="s">
        <v>6993</v>
      </c>
      <c r="B3040" s="2" t="s">
        <v>6994</v>
      </c>
      <c r="C3040" s="2" t="s">
        <v>45</v>
      </c>
      <c r="D3040" s="2" t="s">
        <v>18</v>
      </c>
      <c r="E3040" s="5">
        <v>-31129</v>
      </c>
      <c r="F3040" s="3" t="s">
        <v>418</v>
      </c>
      <c r="G3040" s="3" t="s">
        <v>52</v>
      </c>
      <c r="H3040" s="2" t="s">
        <v>62</v>
      </c>
      <c r="I3040" s="2" t="s">
        <v>6995</v>
      </c>
      <c r="J3040" s="3" t="str">
        <f>HYPERLINK("https://www.boe.es/gazeta/dias/1814/10/08/pdfs/GMD-1814-136.pdf#page=8","Abrir facsímil")</f>
        <v>Abrir facsímil</v>
      </c>
      <c r="K3040" s="3" t="s">
        <v>64</v>
      </c>
    </row>
    <row r="3041" spans="1:11" ht="42" customHeight="1">
      <c r="A3041" s="2" t="s">
        <v>6996</v>
      </c>
      <c r="B3041" s="2" t="s">
        <v>6997</v>
      </c>
      <c r="C3041" s="2" t="s">
        <v>45</v>
      </c>
      <c r="D3041" s="2" t="s">
        <v>18</v>
      </c>
      <c r="E3041" s="5">
        <v>-31173</v>
      </c>
      <c r="F3041" s="3" t="s">
        <v>46</v>
      </c>
      <c r="G3041" s="3" t="s">
        <v>20</v>
      </c>
      <c r="H3041" s="2" t="s">
        <v>62</v>
      </c>
      <c r="I3041" s="2" t="s">
        <v>6998</v>
      </c>
      <c r="J3041" s="3" t="str">
        <f>HYPERLINK("https://www.boe.es/gazeta/dias/1814/08/25/pdfs/GMD-1814-116.pdf#page=7","Abrir facsímil")</f>
        <v>Abrir facsímil</v>
      </c>
      <c r="K3041" s="3" t="s">
        <v>64</v>
      </c>
    </row>
    <row r="3042" spans="1:11" ht="42" customHeight="1">
      <c r="A3042" s="2" t="s">
        <v>6999</v>
      </c>
      <c r="B3042" s="2" t="s">
        <v>7000</v>
      </c>
      <c r="C3042" s="2" t="s">
        <v>26</v>
      </c>
      <c r="D3042" s="2" t="s">
        <v>27</v>
      </c>
      <c r="E3042" s="5">
        <v>-31399</v>
      </c>
      <c r="F3042" s="3" t="s">
        <v>218</v>
      </c>
      <c r="G3042" s="3" t="s">
        <v>107</v>
      </c>
      <c r="H3042" s="2" t="s">
        <v>62</v>
      </c>
      <c r="I3042" s="2" t="s">
        <v>7001</v>
      </c>
      <c r="J3042" s="3" t="str">
        <f>HYPERLINK("https://www.boe.es/gazeta/dias/1814/01/11/pdfs/GRE-1814-6.pdf#page=1","Abrir facsímil")</f>
        <v>Abrir facsímil</v>
      </c>
      <c r="K3042" s="3" t="s">
        <v>64</v>
      </c>
    </row>
    <row r="3043" spans="1:11" ht="42" customHeight="1">
      <c r="A3043" s="2" t="s">
        <v>7002</v>
      </c>
      <c r="B3043" s="2" t="s">
        <v>7002</v>
      </c>
      <c r="C3043" s="2" t="s">
        <v>144</v>
      </c>
      <c r="D3043" s="2" t="s">
        <v>18</v>
      </c>
      <c r="E3043" s="5">
        <v>-31138</v>
      </c>
      <c r="F3043" s="3" t="s">
        <v>1363</v>
      </c>
      <c r="G3043" s="3" t="s">
        <v>107</v>
      </c>
      <c r="H3043" s="2" t="s">
        <v>62</v>
      </c>
      <c r="I3043" s="2" t="s">
        <v>7003</v>
      </c>
      <c r="J3043" s="3" t="str">
        <f>HYPERLINK("https://www.boe.es/gazeta/dias/1814/09/29/pdfs/GMD-1814-132.pdf#page=1","Abrir facsímil")</f>
        <v>Abrir facsímil</v>
      </c>
      <c r="K3043" s="3" t="s">
        <v>64</v>
      </c>
    </row>
    <row r="3044" spans="1:11" ht="42" customHeight="1">
      <c r="A3044" s="2" t="s">
        <v>7004</v>
      </c>
      <c r="B3044" s="2" t="s">
        <v>7005</v>
      </c>
      <c r="C3044" s="2" t="s">
        <v>38</v>
      </c>
      <c r="D3044" s="2" t="s">
        <v>314</v>
      </c>
      <c r="E3044" s="5">
        <v>-31341</v>
      </c>
      <c r="F3044" s="3" t="s">
        <v>354</v>
      </c>
      <c r="G3044" s="3" t="s">
        <v>107</v>
      </c>
      <c r="H3044" s="2" t="s">
        <v>62</v>
      </c>
      <c r="I3044" s="2" t="s">
        <v>7006</v>
      </c>
      <c r="J3044" s="3" t="str">
        <f>HYPERLINK("https://www.boe.es/gazeta/dias/1814/03/10/pdfs/GRE-1814-34E.pdf#page=1","Abrir facsímil")</f>
        <v>Abrir facsímil</v>
      </c>
      <c r="K3044" s="3" t="s">
        <v>64</v>
      </c>
    </row>
    <row r="3045" spans="1:11" ht="42" customHeight="1">
      <c r="A3045" s="2" t="s">
        <v>7007</v>
      </c>
      <c r="B3045" s="2" t="s">
        <v>7008</v>
      </c>
      <c r="C3045" s="2" t="s">
        <v>38</v>
      </c>
      <c r="D3045" s="2" t="s">
        <v>39</v>
      </c>
      <c r="E3045" s="5">
        <v>-31194</v>
      </c>
      <c r="F3045" s="3" t="s">
        <v>333</v>
      </c>
      <c r="G3045" s="3" t="s">
        <v>57</v>
      </c>
      <c r="H3045" s="2" t="s">
        <v>62</v>
      </c>
      <c r="I3045" s="2" t="s">
        <v>7009</v>
      </c>
      <c r="J3045" s="3" t="str">
        <f>HYPERLINK("https://www.boe.es/gazeta/dias/1814/08/04/pdfs/GMD-1814-107.pdf#page=6","Abrir facsímil")</f>
        <v>Abrir facsímil</v>
      </c>
      <c r="K3045" s="3" t="s">
        <v>64</v>
      </c>
    </row>
    <row r="3046" spans="1:11" ht="42" customHeight="1">
      <c r="A3046" s="2" t="s">
        <v>7010</v>
      </c>
      <c r="B3046" s="2" t="s">
        <v>7011</v>
      </c>
      <c r="C3046" s="2" t="s">
        <v>17</v>
      </c>
      <c r="D3046" s="2" t="s">
        <v>18</v>
      </c>
      <c r="E3046" s="5">
        <v>-31399</v>
      </c>
      <c r="F3046" s="3" t="s">
        <v>218</v>
      </c>
      <c r="G3046" s="3" t="s">
        <v>219</v>
      </c>
      <c r="H3046" s="2" t="s">
        <v>21</v>
      </c>
      <c r="I3046" s="2" t="s">
        <v>7012</v>
      </c>
      <c r="J3046" s="3" t="str">
        <f>HYPERLINK("https://www.boe.es/gazeta/dias/1814/01/11/pdfs/GRE-1814-6.pdf#page=8","Abrir facsímil")</f>
        <v>Abrir facsímil</v>
      </c>
      <c r="K3046" s="3" t="s">
        <v>23</v>
      </c>
    </row>
    <row r="3047" spans="1:11" ht="42" customHeight="1">
      <c r="A3047" s="2" t="s">
        <v>7013</v>
      </c>
      <c r="B3047" s="2" t="s">
        <v>7014</v>
      </c>
      <c r="C3047" s="2" t="s">
        <v>38</v>
      </c>
      <c r="D3047" s="2" t="s">
        <v>39</v>
      </c>
      <c r="E3047" s="5">
        <v>-31206</v>
      </c>
      <c r="F3047" s="3" t="s">
        <v>1196</v>
      </c>
      <c r="G3047" s="3" t="s">
        <v>3331</v>
      </c>
      <c r="H3047" s="2" t="s">
        <v>62</v>
      </c>
      <c r="I3047" s="2" t="s">
        <v>7015</v>
      </c>
      <c r="J3047" s="3" t="str">
        <f>HYPERLINK("https://www.boe.es/gazeta/dias/1814/07/23/pdfs/GMD-1814-102.pdf#page=6","Abrir facsímil")</f>
        <v>Abrir facsímil</v>
      </c>
      <c r="K3047" s="3" t="s">
        <v>64</v>
      </c>
    </row>
    <row r="3048" spans="1:11" ht="42" customHeight="1">
      <c r="A3048" s="2" t="s">
        <v>7016</v>
      </c>
      <c r="B3048" s="2" t="s">
        <v>7016</v>
      </c>
      <c r="C3048" s="2" t="s">
        <v>38</v>
      </c>
      <c r="D3048" s="2" t="s">
        <v>39</v>
      </c>
      <c r="E3048" s="5">
        <v>-31399</v>
      </c>
      <c r="F3048" s="3" t="s">
        <v>218</v>
      </c>
      <c r="G3048" s="3" t="s">
        <v>219</v>
      </c>
      <c r="H3048" s="2" t="s">
        <v>62</v>
      </c>
      <c r="I3048" s="2" t="s">
        <v>7017</v>
      </c>
      <c r="J3048" s="3" t="str">
        <f>HYPERLINK("https://www.boe.es/gazeta/dias/1814/01/11/pdfs/GRE-1814-6.pdf#page=8","Abrir facsímil")</f>
        <v>Abrir facsímil</v>
      </c>
      <c r="K3048" s="3" t="s">
        <v>64</v>
      </c>
    </row>
    <row r="3049" spans="1:11" ht="42" customHeight="1">
      <c r="A3049" s="2" t="s">
        <v>7018</v>
      </c>
      <c r="B3049" s="2" t="s">
        <v>7019</v>
      </c>
      <c r="C3049" s="2" t="s">
        <v>26</v>
      </c>
      <c r="D3049" s="2" t="s">
        <v>27</v>
      </c>
      <c r="E3049" s="5">
        <v>-31075</v>
      </c>
      <c r="F3049" s="3" t="s">
        <v>537</v>
      </c>
      <c r="G3049" s="3" t="s">
        <v>20</v>
      </c>
      <c r="H3049" s="2" t="s">
        <v>62</v>
      </c>
      <c r="I3049" s="2" t="s">
        <v>7020</v>
      </c>
      <c r="J3049" s="3" t="str">
        <f>HYPERLINK("https://www.boe.es/gazeta/dias/1814/12/01/pdfs/GMD-1814-159.pdf#page=7","Abrir facsímil")</f>
        <v>Abrir facsímil</v>
      </c>
      <c r="K3049" s="3" t="s">
        <v>64</v>
      </c>
    </row>
    <row r="3050" spans="1:11" ht="42" customHeight="1">
      <c r="A3050" s="2" t="s">
        <v>7021</v>
      </c>
      <c r="B3050" s="2" t="s">
        <v>7022</v>
      </c>
      <c r="C3050" s="2" t="s">
        <v>38</v>
      </c>
      <c r="D3050" s="2" t="s">
        <v>39</v>
      </c>
      <c r="E3050" s="5">
        <v>-31075</v>
      </c>
      <c r="F3050" s="3" t="s">
        <v>537</v>
      </c>
      <c r="G3050" s="3" t="s">
        <v>52</v>
      </c>
      <c r="H3050" s="2" t="s">
        <v>62</v>
      </c>
      <c r="I3050" s="2" t="s">
        <v>7023</v>
      </c>
      <c r="J3050" s="3" t="str">
        <f>HYPERLINK("https://www.boe.es/gazeta/dias/1814/12/01/pdfs/GMD-1814-159.pdf#page=8","Abrir facsímil")</f>
        <v>Abrir facsímil</v>
      </c>
      <c r="K3050" s="3" t="s">
        <v>64</v>
      </c>
    </row>
    <row r="3051" spans="1:11" ht="42" customHeight="1">
      <c r="A3051" s="2" t="s">
        <v>7024</v>
      </c>
      <c r="B3051" s="2" t="s">
        <v>7025</v>
      </c>
      <c r="C3051" s="2" t="s">
        <v>105</v>
      </c>
      <c r="D3051" s="2" t="s">
        <v>18</v>
      </c>
      <c r="E3051" s="5">
        <v>-31220</v>
      </c>
      <c r="F3051" s="3" t="s">
        <v>122</v>
      </c>
      <c r="G3051" s="3" t="s">
        <v>57</v>
      </c>
      <c r="H3051" s="2" t="s">
        <v>62</v>
      </c>
      <c r="I3051" s="2" t="s">
        <v>7026</v>
      </c>
      <c r="J3051" s="3" t="str">
        <f>HYPERLINK("https://www.boe.es/gazeta/dias/1814/07/09/pdfs/GMD-1814-96.pdf#page=6","Abrir facsímil")</f>
        <v>Abrir facsímil</v>
      </c>
      <c r="K3051" s="3" t="s">
        <v>64</v>
      </c>
    </row>
    <row r="3052" spans="1:11" ht="42" customHeight="1">
      <c r="A3052" s="2" t="s">
        <v>7027</v>
      </c>
      <c r="B3052" s="2" t="s">
        <v>7028</v>
      </c>
      <c r="C3052" s="2" t="s">
        <v>32</v>
      </c>
      <c r="D3052" s="2" t="s">
        <v>18</v>
      </c>
      <c r="E3052" s="5">
        <v>-31245</v>
      </c>
      <c r="F3052" s="3" t="s">
        <v>908</v>
      </c>
      <c r="G3052" s="3" t="s">
        <v>322</v>
      </c>
      <c r="H3052" s="2" t="s">
        <v>62</v>
      </c>
      <c r="I3052" s="2" t="s">
        <v>7029</v>
      </c>
      <c r="J3052" s="3" t="str">
        <f>HYPERLINK("https://www.boe.es/gazeta/dias/1814/06/14/pdfs/GMD-1814-85.pdf#page=12","Abrir facsímil")</f>
        <v>Abrir facsímil</v>
      </c>
      <c r="K3052" s="3" t="s">
        <v>64</v>
      </c>
    </row>
    <row r="3053" spans="1:11" ht="42" customHeight="1">
      <c r="A3053" s="2" t="s">
        <v>7030</v>
      </c>
      <c r="B3053" s="2" t="s">
        <v>7031</v>
      </c>
      <c r="C3053" s="2" t="s">
        <v>45</v>
      </c>
      <c r="D3053" s="2" t="s">
        <v>18</v>
      </c>
      <c r="E3053" s="5">
        <v>-31075</v>
      </c>
      <c r="F3053" s="3" t="s">
        <v>537</v>
      </c>
      <c r="G3053" s="3" t="s">
        <v>57</v>
      </c>
      <c r="H3053" s="2" t="s">
        <v>62</v>
      </c>
      <c r="I3053" s="2" t="s">
        <v>7032</v>
      </c>
      <c r="J3053" s="3" t="str">
        <f>HYPERLINK("https://www.boe.es/gazeta/dias/1814/12/01/pdfs/GMD-1814-159.pdf#page=6","Abrir facsímil")</f>
        <v>Abrir facsímil</v>
      </c>
      <c r="K3053" s="3" t="s">
        <v>64</v>
      </c>
    </row>
    <row r="3054" spans="1:11" ht="42" customHeight="1">
      <c r="A3054" s="2" t="s">
        <v>7033</v>
      </c>
      <c r="B3054" s="2" t="s">
        <v>7034</v>
      </c>
      <c r="C3054" s="2" t="s">
        <v>38</v>
      </c>
      <c r="D3054" s="2" t="s">
        <v>39</v>
      </c>
      <c r="E3054" s="5">
        <v>-31320</v>
      </c>
      <c r="F3054" s="3" t="s">
        <v>40</v>
      </c>
      <c r="G3054" s="3" t="s">
        <v>87</v>
      </c>
      <c r="H3054" s="2" t="s">
        <v>62</v>
      </c>
      <c r="I3054" s="2" t="s">
        <v>7035</v>
      </c>
      <c r="J3054" s="3" t="str">
        <f>HYPERLINK("https://www.boe.es/gazeta/dias/1814/03/31/pdfs/GRE-1814-46.pdf#page=2","Abrir facsímil")</f>
        <v>Abrir facsímil</v>
      </c>
      <c r="K3054" s="3" t="s">
        <v>64</v>
      </c>
    </row>
    <row r="3055" spans="1:11" ht="42" customHeight="1">
      <c r="A3055" s="2" t="s">
        <v>7036</v>
      </c>
      <c r="B3055" s="2" t="s">
        <v>7037</v>
      </c>
      <c r="C3055" s="2" t="s">
        <v>38</v>
      </c>
      <c r="D3055" s="2" t="s">
        <v>39</v>
      </c>
      <c r="E3055" s="5">
        <v>-31290</v>
      </c>
      <c r="F3055" s="3" t="s">
        <v>488</v>
      </c>
      <c r="G3055" s="3" t="s">
        <v>87</v>
      </c>
      <c r="H3055" s="2" t="s">
        <v>62</v>
      </c>
      <c r="I3055" s="2" t="s">
        <v>7038</v>
      </c>
      <c r="J3055" s="3" t="str">
        <f>HYPERLINK("https://www.boe.es/gazeta/dias/1814/04/30/pdfs/GRE-1814-64.pdf#page=2","Abrir facsímil")</f>
        <v>Abrir facsímil</v>
      </c>
      <c r="K3055" s="3" t="s">
        <v>64</v>
      </c>
    </row>
    <row r="3056" spans="1:11" ht="42" customHeight="1">
      <c r="A3056" s="2" t="s">
        <v>7039</v>
      </c>
      <c r="B3056" s="2" t="s">
        <v>7040</v>
      </c>
      <c r="C3056" s="2" t="s">
        <v>38</v>
      </c>
      <c r="D3056" s="2" t="s">
        <v>39</v>
      </c>
      <c r="E3056" s="5">
        <v>-31084</v>
      </c>
      <c r="F3056" s="3" t="s">
        <v>282</v>
      </c>
      <c r="G3056" s="3" t="s">
        <v>107</v>
      </c>
      <c r="H3056" s="2" t="s">
        <v>62</v>
      </c>
      <c r="I3056" s="2" t="s">
        <v>7041</v>
      </c>
      <c r="J3056" s="3" t="str">
        <f>HYPERLINK("https://www.boe.es/gazeta/dias/1814/11/22/pdfs/GMD-1814-155.pdf#page=1","Abrir facsímil")</f>
        <v>Abrir facsímil</v>
      </c>
      <c r="K3056" s="3" t="s">
        <v>64</v>
      </c>
    </row>
    <row r="3057" spans="1:11" ht="42" customHeight="1">
      <c r="A3057" s="2" t="s">
        <v>7042</v>
      </c>
      <c r="B3057" s="2" t="s">
        <v>7043</v>
      </c>
      <c r="C3057" s="2" t="s">
        <v>38</v>
      </c>
      <c r="D3057" s="2" t="s">
        <v>39</v>
      </c>
      <c r="E3057" s="5">
        <v>-31329</v>
      </c>
      <c r="F3057" s="3" t="s">
        <v>621</v>
      </c>
      <c r="G3057" s="3" t="s">
        <v>2115</v>
      </c>
      <c r="H3057" s="2" t="s">
        <v>62</v>
      </c>
      <c r="I3057" s="2" t="s">
        <v>7044</v>
      </c>
      <c r="J3057" s="3" t="str">
        <f>HYPERLINK("https://www.boe.es/gazeta/dias/1814/03/22/pdfs/GRE-1814-39.pdf#page=4","Abrir facsímil")</f>
        <v>Abrir facsímil</v>
      </c>
      <c r="K3057" s="3" t="s">
        <v>64</v>
      </c>
    </row>
    <row r="3058" spans="1:11" ht="42" customHeight="1">
      <c r="A3058" s="2" t="s">
        <v>7045</v>
      </c>
      <c r="B3058" s="2" t="s">
        <v>7045</v>
      </c>
      <c r="C3058" s="2" t="s">
        <v>17</v>
      </c>
      <c r="D3058" s="2" t="s">
        <v>18</v>
      </c>
      <c r="E3058" s="5">
        <v>-31227</v>
      </c>
      <c r="F3058" s="3" t="s">
        <v>102</v>
      </c>
      <c r="G3058" s="3" t="s">
        <v>107</v>
      </c>
      <c r="H3058" s="2" t="s">
        <v>62</v>
      </c>
      <c r="I3058" s="2" t="s">
        <v>7046</v>
      </c>
      <c r="J3058" s="3" t="str">
        <f>HYPERLINK("https://www.boe.es/gazeta/dias/1814/07/02/pdfs/GMD-1814-93.pdf#page=1","Abrir facsímil")</f>
        <v>Abrir facsímil</v>
      </c>
      <c r="K3058" s="3" t="s">
        <v>64</v>
      </c>
    </row>
    <row r="3059" spans="1:11" ht="42" customHeight="1">
      <c r="A3059" s="2" t="s">
        <v>7047</v>
      </c>
      <c r="B3059" s="2" t="s">
        <v>7048</v>
      </c>
      <c r="C3059" s="2" t="s">
        <v>38</v>
      </c>
      <c r="D3059" s="2" t="s">
        <v>39</v>
      </c>
      <c r="E3059" s="5">
        <v>-31353</v>
      </c>
      <c r="F3059" s="3" t="s">
        <v>247</v>
      </c>
      <c r="G3059" s="3" t="s">
        <v>52</v>
      </c>
      <c r="H3059" s="2" t="s">
        <v>62</v>
      </c>
      <c r="I3059" s="2" t="s">
        <v>7049</v>
      </c>
      <c r="J3059" s="3" t="str">
        <f>HYPERLINK("https://www.boe.es/gazeta/dias/1814/02/26/pdfs/GRE-1814-27.pdf#page=8","Abrir facsímil")</f>
        <v>Abrir facsímil</v>
      </c>
      <c r="K3059" s="3" t="s">
        <v>64</v>
      </c>
    </row>
    <row r="3060" spans="1:11" ht="42" customHeight="1">
      <c r="A3060" s="2" t="s">
        <v>7050</v>
      </c>
      <c r="B3060" s="2" t="s">
        <v>7051</v>
      </c>
      <c r="C3060" s="2" t="s">
        <v>38</v>
      </c>
      <c r="D3060" s="2" t="s">
        <v>39</v>
      </c>
      <c r="E3060" s="5">
        <v>-31222</v>
      </c>
      <c r="F3060" s="3" t="s">
        <v>153</v>
      </c>
      <c r="G3060" s="3" t="s">
        <v>52</v>
      </c>
      <c r="H3060" s="2" t="s">
        <v>21</v>
      </c>
      <c r="I3060" s="2" t="s">
        <v>7052</v>
      </c>
      <c r="J3060" s="3" t="str">
        <f>HYPERLINK("https://www.boe.es/gazeta/dias/1814/07/07/pdfs/GMD-1814-95.pdf#page=8","Abrir facsímil")</f>
        <v>Abrir facsímil</v>
      </c>
      <c r="K3060" s="3" t="s">
        <v>23</v>
      </c>
    </row>
    <row r="3061" spans="1:11" ht="42" customHeight="1">
      <c r="A3061" s="2" t="s">
        <v>7053</v>
      </c>
      <c r="B3061" s="2" t="s">
        <v>7054</v>
      </c>
      <c r="C3061" s="2" t="s">
        <v>38</v>
      </c>
      <c r="D3061" s="2" t="s">
        <v>39</v>
      </c>
      <c r="E3061" s="5">
        <v>-31220</v>
      </c>
      <c r="F3061" s="3" t="s">
        <v>122</v>
      </c>
      <c r="G3061" s="3" t="s">
        <v>41</v>
      </c>
      <c r="H3061" s="2" t="s">
        <v>62</v>
      </c>
      <c r="I3061" s="2" t="s">
        <v>7055</v>
      </c>
      <c r="J3061" s="3" t="str">
        <f>HYPERLINK("https://www.boe.es/gazeta/dias/1814/07/09/pdfs/GMD-1814-96.pdf#page=4","Abrir facsímil")</f>
        <v>Abrir facsímil</v>
      </c>
      <c r="K3061" s="3" t="s">
        <v>64</v>
      </c>
    </row>
    <row r="3062" spans="1:11" ht="42" customHeight="1">
      <c r="A3062" s="2" t="s">
        <v>7056</v>
      </c>
      <c r="B3062" s="2" t="s">
        <v>7057</v>
      </c>
      <c r="C3062" s="2" t="s">
        <v>38</v>
      </c>
      <c r="D3062" s="2" t="s">
        <v>39</v>
      </c>
      <c r="E3062" s="5">
        <v>-31073</v>
      </c>
      <c r="F3062" s="3" t="s">
        <v>3052</v>
      </c>
      <c r="G3062" s="3" t="s">
        <v>57</v>
      </c>
      <c r="H3062" s="2" t="s">
        <v>62</v>
      </c>
      <c r="I3062" s="2" t="s">
        <v>7058</v>
      </c>
      <c r="J3062" s="3" t="str">
        <f>HYPERLINK("https://www.boe.es/gazeta/dias/1814/12/03/pdfs/GMD-1814-160.pdf#page=6","Abrir facsímil")</f>
        <v>Abrir facsímil</v>
      </c>
      <c r="K3062" s="3" t="s">
        <v>64</v>
      </c>
    </row>
    <row r="3063" spans="1:11" ht="42" customHeight="1">
      <c r="A3063" s="2" t="s">
        <v>7056</v>
      </c>
      <c r="B3063" s="2" t="s">
        <v>7057</v>
      </c>
      <c r="C3063" s="2" t="s">
        <v>26</v>
      </c>
      <c r="D3063" s="2" t="s">
        <v>27</v>
      </c>
      <c r="E3063" s="5">
        <v>-31073</v>
      </c>
      <c r="F3063" s="3" t="s">
        <v>3052</v>
      </c>
      <c r="G3063" s="3" t="s">
        <v>20</v>
      </c>
      <c r="H3063" s="2" t="s">
        <v>62</v>
      </c>
      <c r="I3063" s="2" t="s">
        <v>7059</v>
      </c>
      <c r="J3063" s="3" t="str">
        <f>HYPERLINK("https://www.boe.es/gazeta/dias/1814/12/03/pdfs/GMD-1814-160.pdf#page=7","Abrir facsímil")</f>
        <v>Abrir facsímil</v>
      </c>
      <c r="K3063" s="3" t="s">
        <v>64</v>
      </c>
    </row>
    <row r="3064" spans="1:11" ht="42" customHeight="1">
      <c r="A3064" s="2" t="s">
        <v>7060</v>
      </c>
      <c r="B3064" s="2" t="s">
        <v>7061</v>
      </c>
      <c r="C3064" s="2" t="s">
        <v>32</v>
      </c>
      <c r="D3064" s="2" t="s">
        <v>18</v>
      </c>
      <c r="E3064" s="5">
        <v>-31087</v>
      </c>
      <c r="F3064" s="3" t="s">
        <v>118</v>
      </c>
      <c r="G3064" s="3" t="s">
        <v>52</v>
      </c>
      <c r="H3064" s="2" t="s">
        <v>62</v>
      </c>
      <c r="I3064" s="2" t="s">
        <v>7062</v>
      </c>
      <c r="J3064" s="3" t="str">
        <f>HYPERLINK("https://www.boe.es/gazeta/dias/1814/11/19/pdfs/GMD-1814-154.pdf#page=8","Abrir facsímil")</f>
        <v>Abrir facsímil</v>
      </c>
      <c r="K3064" s="3" t="s">
        <v>64</v>
      </c>
    </row>
    <row r="3065" spans="1:11" ht="42" customHeight="1">
      <c r="A3065" s="2" t="s">
        <v>7063</v>
      </c>
      <c r="B3065" s="2" t="s">
        <v>7064</v>
      </c>
      <c r="C3065" s="2" t="s">
        <v>26</v>
      </c>
      <c r="D3065" s="2" t="s">
        <v>27</v>
      </c>
      <c r="E3065" s="5">
        <v>-31217</v>
      </c>
      <c r="F3065" s="3" t="s">
        <v>506</v>
      </c>
      <c r="G3065" s="3" t="s">
        <v>41</v>
      </c>
      <c r="H3065" s="2" t="s">
        <v>62</v>
      </c>
      <c r="I3065" s="2" t="s">
        <v>7065</v>
      </c>
      <c r="J3065" s="3" t="str">
        <f>HYPERLINK("https://www.boe.es/gazeta/dias/1814/07/12/pdfs/GMD-1814-97.pdf#page=4","Abrir facsímil")</f>
        <v>Abrir facsímil</v>
      </c>
      <c r="K3065" s="3" t="s">
        <v>64</v>
      </c>
    </row>
    <row r="3066" spans="1:11" ht="42" customHeight="1">
      <c r="A3066" s="2" t="s">
        <v>7066</v>
      </c>
      <c r="B3066" s="2" t="s">
        <v>7066</v>
      </c>
      <c r="C3066" s="2" t="s">
        <v>38</v>
      </c>
      <c r="D3066" s="2" t="s">
        <v>39</v>
      </c>
      <c r="E3066" s="5">
        <v>-31371</v>
      </c>
      <c r="F3066" s="3" t="s">
        <v>476</v>
      </c>
      <c r="G3066" s="3" t="s">
        <v>87</v>
      </c>
      <c r="H3066" s="2" t="s">
        <v>62</v>
      </c>
      <c r="I3066" s="2" t="s">
        <v>7067</v>
      </c>
      <c r="J3066" s="3" t="str">
        <f>HYPERLINK("https://www.boe.es/gazeta/dias/1814/02/08/pdfs/GRE-1814-31.pdf#page=2","Abrir facsímil")</f>
        <v>Abrir facsímil</v>
      </c>
      <c r="K3066" s="3" t="s">
        <v>64</v>
      </c>
    </row>
    <row r="3067" spans="1:11" ht="42" customHeight="1">
      <c r="A3067" s="2" t="s">
        <v>7066</v>
      </c>
      <c r="B3067" s="2" t="s">
        <v>7066</v>
      </c>
      <c r="C3067" s="2" t="s">
        <v>38</v>
      </c>
      <c r="D3067" s="2" t="s">
        <v>39</v>
      </c>
      <c r="E3067" s="5">
        <v>-31343</v>
      </c>
      <c r="F3067" s="3" t="s">
        <v>476</v>
      </c>
      <c r="G3067" s="3" t="s">
        <v>87</v>
      </c>
      <c r="H3067" s="2" t="s">
        <v>62</v>
      </c>
      <c r="I3067" s="2" t="s">
        <v>7067</v>
      </c>
      <c r="J3067" s="3" t="str">
        <f>HYPERLINK("https://www.boe.es/gazeta/dias/1814/03/08/pdfs/GRE-1814-31.pdf#page=2","Abrir facsímil")</f>
        <v>Abrir facsímil</v>
      </c>
      <c r="K3067" s="3" t="s">
        <v>64</v>
      </c>
    </row>
    <row r="3068" spans="1:11" ht="42" customHeight="1">
      <c r="A3068" s="2" t="s">
        <v>7068</v>
      </c>
      <c r="B3068" s="2" t="s">
        <v>7069</v>
      </c>
      <c r="C3068" s="2" t="s">
        <v>32</v>
      </c>
      <c r="D3068" s="2" t="s">
        <v>18</v>
      </c>
      <c r="E3068" s="5">
        <v>-31229</v>
      </c>
      <c r="F3068" s="3" t="s">
        <v>502</v>
      </c>
      <c r="G3068" s="3" t="s">
        <v>20</v>
      </c>
      <c r="H3068" s="2" t="s">
        <v>62</v>
      </c>
      <c r="I3068" s="2" t="s">
        <v>7070</v>
      </c>
      <c r="J3068" s="3" t="str">
        <f>HYPERLINK("https://www.boe.es/gazeta/dias/1814/06/30/pdfs/GMD-1814-92.pdf#page=7","Abrir facsímil")</f>
        <v>Abrir facsímil</v>
      </c>
      <c r="K3068" s="3" t="s">
        <v>64</v>
      </c>
    </row>
    <row r="3069" spans="1:11" ht="42" customHeight="1">
      <c r="A3069" s="2" t="s">
        <v>7071</v>
      </c>
      <c r="B3069" s="2" t="s">
        <v>7071</v>
      </c>
      <c r="C3069" s="2" t="s">
        <v>26</v>
      </c>
      <c r="D3069" s="2" t="s">
        <v>27</v>
      </c>
      <c r="E3069" s="5">
        <v>-31248</v>
      </c>
      <c r="F3069" s="3" t="s">
        <v>1123</v>
      </c>
      <c r="G3069" s="3" t="s">
        <v>87</v>
      </c>
      <c r="H3069" s="2" t="s">
        <v>62</v>
      </c>
      <c r="I3069" s="2" t="s">
        <v>7072</v>
      </c>
      <c r="J3069" s="3" t="str">
        <f>HYPERLINK("https://www.boe.es/gazeta/dias/1814/06/11/pdfs/GMD-1814-84.pdf#page=2","Abrir facsímil")</f>
        <v>Abrir facsímil</v>
      </c>
      <c r="K3069" s="3" t="s">
        <v>64</v>
      </c>
    </row>
    <row r="3070" spans="1:11" ht="42" customHeight="1">
      <c r="A3070" s="2" t="s">
        <v>7071</v>
      </c>
      <c r="B3070" s="2" t="s">
        <v>7071</v>
      </c>
      <c r="C3070" s="2" t="s">
        <v>17</v>
      </c>
      <c r="D3070" s="2" t="s">
        <v>18</v>
      </c>
      <c r="E3070" s="5">
        <v>-31227</v>
      </c>
      <c r="F3070" s="3" t="s">
        <v>102</v>
      </c>
      <c r="G3070" s="3" t="s">
        <v>103</v>
      </c>
      <c r="H3070" s="2" t="s">
        <v>62</v>
      </c>
      <c r="I3070" s="2" t="s">
        <v>7073</v>
      </c>
      <c r="J3070" s="3" t="str">
        <f>HYPERLINK("https://www.boe.es/gazeta/dias/1814/07/02/pdfs/GMD-1814-93.pdf#page=4","Abrir facsímil")</f>
        <v>Abrir facsímil</v>
      </c>
      <c r="K3070" s="3" t="s">
        <v>64</v>
      </c>
    </row>
    <row r="3071" spans="1:11" ht="42" customHeight="1">
      <c r="A3071" s="2" t="s">
        <v>7074</v>
      </c>
      <c r="B3071" s="2" t="s">
        <v>7075</v>
      </c>
      <c r="C3071" s="2" t="s">
        <v>38</v>
      </c>
      <c r="D3071" s="2" t="s">
        <v>39</v>
      </c>
      <c r="E3071" s="5">
        <v>-31192</v>
      </c>
      <c r="F3071" s="3" t="s">
        <v>388</v>
      </c>
      <c r="G3071" s="3" t="s">
        <v>20</v>
      </c>
      <c r="H3071" s="2" t="s">
        <v>62</v>
      </c>
      <c r="I3071" s="2" t="s">
        <v>7076</v>
      </c>
      <c r="J3071" s="3" t="str">
        <f>HYPERLINK("https://www.boe.es/gazeta/dias/1814/08/06/pdfs/GMD-1814-108.pdf#page=7","Abrir facsímil")</f>
        <v>Abrir facsímil</v>
      </c>
      <c r="K3071" s="3" t="s">
        <v>64</v>
      </c>
    </row>
    <row r="3072" spans="1:11" ht="42" customHeight="1">
      <c r="A3072" s="2" t="s">
        <v>7077</v>
      </c>
      <c r="B3072" s="2" t="s">
        <v>7078</v>
      </c>
      <c r="C3072" s="2" t="s">
        <v>26</v>
      </c>
      <c r="D3072" s="2" t="s">
        <v>27</v>
      </c>
      <c r="E3072" s="5">
        <v>-31182</v>
      </c>
      <c r="F3072" s="3" t="s">
        <v>19</v>
      </c>
      <c r="G3072" s="3" t="s">
        <v>57</v>
      </c>
      <c r="H3072" s="2" t="s">
        <v>62</v>
      </c>
      <c r="I3072" s="2" t="s">
        <v>7079</v>
      </c>
      <c r="J3072" s="3" t="str">
        <f>HYPERLINK("https://www.boe.es/gazeta/dias/1814/08/16/pdfs/GMD-1814-112.pdf#page=6","Abrir facsímil")</f>
        <v>Abrir facsímil</v>
      </c>
      <c r="K3072" s="3" t="s">
        <v>64</v>
      </c>
    </row>
    <row r="3073" spans="1:11" ht="42" customHeight="1">
      <c r="A3073" s="2" t="s">
        <v>7080</v>
      </c>
      <c r="B3073" s="2" t="s">
        <v>7080</v>
      </c>
      <c r="C3073" s="2" t="s">
        <v>38</v>
      </c>
      <c r="D3073" s="2" t="s">
        <v>39</v>
      </c>
      <c r="E3073" s="5">
        <v>-31299</v>
      </c>
      <c r="F3073" s="3" t="s">
        <v>71</v>
      </c>
      <c r="G3073" s="3" t="s">
        <v>20</v>
      </c>
      <c r="H3073" s="2" t="s">
        <v>62</v>
      </c>
      <c r="I3073" s="2" t="s">
        <v>7081</v>
      </c>
      <c r="J3073" s="3" t="str">
        <f>HYPERLINK("https://www.boe.es/gazeta/dias/1814/04/21/pdfs/GRE-1814-57.pdf#page=7","Abrir facsímil")</f>
        <v>Abrir facsímil</v>
      </c>
      <c r="K3073" s="3" t="s">
        <v>64</v>
      </c>
    </row>
    <row r="3074" spans="1:11" ht="42" customHeight="1">
      <c r="A3074" s="2" t="s">
        <v>7080</v>
      </c>
      <c r="B3074" s="2" t="s">
        <v>7080</v>
      </c>
      <c r="C3074" s="2" t="s">
        <v>38</v>
      </c>
      <c r="D3074" s="2" t="s">
        <v>39</v>
      </c>
      <c r="E3074" s="5">
        <v>-31290</v>
      </c>
      <c r="F3074" s="3" t="s">
        <v>488</v>
      </c>
      <c r="G3074" s="3" t="s">
        <v>5445</v>
      </c>
      <c r="H3074" s="2" t="s">
        <v>62</v>
      </c>
      <c r="I3074" s="2" t="s">
        <v>7082</v>
      </c>
      <c r="J3074" s="3" t="str">
        <f>HYPERLINK("https://www.boe.es/gazeta/dias/1814/04/30/pdfs/GRE-1814-64.pdf#page=4","Abrir facsímil")</f>
        <v>Abrir facsímil</v>
      </c>
      <c r="K3074" s="3" t="s">
        <v>64</v>
      </c>
    </row>
    <row r="3075" spans="1:11" ht="42" customHeight="1">
      <c r="A3075" s="2" t="s">
        <v>7083</v>
      </c>
      <c r="B3075" s="2" t="s">
        <v>7084</v>
      </c>
      <c r="C3075" s="2" t="s">
        <v>17</v>
      </c>
      <c r="D3075" s="2" t="s">
        <v>18</v>
      </c>
      <c r="E3075" s="5">
        <v>-31266</v>
      </c>
      <c r="F3075" s="3" t="s">
        <v>191</v>
      </c>
      <c r="G3075" s="3" t="s">
        <v>82</v>
      </c>
      <c r="H3075" s="2" t="s">
        <v>62</v>
      </c>
      <c r="I3075" s="2" t="s">
        <v>7085</v>
      </c>
      <c r="J3075" s="3" t="str">
        <f>HYPERLINK("https://www.boe.es/gazeta/dias/1814/05/24/pdfs/GMD-1814-76.pdf#page=3","Abrir facsímil")</f>
        <v>Abrir facsímil</v>
      </c>
      <c r="K3075" s="3" t="s">
        <v>64</v>
      </c>
    </row>
    <row r="3076" spans="1:11" ht="42" customHeight="1">
      <c r="A3076" s="2" t="s">
        <v>7083</v>
      </c>
      <c r="B3076" s="2" t="s">
        <v>7084</v>
      </c>
      <c r="C3076" s="2" t="s">
        <v>17</v>
      </c>
      <c r="D3076" s="2" t="s">
        <v>18</v>
      </c>
      <c r="E3076" s="5">
        <v>-31264</v>
      </c>
      <c r="F3076" s="3" t="s">
        <v>396</v>
      </c>
      <c r="G3076" s="3" t="s">
        <v>41</v>
      </c>
      <c r="H3076" s="2" t="s">
        <v>62</v>
      </c>
      <c r="I3076" s="2" t="s">
        <v>7086</v>
      </c>
      <c r="J3076" s="3" t="str">
        <f>HYPERLINK("https://www.boe.es/gazeta/dias/1814/05/26/pdfs/GMD-1814-77.pdf#page=4","Abrir facsímil")</f>
        <v>Abrir facsímil</v>
      </c>
      <c r="K3076" s="3" t="s">
        <v>64</v>
      </c>
    </row>
    <row r="3077" spans="1:11" ht="42" customHeight="1">
      <c r="A3077" s="2" t="s">
        <v>7083</v>
      </c>
      <c r="B3077" s="2" t="s">
        <v>7084</v>
      </c>
      <c r="C3077" s="2" t="s">
        <v>38</v>
      </c>
      <c r="D3077" s="2" t="s">
        <v>39</v>
      </c>
      <c r="E3077" s="5">
        <v>-31259</v>
      </c>
      <c r="F3077" s="3" t="s">
        <v>853</v>
      </c>
      <c r="G3077" s="3" t="s">
        <v>1732</v>
      </c>
      <c r="H3077" s="2" t="s">
        <v>62</v>
      </c>
      <c r="I3077" s="2" t="s">
        <v>7087</v>
      </c>
      <c r="J3077" s="3" t="str">
        <f>HYPERLINK("https://www.boe.es/gazeta/dias/1814/05/31/pdfs/GMD-1814-79.pdf#page=5","Abrir facsímil")</f>
        <v>Abrir facsímil</v>
      </c>
      <c r="K3077" s="3" t="s">
        <v>64</v>
      </c>
    </row>
    <row r="3078" spans="1:11" ht="42" customHeight="1">
      <c r="A3078" s="2" t="s">
        <v>7083</v>
      </c>
      <c r="B3078" s="2" t="s">
        <v>7084</v>
      </c>
      <c r="C3078" s="2" t="s">
        <v>38</v>
      </c>
      <c r="D3078" s="2" t="s">
        <v>314</v>
      </c>
      <c r="E3078" s="5">
        <v>-31060</v>
      </c>
      <c r="F3078" s="3" t="s">
        <v>4339</v>
      </c>
      <c r="G3078" s="3" t="s">
        <v>87</v>
      </c>
      <c r="H3078" s="2" t="s">
        <v>62</v>
      </c>
      <c r="I3078" s="2" t="s">
        <v>7088</v>
      </c>
      <c r="J3078" s="3" t="str">
        <f>HYPERLINK("https://www.boe.es/gazeta/dias/1814/12/16/pdfs/GMD-1814-166E.pdf#page=2","Abrir facsímil")</f>
        <v>Abrir facsímil</v>
      </c>
      <c r="K3078" s="3" t="s">
        <v>64</v>
      </c>
    </row>
    <row r="3079" spans="1:11" ht="42" customHeight="1">
      <c r="A3079" s="2" t="s">
        <v>7089</v>
      </c>
      <c r="B3079" s="2" t="s">
        <v>7090</v>
      </c>
      <c r="C3079" s="2" t="s">
        <v>26</v>
      </c>
      <c r="D3079" s="2" t="s">
        <v>27</v>
      </c>
      <c r="E3079" s="5">
        <v>-31059</v>
      </c>
      <c r="F3079" s="3" t="s">
        <v>263</v>
      </c>
      <c r="G3079" s="3" t="s">
        <v>264</v>
      </c>
      <c r="H3079" s="2" t="s">
        <v>62</v>
      </c>
      <c r="I3079" s="2" t="s">
        <v>7091</v>
      </c>
      <c r="J3079" s="3" t="str">
        <f>HYPERLINK("https://www.boe.es/gazeta/dias/1814/12/17/pdfs/GMD-1814-167.pdf#page=7","Abrir facsímil")</f>
        <v>Abrir facsímil</v>
      </c>
      <c r="K3079" s="3" t="s">
        <v>64</v>
      </c>
    </row>
    <row r="3080" spans="1:11" ht="42" customHeight="1">
      <c r="A3080" s="2" t="s">
        <v>7092</v>
      </c>
      <c r="B3080" s="2" t="s">
        <v>7093</v>
      </c>
      <c r="C3080" s="2" t="s">
        <v>38</v>
      </c>
      <c r="D3080" s="2" t="s">
        <v>39</v>
      </c>
      <c r="E3080" s="5">
        <v>-31341</v>
      </c>
      <c r="F3080" s="3" t="s">
        <v>360</v>
      </c>
      <c r="G3080" s="3" t="s">
        <v>52</v>
      </c>
      <c r="H3080" s="2" t="s">
        <v>62</v>
      </c>
      <c r="I3080" s="2" t="s">
        <v>7094</v>
      </c>
      <c r="J3080" s="3" t="str">
        <f>HYPERLINK("https://www.boe.es/gazeta/dias/1814/03/10/pdfs/GRE-1814-33.pdf#page=8","Abrir facsímil")</f>
        <v>Abrir facsímil</v>
      </c>
      <c r="K3080" s="3" t="s">
        <v>64</v>
      </c>
    </row>
    <row r="3081" spans="1:11" ht="42" customHeight="1">
      <c r="A3081" s="2" t="s">
        <v>7095</v>
      </c>
      <c r="B3081" s="2" t="s">
        <v>7095</v>
      </c>
      <c r="C3081" s="2" t="s">
        <v>38</v>
      </c>
      <c r="D3081" s="2" t="s">
        <v>39</v>
      </c>
      <c r="E3081" s="5">
        <v>-31325</v>
      </c>
      <c r="F3081" s="3" t="s">
        <v>67</v>
      </c>
      <c r="G3081" s="3" t="s">
        <v>99</v>
      </c>
      <c r="H3081" s="2" t="s">
        <v>62</v>
      </c>
      <c r="I3081" s="2" t="s">
        <v>7096</v>
      </c>
      <c r="J3081" s="3" t="str">
        <f>HYPERLINK("https://www.boe.es/gazeta/dias/1814/03/26/pdfs/GRE-1814-43.pdf#page=5","Abrir facsímil")</f>
        <v>Abrir facsímil</v>
      </c>
      <c r="K3081" s="3" t="s">
        <v>64</v>
      </c>
    </row>
    <row r="3082" spans="1:11" ht="42" customHeight="1">
      <c r="A3082" s="2" t="s">
        <v>7097</v>
      </c>
      <c r="B3082" s="2" t="s">
        <v>7098</v>
      </c>
      <c r="C3082" s="2" t="s">
        <v>38</v>
      </c>
      <c r="D3082" s="2" t="s">
        <v>39</v>
      </c>
      <c r="E3082" s="5">
        <v>-31325</v>
      </c>
      <c r="F3082" s="3" t="s">
        <v>67</v>
      </c>
      <c r="G3082" s="3" t="s">
        <v>99</v>
      </c>
      <c r="H3082" s="2" t="s">
        <v>62</v>
      </c>
      <c r="I3082" s="2" t="s">
        <v>7099</v>
      </c>
      <c r="J3082" s="3" t="str">
        <f>HYPERLINK("https://www.boe.es/gazeta/dias/1814/03/26/pdfs/GRE-1814-43.pdf#page=5","Abrir facsímil")</f>
        <v>Abrir facsímil</v>
      </c>
      <c r="K3082" s="3" t="s">
        <v>64</v>
      </c>
    </row>
    <row r="3083" spans="1:11" ht="42" customHeight="1">
      <c r="A3083" s="2" t="s">
        <v>7100</v>
      </c>
      <c r="B3083" s="2" t="s">
        <v>7100</v>
      </c>
      <c r="C3083" s="2" t="s">
        <v>38</v>
      </c>
      <c r="D3083" s="2" t="s">
        <v>39</v>
      </c>
      <c r="E3083" s="5">
        <v>-31325</v>
      </c>
      <c r="F3083" s="3" t="s">
        <v>67</v>
      </c>
      <c r="G3083" s="3" t="s">
        <v>57</v>
      </c>
      <c r="H3083" s="2" t="s">
        <v>62</v>
      </c>
      <c r="I3083" s="2" t="s">
        <v>7101</v>
      </c>
      <c r="J3083" s="3" t="str">
        <f>HYPERLINK("https://www.boe.es/gazeta/dias/1814/03/26/pdfs/GRE-1814-43.pdf#page=6","Abrir facsímil")</f>
        <v>Abrir facsímil</v>
      </c>
      <c r="K3083" s="3" t="s">
        <v>64</v>
      </c>
    </row>
    <row r="3084" spans="1:11" ht="42" customHeight="1">
      <c r="A3084" s="2" t="s">
        <v>7100</v>
      </c>
      <c r="B3084" s="2" t="s">
        <v>7100</v>
      </c>
      <c r="C3084" s="2" t="s">
        <v>38</v>
      </c>
      <c r="D3084" s="2" t="s">
        <v>39</v>
      </c>
      <c r="E3084" s="5">
        <v>-31299</v>
      </c>
      <c r="F3084" s="3" t="s">
        <v>71</v>
      </c>
      <c r="G3084" s="3" t="s">
        <v>99</v>
      </c>
      <c r="H3084" s="2" t="s">
        <v>62</v>
      </c>
      <c r="I3084" s="2" t="s">
        <v>7102</v>
      </c>
      <c r="J3084" s="3" t="str">
        <f>HYPERLINK("https://www.boe.es/gazeta/dias/1814/04/21/pdfs/GRE-1814-57.pdf#page=5","Abrir facsímil")</f>
        <v>Abrir facsímil</v>
      </c>
      <c r="K3084" s="3" t="s">
        <v>64</v>
      </c>
    </row>
    <row r="3085" spans="1:11" ht="42" customHeight="1">
      <c r="A3085" s="2" t="s">
        <v>7100</v>
      </c>
      <c r="B3085" s="2" t="s">
        <v>7100</v>
      </c>
      <c r="C3085" s="2" t="s">
        <v>38</v>
      </c>
      <c r="D3085" s="2" t="s">
        <v>39</v>
      </c>
      <c r="E3085" s="5">
        <v>-31248</v>
      </c>
      <c r="F3085" s="3" t="s">
        <v>1123</v>
      </c>
      <c r="G3085" s="3" t="s">
        <v>2411</v>
      </c>
      <c r="H3085" s="2" t="s">
        <v>62</v>
      </c>
      <c r="I3085" s="2" t="s">
        <v>7103</v>
      </c>
      <c r="J3085" s="3" t="str">
        <f>HYPERLINK("https://www.boe.es/gazeta/dias/1814/06/11/pdfs/GMD-1814-84.pdf#page=6","Abrir facsímil")</f>
        <v>Abrir facsímil</v>
      </c>
      <c r="K3085" s="3" t="s">
        <v>64</v>
      </c>
    </row>
    <row r="3086" spans="1:11" ht="42" customHeight="1">
      <c r="A3086" s="2" t="s">
        <v>7104</v>
      </c>
      <c r="B3086" s="2" t="s">
        <v>7105</v>
      </c>
      <c r="C3086" s="2" t="s">
        <v>38</v>
      </c>
      <c r="D3086" s="2" t="s">
        <v>39</v>
      </c>
      <c r="E3086" s="5">
        <v>-31250</v>
      </c>
      <c r="F3086" s="3" t="s">
        <v>177</v>
      </c>
      <c r="G3086" s="3" t="s">
        <v>41</v>
      </c>
      <c r="H3086" s="2" t="s">
        <v>62</v>
      </c>
      <c r="I3086" s="2" t="s">
        <v>7106</v>
      </c>
      <c r="J3086" s="3" t="str">
        <f>HYPERLINK("https://www.boe.es/gazeta/dias/1814/06/09/pdfs/GMD-1814-83.pdf#page=4","Abrir facsímil")</f>
        <v>Abrir facsímil</v>
      </c>
      <c r="K3086" s="3" t="s">
        <v>64</v>
      </c>
    </row>
    <row r="3087" spans="1:11" ht="42" customHeight="1">
      <c r="A3087" s="2" t="s">
        <v>7107</v>
      </c>
      <c r="B3087" s="2" t="s">
        <v>7108</v>
      </c>
      <c r="C3087" s="2" t="s">
        <v>26</v>
      </c>
      <c r="D3087" s="2" t="s">
        <v>27</v>
      </c>
      <c r="E3087" s="5">
        <v>-31129</v>
      </c>
      <c r="F3087" s="3" t="s">
        <v>418</v>
      </c>
      <c r="G3087" s="3" t="s">
        <v>1366</v>
      </c>
      <c r="H3087" s="2" t="s">
        <v>62</v>
      </c>
      <c r="I3087" s="2" t="s">
        <v>7109</v>
      </c>
      <c r="J3087" s="3" t="str">
        <f>HYPERLINK("https://www.boe.es/gazeta/dias/1814/10/08/pdfs/GMD-1814-136.pdf#page=6","Abrir facsímil")</f>
        <v>Abrir facsímil</v>
      </c>
      <c r="K3087" s="3" t="s">
        <v>64</v>
      </c>
    </row>
    <row r="3088" spans="1:11" ht="42" customHeight="1">
      <c r="A3088" s="2" t="s">
        <v>7110</v>
      </c>
      <c r="B3088" s="2" t="s">
        <v>7110</v>
      </c>
      <c r="C3088" s="2" t="s">
        <v>17</v>
      </c>
      <c r="D3088" s="2" t="s">
        <v>18</v>
      </c>
      <c r="E3088" s="5">
        <v>-31238</v>
      </c>
      <c r="F3088" s="3" t="s">
        <v>127</v>
      </c>
      <c r="G3088" s="3" t="s">
        <v>137</v>
      </c>
      <c r="H3088" s="2" t="s">
        <v>62</v>
      </c>
      <c r="I3088" s="2" t="s">
        <v>7111</v>
      </c>
      <c r="J3088" s="3" t="str">
        <f>HYPERLINK("https://www.boe.es/gazeta/dias/1814/06/21/pdfs/GMD-1814-88.pdf#page=9","Abrir facsímil")</f>
        <v>Abrir facsímil</v>
      </c>
      <c r="K3088" s="3" t="s">
        <v>64</v>
      </c>
    </row>
    <row r="3089" spans="1:11" ht="42" customHeight="1">
      <c r="A3089" s="2" t="s">
        <v>7112</v>
      </c>
      <c r="B3089" s="2" t="s">
        <v>7113</v>
      </c>
      <c r="C3089" s="2" t="s">
        <v>26</v>
      </c>
      <c r="D3089" s="2" t="s">
        <v>27</v>
      </c>
      <c r="E3089" s="5">
        <v>-31124</v>
      </c>
      <c r="F3089" s="3" t="s">
        <v>383</v>
      </c>
      <c r="G3089" s="3" t="s">
        <v>574</v>
      </c>
      <c r="H3089" s="2" t="s">
        <v>62</v>
      </c>
      <c r="I3089" s="2" t="s">
        <v>7114</v>
      </c>
      <c r="J3089" s="3" t="str">
        <f>HYPERLINK("https://www.boe.es/gazeta/dias/1814/10/13/pdfs/GMD-1814-138.pdf#page=10","Abrir facsímil")</f>
        <v>Abrir facsímil</v>
      </c>
      <c r="K3089" s="3" t="s">
        <v>64</v>
      </c>
    </row>
    <row r="3090" spans="1:11" ht="42" customHeight="1">
      <c r="A3090" s="2" t="s">
        <v>7115</v>
      </c>
      <c r="B3090" s="2" t="s">
        <v>7116</v>
      </c>
      <c r="C3090" s="2" t="s">
        <v>38</v>
      </c>
      <c r="D3090" s="2" t="s">
        <v>314</v>
      </c>
      <c r="E3090" s="5">
        <v>-31328</v>
      </c>
      <c r="F3090" s="3" t="s">
        <v>442</v>
      </c>
      <c r="G3090" s="3" t="s">
        <v>107</v>
      </c>
      <c r="H3090" s="2" t="s">
        <v>21</v>
      </c>
      <c r="I3090" s="2" t="s">
        <v>7117</v>
      </c>
      <c r="J3090" s="3" t="str">
        <f>HYPERLINK("https://www.boe.es/gazeta/dias/1814/03/23/pdfs/GRE-1814-40E.pdf#page=1","Abrir facsímil")</f>
        <v>Abrir facsímil</v>
      </c>
      <c r="K3090" s="3" t="s">
        <v>23</v>
      </c>
    </row>
    <row r="3091" spans="1:11" ht="42" customHeight="1">
      <c r="A3091" s="2" t="s">
        <v>7118</v>
      </c>
      <c r="B3091" s="2" t="s">
        <v>7119</v>
      </c>
      <c r="C3091" s="2" t="s">
        <v>45</v>
      </c>
      <c r="D3091" s="2" t="s">
        <v>18</v>
      </c>
      <c r="E3091" s="5">
        <v>-31063</v>
      </c>
      <c r="F3091" s="3" t="s">
        <v>649</v>
      </c>
      <c r="G3091" s="3" t="s">
        <v>52</v>
      </c>
      <c r="H3091" s="2" t="s">
        <v>21</v>
      </c>
      <c r="I3091" s="2" t="s">
        <v>7120</v>
      </c>
      <c r="J3091" s="3" t="str">
        <f>HYPERLINK("https://www.boe.es/gazeta/dias/1814/12/13/pdfs/GMD-1814-164.pdf#page=8","Abrir facsímil")</f>
        <v>Abrir facsímil</v>
      </c>
      <c r="K3091" s="3" t="s">
        <v>23</v>
      </c>
    </row>
    <row r="3092" spans="1:11" ht="42" customHeight="1">
      <c r="A3092" s="2" t="s">
        <v>7121</v>
      </c>
      <c r="B3092" s="2" t="s">
        <v>7122</v>
      </c>
      <c r="C3092" s="2" t="s">
        <v>17</v>
      </c>
      <c r="D3092" s="2" t="s">
        <v>18</v>
      </c>
      <c r="E3092" s="5">
        <v>-31119</v>
      </c>
      <c r="F3092" s="3" t="s">
        <v>136</v>
      </c>
      <c r="G3092" s="3" t="s">
        <v>384</v>
      </c>
      <c r="H3092" s="2" t="s">
        <v>62</v>
      </c>
      <c r="I3092" s="2" t="s">
        <v>7123</v>
      </c>
      <c r="J3092" s="3" t="str">
        <f>HYPERLINK("https://www.boe.es/gazeta/dias/1814/10/18/pdfs/GMD-1814-140.pdf#page=11","Abrir facsímil")</f>
        <v>Abrir facsímil</v>
      </c>
      <c r="K3092" s="3" t="s">
        <v>64</v>
      </c>
    </row>
    <row r="3093" spans="1:11" ht="42" customHeight="1">
      <c r="A3093" s="2" t="s">
        <v>7121</v>
      </c>
      <c r="B3093" s="2" t="s">
        <v>7122</v>
      </c>
      <c r="C3093" s="2" t="s">
        <v>17</v>
      </c>
      <c r="D3093" s="2" t="s">
        <v>18</v>
      </c>
      <c r="E3093" s="5">
        <v>-31115</v>
      </c>
      <c r="F3093" s="3" t="s">
        <v>805</v>
      </c>
      <c r="G3093" s="3" t="s">
        <v>20</v>
      </c>
      <c r="H3093" s="2" t="s">
        <v>62</v>
      </c>
      <c r="I3093" s="2" t="s">
        <v>7124</v>
      </c>
      <c r="J3093" s="3" t="str">
        <f>HYPERLINK("https://www.boe.es/gazeta/dias/1814/10/22/pdfs/GMD-1814-142.pdf#page=7","Abrir facsímil")</f>
        <v>Abrir facsímil</v>
      </c>
      <c r="K3093" s="3" t="s">
        <v>64</v>
      </c>
    </row>
    <row r="3094" spans="1:11" ht="42" customHeight="1">
      <c r="A3094" s="2" t="s">
        <v>7121</v>
      </c>
      <c r="B3094" s="2" t="s">
        <v>7122</v>
      </c>
      <c r="C3094" s="2" t="s">
        <v>17</v>
      </c>
      <c r="D3094" s="2" t="s">
        <v>18</v>
      </c>
      <c r="E3094" s="5">
        <v>-31110</v>
      </c>
      <c r="F3094" s="3" t="s">
        <v>149</v>
      </c>
      <c r="G3094" s="3" t="s">
        <v>20</v>
      </c>
      <c r="H3094" s="2" t="s">
        <v>62</v>
      </c>
      <c r="I3094" s="2" t="s">
        <v>7125</v>
      </c>
      <c r="J3094" s="3" t="str">
        <f>HYPERLINK("https://www.boe.es/gazeta/dias/1814/10/27/pdfs/GMD-1814-144.pdf#page=7","Abrir facsímil")</f>
        <v>Abrir facsímil</v>
      </c>
      <c r="K3094" s="3" t="s">
        <v>64</v>
      </c>
    </row>
    <row r="3095" spans="1:11" ht="42" customHeight="1">
      <c r="A3095" s="2" t="s">
        <v>7126</v>
      </c>
      <c r="B3095" s="2" t="s">
        <v>7127</v>
      </c>
      <c r="C3095" s="2" t="s">
        <v>38</v>
      </c>
      <c r="D3095" s="2" t="s">
        <v>314</v>
      </c>
      <c r="E3095" s="5">
        <v>-31296</v>
      </c>
      <c r="F3095" s="3" t="s">
        <v>315</v>
      </c>
      <c r="G3095" s="3" t="s">
        <v>20</v>
      </c>
      <c r="H3095" s="2" t="s">
        <v>62</v>
      </c>
      <c r="I3095" s="2" t="s">
        <v>7128</v>
      </c>
      <c r="J3095" s="3" t="str">
        <f>HYPERLINK("https://www.boe.es/gazeta/dias/1814/04/24/pdfs/GRE-1814-60E.pdf#page=7","Abrir facsímil")</f>
        <v>Abrir facsímil</v>
      </c>
      <c r="K3095" s="3" t="s">
        <v>64</v>
      </c>
    </row>
    <row r="3096" spans="1:11" ht="42" customHeight="1">
      <c r="A3096" s="2" t="s">
        <v>7129</v>
      </c>
      <c r="B3096" s="2" t="s">
        <v>7130</v>
      </c>
      <c r="C3096" s="2" t="s">
        <v>38</v>
      </c>
      <c r="D3096" s="2" t="s">
        <v>314</v>
      </c>
      <c r="E3096" s="5">
        <v>-31328</v>
      </c>
      <c r="F3096" s="3" t="s">
        <v>442</v>
      </c>
      <c r="G3096" s="3" t="s">
        <v>41</v>
      </c>
      <c r="H3096" s="2" t="s">
        <v>21</v>
      </c>
      <c r="I3096" s="2" t="s">
        <v>7131</v>
      </c>
      <c r="J3096" s="3" t="str">
        <f>HYPERLINK("https://www.boe.es/gazeta/dias/1814/03/23/pdfs/GRE-1814-40E.pdf#page=4","Abrir facsímil")</f>
        <v>Abrir facsímil</v>
      </c>
      <c r="K3096" s="3" t="s">
        <v>23</v>
      </c>
    </row>
    <row r="3097" spans="1:11" ht="42" customHeight="1">
      <c r="A3097" s="2" t="s">
        <v>7132</v>
      </c>
      <c r="B3097" s="2" t="s">
        <v>7133</v>
      </c>
      <c r="C3097" s="2" t="s">
        <v>38</v>
      </c>
      <c r="D3097" s="2" t="s">
        <v>314</v>
      </c>
      <c r="E3097" s="5">
        <v>-31328</v>
      </c>
      <c r="F3097" s="3" t="s">
        <v>442</v>
      </c>
      <c r="G3097" s="3" t="s">
        <v>20</v>
      </c>
      <c r="H3097" s="2" t="s">
        <v>62</v>
      </c>
      <c r="I3097" s="2" t="s">
        <v>7134</v>
      </c>
      <c r="J3097" s="3" t="str">
        <f>HYPERLINK("https://www.boe.es/gazeta/dias/1814/03/23/pdfs/GRE-1814-40E.pdf#page=7","Abrir facsímil")</f>
        <v>Abrir facsímil</v>
      </c>
      <c r="K3097" s="3" t="s">
        <v>64</v>
      </c>
    </row>
    <row r="3098" spans="1:11" ht="42" customHeight="1">
      <c r="A3098" s="2" t="s">
        <v>7135</v>
      </c>
      <c r="B3098" s="2" t="s">
        <v>7136</v>
      </c>
      <c r="C3098" s="2" t="s">
        <v>38</v>
      </c>
      <c r="D3098" s="2" t="s">
        <v>314</v>
      </c>
      <c r="E3098" s="5">
        <v>-31328</v>
      </c>
      <c r="F3098" s="3" t="s">
        <v>442</v>
      </c>
      <c r="G3098" s="3" t="s">
        <v>41</v>
      </c>
      <c r="H3098" s="2" t="s">
        <v>21</v>
      </c>
      <c r="I3098" s="2" t="s">
        <v>7137</v>
      </c>
      <c r="J3098" s="3" t="str">
        <f>HYPERLINK("https://www.boe.es/gazeta/dias/1814/03/23/pdfs/GRE-1814-40E.pdf#page=4","Abrir facsímil")</f>
        <v>Abrir facsímil</v>
      </c>
      <c r="K3098" s="3" t="s">
        <v>23</v>
      </c>
    </row>
    <row r="3099" spans="1:11" ht="42" customHeight="1">
      <c r="A3099" s="2" t="s">
        <v>7138</v>
      </c>
      <c r="B3099" s="2" t="s">
        <v>7139</v>
      </c>
      <c r="C3099" s="2" t="s">
        <v>26</v>
      </c>
      <c r="D3099" s="2" t="s">
        <v>27</v>
      </c>
      <c r="E3099" s="5">
        <v>-31129</v>
      </c>
      <c r="F3099" s="3" t="s">
        <v>418</v>
      </c>
      <c r="G3099" s="3" t="s">
        <v>20</v>
      </c>
      <c r="H3099" s="2" t="s">
        <v>62</v>
      </c>
      <c r="I3099" s="2" t="s">
        <v>7140</v>
      </c>
      <c r="J3099" s="3" t="str">
        <f>HYPERLINK("https://www.boe.es/gazeta/dias/1814/10/08/pdfs/GMD-1814-136.pdf#page=7","Abrir facsímil")</f>
        <v>Abrir facsímil</v>
      </c>
      <c r="K3099" s="3" t="s">
        <v>64</v>
      </c>
    </row>
    <row r="3100" spans="1:11" ht="42" customHeight="1">
      <c r="A3100" s="2" t="s">
        <v>7141</v>
      </c>
      <c r="B3100" s="2" t="s">
        <v>7142</v>
      </c>
      <c r="C3100" s="2" t="s">
        <v>26</v>
      </c>
      <c r="D3100" s="2" t="s">
        <v>27</v>
      </c>
      <c r="E3100" s="5">
        <v>-31154</v>
      </c>
      <c r="F3100" s="3" t="s">
        <v>688</v>
      </c>
      <c r="G3100" s="3" t="s">
        <v>831</v>
      </c>
      <c r="H3100" s="2" t="s">
        <v>62</v>
      </c>
      <c r="I3100" s="2" t="s">
        <v>7143</v>
      </c>
      <c r="J3100" s="3" t="str">
        <f>HYPERLINK("https://www.boe.es/gazeta/dias/1814/09/13/pdfs/GMD-1814-125.pdf#page=3","Abrir facsímil")</f>
        <v>Abrir facsímil</v>
      </c>
      <c r="K3100" s="3" t="s">
        <v>64</v>
      </c>
    </row>
    <row r="3101" spans="1:11" ht="42" customHeight="1">
      <c r="A3101" s="2" t="s">
        <v>7144</v>
      </c>
      <c r="B3101" s="2" t="s">
        <v>7145</v>
      </c>
      <c r="C3101" s="2" t="s">
        <v>26</v>
      </c>
      <c r="D3101" s="2" t="s">
        <v>27</v>
      </c>
      <c r="E3101" s="5">
        <v>-31189</v>
      </c>
      <c r="F3101" s="3" t="s">
        <v>379</v>
      </c>
      <c r="G3101" s="3" t="s">
        <v>20</v>
      </c>
      <c r="H3101" s="2" t="s">
        <v>62</v>
      </c>
      <c r="I3101" s="2" t="s">
        <v>7146</v>
      </c>
      <c r="J3101" s="3" t="str">
        <f>HYPERLINK("https://www.boe.es/gazeta/dias/1814/08/09/pdfs/GMD-1814-109.pdf#page=7","Abrir facsímil")</f>
        <v>Abrir facsímil</v>
      </c>
      <c r="K3101" s="3" t="s">
        <v>64</v>
      </c>
    </row>
    <row r="3102" spans="1:11" ht="42" customHeight="1">
      <c r="A3102" s="2" t="s">
        <v>7147</v>
      </c>
      <c r="B3102" s="2" t="s">
        <v>7148</v>
      </c>
      <c r="C3102" s="2" t="s">
        <v>38</v>
      </c>
      <c r="D3102" s="2" t="s">
        <v>39</v>
      </c>
      <c r="E3102" s="5">
        <v>-31133</v>
      </c>
      <c r="F3102" s="3" t="s">
        <v>184</v>
      </c>
      <c r="G3102" s="3" t="s">
        <v>20</v>
      </c>
      <c r="H3102" s="2" t="s">
        <v>62</v>
      </c>
      <c r="I3102" s="2" t="s">
        <v>7149</v>
      </c>
      <c r="J3102" s="3" t="str">
        <f>HYPERLINK("https://www.boe.es/gazeta/dias/1814/10/04/pdfs/GMD-1814-134.pdf#page=7","Abrir facsímil")</f>
        <v>Abrir facsímil</v>
      </c>
      <c r="K3102" s="3" t="s">
        <v>64</v>
      </c>
    </row>
    <row r="3103" spans="1:11" ht="42" customHeight="1">
      <c r="A3103" s="2" t="s">
        <v>7150</v>
      </c>
      <c r="B3103" s="2" t="s">
        <v>7151</v>
      </c>
      <c r="C3103" s="2" t="s">
        <v>17</v>
      </c>
      <c r="D3103" s="2" t="s">
        <v>18</v>
      </c>
      <c r="E3103" s="5">
        <v>-31257</v>
      </c>
      <c r="F3103" s="3" t="s">
        <v>437</v>
      </c>
      <c r="G3103" s="3" t="s">
        <v>41</v>
      </c>
      <c r="H3103" s="2" t="s">
        <v>62</v>
      </c>
      <c r="I3103" s="2" t="s">
        <v>7152</v>
      </c>
      <c r="J3103" s="3" t="str">
        <f>HYPERLINK("https://www.boe.es/gazeta/dias/1814/06/02/pdfs/GMD-1814-80.pdf#page=4","Abrir facsímil")</f>
        <v>Abrir facsímil</v>
      </c>
      <c r="K3103" s="3" t="s">
        <v>64</v>
      </c>
    </row>
    <row r="3104" spans="1:11" ht="42" customHeight="1">
      <c r="A3104" s="2" t="s">
        <v>7153</v>
      </c>
      <c r="B3104" s="2" t="s">
        <v>7153</v>
      </c>
      <c r="C3104" s="2" t="s">
        <v>38</v>
      </c>
      <c r="D3104" s="2" t="s">
        <v>314</v>
      </c>
      <c r="E3104" s="5">
        <v>-31294</v>
      </c>
      <c r="F3104" s="3" t="s">
        <v>2505</v>
      </c>
      <c r="G3104" s="3" t="s">
        <v>41</v>
      </c>
      <c r="H3104" s="2" t="s">
        <v>62</v>
      </c>
      <c r="I3104" s="2" t="s">
        <v>7154</v>
      </c>
      <c r="J3104" s="3" t="str">
        <f>HYPERLINK("https://www.boe.es/gazeta/dias/1814/04/26/pdfs/GRE-1814-62E.pdf#page=4","Abrir facsímil")</f>
        <v>Abrir facsímil</v>
      </c>
      <c r="K3104" s="3" t="s">
        <v>64</v>
      </c>
    </row>
    <row r="3105" spans="1:11" ht="42" customHeight="1">
      <c r="A3105" s="2" t="s">
        <v>7153</v>
      </c>
      <c r="B3105" s="2" t="s">
        <v>7153</v>
      </c>
      <c r="C3105" s="2" t="s">
        <v>38</v>
      </c>
      <c r="D3105" s="2" t="s">
        <v>314</v>
      </c>
      <c r="E3105" s="5">
        <v>-31294</v>
      </c>
      <c r="F3105" s="3" t="s">
        <v>2505</v>
      </c>
      <c r="G3105" s="3" t="s">
        <v>99</v>
      </c>
      <c r="H3105" s="2" t="s">
        <v>62</v>
      </c>
      <c r="I3105" s="2" t="s">
        <v>7155</v>
      </c>
      <c r="J3105" s="3" t="str">
        <f>HYPERLINK("https://www.boe.es/gazeta/dias/1814/04/26/pdfs/GRE-1814-62E.pdf#page=5","Abrir facsímil")</f>
        <v>Abrir facsímil</v>
      </c>
      <c r="K3105" s="3" t="s">
        <v>64</v>
      </c>
    </row>
    <row r="3106" spans="1:11" ht="42" customHeight="1">
      <c r="A3106" s="2" t="s">
        <v>7156</v>
      </c>
      <c r="B3106" s="2" t="s">
        <v>7157</v>
      </c>
      <c r="C3106" s="2" t="s">
        <v>26</v>
      </c>
      <c r="D3106" s="2" t="s">
        <v>27</v>
      </c>
      <c r="E3106" s="5">
        <v>-31238</v>
      </c>
      <c r="F3106" s="3" t="s">
        <v>127</v>
      </c>
      <c r="G3106" s="3" t="s">
        <v>128</v>
      </c>
      <c r="H3106" s="2" t="s">
        <v>62</v>
      </c>
      <c r="I3106" s="2" t="s">
        <v>7158</v>
      </c>
      <c r="J3106" s="3" t="str">
        <f>HYPERLINK("https://www.boe.es/gazeta/dias/1814/06/21/pdfs/GMD-1814-88.pdf#page=8","Abrir facsímil")</f>
        <v>Abrir facsímil</v>
      </c>
      <c r="K3106" s="3" t="s">
        <v>64</v>
      </c>
    </row>
    <row r="3107" spans="1:11" ht="42" customHeight="1">
      <c r="A3107" s="2" t="s">
        <v>7159</v>
      </c>
      <c r="B3107" s="2" t="s">
        <v>7159</v>
      </c>
      <c r="C3107" s="2" t="s">
        <v>38</v>
      </c>
      <c r="D3107" s="2" t="s">
        <v>39</v>
      </c>
      <c r="E3107" s="5">
        <v>-31327</v>
      </c>
      <c r="F3107" s="3" t="s">
        <v>180</v>
      </c>
      <c r="G3107" s="3" t="s">
        <v>87</v>
      </c>
      <c r="H3107" s="2" t="s">
        <v>62</v>
      </c>
      <c r="I3107" s="2" t="s">
        <v>7160</v>
      </c>
      <c r="J3107" s="3" t="str">
        <f>HYPERLINK("https://www.boe.es/gazeta/dias/1814/03/24/pdfs/GRE-1814-41.pdf#page=2","Abrir facsímil")</f>
        <v>Abrir facsímil</v>
      </c>
      <c r="K3107" s="3" t="s">
        <v>64</v>
      </c>
    </row>
    <row r="3108" spans="1:11" ht="42" customHeight="1">
      <c r="A3108" s="2" t="s">
        <v>7159</v>
      </c>
      <c r="B3108" s="2" t="s">
        <v>7159</v>
      </c>
      <c r="C3108" s="2" t="s">
        <v>38</v>
      </c>
      <c r="D3108" s="2" t="s">
        <v>39</v>
      </c>
      <c r="E3108" s="5">
        <v>-31322</v>
      </c>
      <c r="F3108" s="3" t="s">
        <v>114</v>
      </c>
      <c r="G3108" s="3" t="s">
        <v>41</v>
      </c>
      <c r="H3108" s="2" t="s">
        <v>62</v>
      </c>
      <c r="I3108" s="2" t="s">
        <v>7161</v>
      </c>
      <c r="J3108" s="3" t="str">
        <f>HYPERLINK("https://www.boe.es/gazeta/dias/1814/03/29/pdfs/GRE-1814-44.pdf#page=4","Abrir facsímil")</f>
        <v>Abrir facsímil</v>
      </c>
      <c r="K3108" s="3" t="s">
        <v>64</v>
      </c>
    </row>
    <row r="3109" spans="1:11" ht="42" customHeight="1">
      <c r="A3109" s="2" t="s">
        <v>7162</v>
      </c>
      <c r="B3109" s="2" t="s">
        <v>7163</v>
      </c>
      <c r="C3109" s="2" t="s">
        <v>26</v>
      </c>
      <c r="D3109" s="2" t="s">
        <v>27</v>
      </c>
      <c r="E3109" s="5">
        <v>-31217</v>
      </c>
      <c r="F3109" s="3" t="s">
        <v>506</v>
      </c>
      <c r="G3109" s="3" t="s">
        <v>20</v>
      </c>
      <c r="H3109" s="2" t="s">
        <v>62</v>
      </c>
      <c r="I3109" s="2" t="s">
        <v>7164</v>
      </c>
      <c r="J3109" s="3" t="str">
        <f>HYPERLINK("https://www.boe.es/gazeta/dias/1814/07/12/pdfs/GMD-1814-97.pdf#page=7","Abrir facsímil")</f>
        <v>Abrir facsímil</v>
      </c>
      <c r="K3109" s="3" t="s">
        <v>64</v>
      </c>
    </row>
    <row r="3110" spans="1:11" ht="42" customHeight="1">
      <c r="A3110" s="2" t="s">
        <v>7165</v>
      </c>
      <c r="B3110" s="2" t="s">
        <v>7166</v>
      </c>
      <c r="C3110" s="2" t="s">
        <v>38</v>
      </c>
      <c r="D3110" s="2" t="s">
        <v>39</v>
      </c>
      <c r="E3110" s="5">
        <v>-31276</v>
      </c>
      <c r="F3110" s="3" t="s">
        <v>494</v>
      </c>
      <c r="G3110" s="3" t="s">
        <v>99</v>
      </c>
      <c r="H3110" s="2" t="s">
        <v>62</v>
      </c>
      <c r="I3110" s="2" t="s">
        <v>7167</v>
      </c>
      <c r="J3110" s="3" t="str">
        <f>HYPERLINK("https://www.boe.es/gazeta/dias/1814/05/14/pdfs/GMD-1814-71.pdf#page=5","Abrir facsímil")</f>
        <v>Abrir facsímil</v>
      </c>
      <c r="K3110" s="3" t="s">
        <v>64</v>
      </c>
    </row>
    <row r="3111" spans="1:11" ht="42" customHeight="1">
      <c r="A3111" s="2" t="s">
        <v>7168</v>
      </c>
      <c r="B3111" s="2" t="s">
        <v>7169</v>
      </c>
      <c r="C3111" s="2" t="s">
        <v>45</v>
      </c>
      <c r="D3111" s="2" t="s">
        <v>18</v>
      </c>
      <c r="E3111" s="5">
        <v>-31217</v>
      </c>
      <c r="F3111" s="3" t="s">
        <v>506</v>
      </c>
      <c r="G3111" s="3" t="s">
        <v>322</v>
      </c>
      <c r="H3111" s="2" t="s">
        <v>62</v>
      </c>
      <c r="I3111" s="2" t="s">
        <v>7170</v>
      </c>
      <c r="J3111" s="3" t="str">
        <f>HYPERLINK("https://www.boe.es/gazeta/dias/1814/07/12/pdfs/GMD-1814-97.pdf#page=12","Abrir facsímil")</f>
        <v>Abrir facsímil</v>
      </c>
      <c r="K3111" s="3" t="s">
        <v>64</v>
      </c>
    </row>
    <row r="3112" spans="1:11" ht="42" customHeight="1">
      <c r="A3112" s="2" t="s">
        <v>7171</v>
      </c>
      <c r="B3112" s="2" t="s">
        <v>7172</v>
      </c>
      <c r="C3112" s="2" t="s">
        <v>38</v>
      </c>
      <c r="D3112" s="2" t="s">
        <v>39</v>
      </c>
      <c r="E3112" s="5">
        <v>-31213</v>
      </c>
      <c r="F3112" s="3" t="s">
        <v>276</v>
      </c>
      <c r="G3112" s="3" t="s">
        <v>41</v>
      </c>
      <c r="H3112" s="2" t="s">
        <v>62</v>
      </c>
      <c r="I3112" s="2" t="s">
        <v>7173</v>
      </c>
      <c r="J3112" s="3" t="str">
        <f>HYPERLINK("https://www.boe.es/gazeta/dias/1814/07/16/pdfs/GMD-1814-99.pdf#page=4","Abrir facsímil")</f>
        <v>Abrir facsímil</v>
      </c>
      <c r="K3112" s="3" t="s">
        <v>64</v>
      </c>
    </row>
    <row r="3113" spans="1:11" ht="42" customHeight="1">
      <c r="A3113" s="2" t="s">
        <v>7174</v>
      </c>
      <c r="B3113" s="2" t="s">
        <v>7175</v>
      </c>
      <c r="C3113" s="2" t="s">
        <v>38</v>
      </c>
      <c r="D3113" s="2" t="s">
        <v>39</v>
      </c>
      <c r="E3113" s="5">
        <v>-31327</v>
      </c>
      <c r="F3113" s="3" t="s">
        <v>180</v>
      </c>
      <c r="G3113" s="3" t="s">
        <v>57</v>
      </c>
      <c r="H3113" s="2" t="s">
        <v>62</v>
      </c>
      <c r="I3113" s="2" t="s">
        <v>7176</v>
      </c>
      <c r="J3113" s="3" t="str">
        <f>HYPERLINK("https://www.boe.es/gazeta/dias/1814/03/24/pdfs/GRE-1814-41.pdf#page=6","Abrir facsímil")</f>
        <v>Abrir facsímil</v>
      </c>
      <c r="K3113" s="3" t="s">
        <v>64</v>
      </c>
    </row>
    <row r="3114" spans="1:11" ht="42" customHeight="1">
      <c r="A3114" s="2" t="s">
        <v>7177</v>
      </c>
      <c r="B3114" s="2" t="s">
        <v>7178</v>
      </c>
      <c r="C3114" s="2" t="s">
        <v>26</v>
      </c>
      <c r="D3114" s="2" t="s">
        <v>27</v>
      </c>
      <c r="E3114" s="5">
        <v>-31124</v>
      </c>
      <c r="F3114" s="3" t="s">
        <v>383</v>
      </c>
      <c r="G3114" s="3" t="s">
        <v>574</v>
      </c>
      <c r="H3114" s="2" t="s">
        <v>21</v>
      </c>
      <c r="I3114" s="2" t="s">
        <v>7179</v>
      </c>
      <c r="J3114" s="3" t="str">
        <f>HYPERLINK("https://www.boe.es/gazeta/dias/1814/10/13/pdfs/GMD-1814-138.pdf#page=10","Abrir facsímil")</f>
        <v>Abrir facsímil</v>
      </c>
      <c r="K3114" s="3" t="s">
        <v>23</v>
      </c>
    </row>
    <row r="3115" spans="1:11" ht="42" customHeight="1">
      <c r="A3115" s="2" t="s">
        <v>7180</v>
      </c>
      <c r="B3115" s="2" t="s">
        <v>7181</v>
      </c>
      <c r="C3115" s="2" t="s">
        <v>38</v>
      </c>
      <c r="D3115" s="2" t="s">
        <v>39</v>
      </c>
      <c r="E3115" s="5">
        <v>-31096</v>
      </c>
      <c r="F3115" s="3" t="s">
        <v>223</v>
      </c>
      <c r="G3115" s="3" t="s">
        <v>972</v>
      </c>
      <c r="H3115" s="2" t="s">
        <v>62</v>
      </c>
      <c r="I3115" s="2" t="s">
        <v>7182</v>
      </c>
      <c r="J3115" s="3" t="str">
        <f>HYPERLINK("https://www.boe.es/gazeta/dias/1814/11/10/pdfs/GMD-1814-150.pdf#page=8","Abrir facsímil")</f>
        <v>Abrir facsímil</v>
      </c>
      <c r="K3115" s="3" t="s">
        <v>64</v>
      </c>
    </row>
    <row r="3116" spans="1:11" ht="42" customHeight="1">
      <c r="A3116" s="2" t="s">
        <v>7183</v>
      </c>
      <c r="B3116" s="2" t="s">
        <v>7184</v>
      </c>
      <c r="C3116" s="2" t="s">
        <v>38</v>
      </c>
      <c r="D3116" s="2" t="s">
        <v>39</v>
      </c>
      <c r="E3116" s="5">
        <v>-31168</v>
      </c>
      <c r="F3116" s="3" t="s">
        <v>893</v>
      </c>
      <c r="G3116" s="3" t="s">
        <v>1981</v>
      </c>
      <c r="H3116" s="2" t="s">
        <v>62</v>
      </c>
      <c r="I3116" s="2" t="s">
        <v>7185</v>
      </c>
      <c r="J3116" s="3" t="str">
        <f>HYPERLINK("https://www.boe.es/gazeta/dias/1814/08/30/pdfs/GMD-1814-118.pdf#page=8","Abrir facsímil")</f>
        <v>Abrir facsímil</v>
      </c>
      <c r="K3116" s="3" t="s">
        <v>64</v>
      </c>
    </row>
    <row r="3117" spans="1:11" ht="42" customHeight="1">
      <c r="A3117" s="2" t="s">
        <v>7186</v>
      </c>
      <c r="B3117" s="2" t="s">
        <v>7187</v>
      </c>
      <c r="C3117" s="2" t="s">
        <v>26</v>
      </c>
      <c r="D3117" s="2" t="s">
        <v>27</v>
      </c>
      <c r="E3117" s="5">
        <v>-31194</v>
      </c>
      <c r="F3117" s="3" t="s">
        <v>333</v>
      </c>
      <c r="G3117" s="3" t="s">
        <v>3000</v>
      </c>
      <c r="H3117" s="2" t="s">
        <v>62</v>
      </c>
      <c r="I3117" s="2" t="s">
        <v>7188</v>
      </c>
      <c r="J3117" s="3" t="str">
        <f>HYPERLINK("https://www.boe.es/gazeta/dias/1814/08/04/pdfs/GMD-1814-107.pdf#page=4","Abrir facsímil")</f>
        <v>Abrir facsímil</v>
      </c>
      <c r="K3117" s="3" t="s">
        <v>64</v>
      </c>
    </row>
    <row r="3118" spans="1:11" ht="42" customHeight="1">
      <c r="A3118" s="2" t="s">
        <v>7189</v>
      </c>
      <c r="B3118" s="2" t="s">
        <v>7190</v>
      </c>
      <c r="C3118" s="2" t="s">
        <v>45</v>
      </c>
      <c r="D3118" s="2" t="s">
        <v>18</v>
      </c>
      <c r="E3118" s="5">
        <v>-31285</v>
      </c>
      <c r="F3118" s="3" t="s">
        <v>1141</v>
      </c>
      <c r="G3118" s="3" t="s">
        <v>1142</v>
      </c>
      <c r="H3118" s="2" t="s">
        <v>21</v>
      </c>
      <c r="I3118" s="2" t="s">
        <v>7191</v>
      </c>
      <c r="J3118" s="3" t="str">
        <f>HYPERLINK("https://www.boe.es/gazeta/dias/1814/05/05/pdfs/GRE-1814-66.pdf#page=8","Abrir facsímil")</f>
        <v>Abrir facsímil</v>
      </c>
      <c r="K3118" s="3" t="s">
        <v>23</v>
      </c>
    </row>
    <row r="3119" spans="1:11" ht="42" customHeight="1">
      <c r="A3119" s="2" t="s">
        <v>7192</v>
      </c>
      <c r="B3119" s="2" t="s">
        <v>7193</v>
      </c>
      <c r="C3119" s="2" t="s">
        <v>26</v>
      </c>
      <c r="D3119" s="2" t="s">
        <v>27</v>
      </c>
      <c r="E3119" s="5">
        <v>-31124</v>
      </c>
      <c r="F3119" s="3" t="s">
        <v>383</v>
      </c>
      <c r="G3119" s="3" t="s">
        <v>574</v>
      </c>
      <c r="H3119" s="2" t="s">
        <v>62</v>
      </c>
      <c r="I3119" s="2" t="s">
        <v>7194</v>
      </c>
      <c r="J3119" s="3" t="str">
        <f>HYPERLINK("https://www.boe.es/gazeta/dias/1814/10/13/pdfs/GMD-1814-138.pdf#page=10","Abrir facsímil")</f>
        <v>Abrir facsímil</v>
      </c>
      <c r="K3119" s="3" t="s">
        <v>64</v>
      </c>
    </row>
    <row r="3120" spans="1:11" ht="42" customHeight="1">
      <c r="A3120" s="2" t="s">
        <v>7195</v>
      </c>
      <c r="B3120" s="2" t="s">
        <v>7196</v>
      </c>
      <c r="C3120" s="2" t="s">
        <v>38</v>
      </c>
      <c r="D3120" s="2" t="s">
        <v>39</v>
      </c>
      <c r="E3120" s="5">
        <v>-31068</v>
      </c>
      <c r="F3120" s="3" t="s">
        <v>548</v>
      </c>
      <c r="G3120" s="3" t="s">
        <v>20</v>
      </c>
      <c r="H3120" s="2" t="s">
        <v>62</v>
      </c>
      <c r="I3120" s="2" t="s">
        <v>7197</v>
      </c>
      <c r="J3120" s="3" t="str">
        <f>HYPERLINK("https://www.boe.es/gazeta/dias/1814/12/08/pdfs/GMD-1814-162.pdf#page=7","Abrir facsímil")</f>
        <v>Abrir facsímil</v>
      </c>
      <c r="K3120" s="3" t="s">
        <v>64</v>
      </c>
    </row>
    <row r="3121" spans="1:11" ht="42" customHeight="1">
      <c r="A3121" s="2" t="s">
        <v>7198</v>
      </c>
      <c r="B3121" s="2" t="s">
        <v>7199</v>
      </c>
      <c r="C3121" s="2" t="s">
        <v>45</v>
      </c>
      <c r="D3121" s="2" t="s">
        <v>18</v>
      </c>
      <c r="E3121" s="5">
        <v>-31171</v>
      </c>
      <c r="F3121" s="3" t="s">
        <v>157</v>
      </c>
      <c r="G3121" s="3" t="s">
        <v>158</v>
      </c>
      <c r="H3121" s="2" t="s">
        <v>21</v>
      </c>
      <c r="I3121" s="2" t="s">
        <v>7200</v>
      </c>
      <c r="J3121" s="3" t="str">
        <f>HYPERLINK("https://www.boe.es/gazeta/dias/1814/08/27/pdfs/GMD-1814-117.pdf#page=7","Abrir facsímil")</f>
        <v>Abrir facsímil</v>
      </c>
      <c r="K3121" s="3" t="s">
        <v>23</v>
      </c>
    </row>
    <row r="3122" spans="1:11" ht="42" customHeight="1">
      <c r="A3122" s="2" t="s">
        <v>7201</v>
      </c>
      <c r="B3122" s="2" t="s">
        <v>7202</v>
      </c>
      <c r="C3122" s="2" t="s">
        <v>26</v>
      </c>
      <c r="D3122" s="2" t="s">
        <v>27</v>
      </c>
      <c r="E3122" s="5">
        <v>-31255</v>
      </c>
      <c r="F3122" s="3" t="s">
        <v>983</v>
      </c>
      <c r="G3122" s="3" t="s">
        <v>20</v>
      </c>
      <c r="H3122" s="2" t="s">
        <v>62</v>
      </c>
      <c r="I3122" s="2" t="s">
        <v>7203</v>
      </c>
      <c r="J3122" s="3" t="str">
        <f>HYPERLINK("https://www.boe.es/gazeta/dias/1814/06/04/pdfs/GMD-1814-81.pdf#page=7","Abrir facsímil")</f>
        <v>Abrir facsímil</v>
      </c>
      <c r="K3122" s="3" t="s">
        <v>64</v>
      </c>
    </row>
    <row r="3123" spans="1:11" ht="42" customHeight="1">
      <c r="A3123" s="2" t="s">
        <v>7204</v>
      </c>
      <c r="B3123" s="2" t="s">
        <v>7205</v>
      </c>
      <c r="C3123" s="2" t="s">
        <v>26</v>
      </c>
      <c r="D3123" s="2" t="s">
        <v>27</v>
      </c>
      <c r="E3123" s="5">
        <v>-31255</v>
      </c>
      <c r="F3123" s="3" t="s">
        <v>983</v>
      </c>
      <c r="G3123" s="3" t="s">
        <v>20</v>
      </c>
      <c r="H3123" s="2" t="s">
        <v>21</v>
      </c>
      <c r="I3123" s="2" t="s">
        <v>7206</v>
      </c>
      <c r="J3123" s="3" t="str">
        <f>HYPERLINK("https://www.boe.es/gazeta/dias/1814/06/04/pdfs/GMD-1814-81.pdf#page=7","Abrir facsímil")</f>
        <v>Abrir facsímil</v>
      </c>
      <c r="K3123" s="3" t="s">
        <v>23</v>
      </c>
    </row>
    <row r="3124" spans="1:11" ht="42" customHeight="1">
      <c r="A3124" s="2" t="s">
        <v>7204</v>
      </c>
      <c r="B3124" s="2" t="s">
        <v>7205</v>
      </c>
      <c r="C3124" s="2" t="s">
        <v>38</v>
      </c>
      <c r="D3124" s="2" t="s">
        <v>39</v>
      </c>
      <c r="E3124" s="5">
        <v>-31124</v>
      </c>
      <c r="F3124" s="3" t="s">
        <v>383</v>
      </c>
      <c r="G3124" s="3" t="s">
        <v>574</v>
      </c>
      <c r="H3124" s="2" t="s">
        <v>21</v>
      </c>
      <c r="I3124" s="2" t="s">
        <v>7207</v>
      </c>
      <c r="J3124" s="3" t="str">
        <f>HYPERLINK("https://www.boe.es/gazeta/dias/1814/10/13/pdfs/GMD-1814-138.pdf#page=10","Abrir facsímil")</f>
        <v>Abrir facsímil</v>
      </c>
      <c r="K3124" s="3" t="s">
        <v>23</v>
      </c>
    </row>
    <row r="3125" spans="1:11" ht="42" customHeight="1">
      <c r="A3125" s="2" t="s">
        <v>7208</v>
      </c>
      <c r="B3125" s="2" t="s">
        <v>7209</v>
      </c>
      <c r="C3125" s="2" t="s">
        <v>38</v>
      </c>
      <c r="D3125" s="2" t="s">
        <v>39</v>
      </c>
      <c r="E3125" s="5">
        <v>-31080</v>
      </c>
      <c r="F3125" s="3" t="s">
        <v>286</v>
      </c>
      <c r="G3125" s="3" t="s">
        <v>677</v>
      </c>
      <c r="H3125" s="2" t="s">
        <v>21</v>
      </c>
      <c r="I3125" s="2" t="s">
        <v>7210</v>
      </c>
      <c r="J3125" s="3" t="str">
        <f>HYPERLINK("https://www.boe.es/gazeta/dias/1814/11/26/pdfs/GMD-1814-157.pdf#page=7","Abrir facsímil")</f>
        <v>Abrir facsímil</v>
      </c>
      <c r="K3125" s="3" t="s">
        <v>23</v>
      </c>
    </row>
    <row r="3126" spans="1:11" ht="42" customHeight="1">
      <c r="A3126" s="2" t="s">
        <v>7211</v>
      </c>
      <c r="B3126" s="2" t="s">
        <v>7212</v>
      </c>
      <c r="C3126" s="2" t="s">
        <v>38</v>
      </c>
      <c r="D3126" s="2" t="s">
        <v>39</v>
      </c>
      <c r="E3126" s="5">
        <v>-31308</v>
      </c>
      <c r="F3126" s="3" t="s">
        <v>210</v>
      </c>
      <c r="G3126" s="3" t="s">
        <v>20</v>
      </c>
      <c r="H3126" s="2" t="s">
        <v>62</v>
      </c>
      <c r="I3126" s="2" t="s">
        <v>7213</v>
      </c>
      <c r="J3126" s="3" t="str">
        <f>HYPERLINK("https://www.boe.es/gazeta/dias/1814/04/12/pdfs/GRE-1814-52.pdf#page=7","Abrir facsímil")</f>
        <v>Abrir facsímil</v>
      </c>
      <c r="K3126" s="3" t="s">
        <v>64</v>
      </c>
    </row>
    <row r="3127" spans="1:11" ht="42" customHeight="1">
      <c r="A3127" s="2" t="s">
        <v>7214</v>
      </c>
      <c r="B3127" s="2" t="s">
        <v>7215</v>
      </c>
      <c r="C3127" s="2" t="s">
        <v>38</v>
      </c>
      <c r="D3127" s="2" t="s">
        <v>39</v>
      </c>
      <c r="E3127" s="5">
        <v>-31196</v>
      </c>
      <c r="F3127" s="3" t="s">
        <v>828</v>
      </c>
      <c r="G3127" s="3" t="s">
        <v>52</v>
      </c>
      <c r="H3127" s="2" t="s">
        <v>62</v>
      </c>
      <c r="I3127" s="2" t="s">
        <v>7216</v>
      </c>
      <c r="J3127" s="3" t="str">
        <f>HYPERLINK("https://www.boe.es/gazeta/dias/1814/08/02/pdfs/GMD-1814-106.pdf#page=8","Abrir facsímil")</f>
        <v>Abrir facsímil</v>
      </c>
      <c r="K3127" s="3" t="s">
        <v>64</v>
      </c>
    </row>
    <row r="3128" spans="1:11" ht="42" customHeight="1">
      <c r="A3128" s="2" t="s">
        <v>7217</v>
      </c>
      <c r="B3128" s="2" t="s">
        <v>7218</v>
      </c>
      <c r="C3128" s="2" t="s">
        <v>38</v>
      </c>
      <c r="D3128" s="2" t="s">
        <v>39</v>
      </c>
      <c r="E3128" s="5">
        <v>-31308</v>
      </c>
      <c r="F3128" s="3" t="s">
        <v>210</v>
      </c>
      <c r="G3128" s="3" t="s">
        <v>20</v>
      </c>
      <c r="H3128" s="2" t="s">
        <v>62</v>
      </c>
      <c r="I3128" s="2" t="s">
        <v>7219</v>
      </c>
      <c r="J3128" s="3" t="str">
        <f>HYPERLINK("https://www.boe.es/gazeta/dias/1814/04/12/pdfs/GRE-1814-52.pdf#page=7","Abrir facsímil")</f>
        <v>Abrir facsímil</v>
      </c>
      <c r="K3128" s="3" t="s">
        <v>64</v>
      </c>
    </row>
    <row r="3129" spans="1:11" ht="42" customHeight="1">
      <c r="A3129" s="2" t="s">
        <v>7220</v>
      </c>
      <c r="B3129" s="2" t="s">
        <v>7221</v>
      </c>
      <c r="C3129" s="2" t="s">
        <v>17</v>
      </c>
      <c r="D3129" s="2" t="s">
        <v>18</v>
      </c>
      <c r="E3129" s="5">
        <v>-31110</v>
      </c>
      <c r="F3129" s="3" t="s">
        <v>149</v>
      </c>
      <c r="G3129" s="3" t="s">
        <v>52</v>
      </c>
      <c r="H3129" s="2" t="s">
        <v>62</v>
      </c>
      <c r="I3129" s="2" t="s">
        <v>7222</v>
      </c>
      <c r="J3129" s="3" t="str">
        <f>HYPERLINK("https://www.boe.es/gazeta/dias/1814/10/27/pdfs/GMD-1814-144.pdf#page=8","Abrir facsímil")</f>
        <v>Abrir facsímil</v>
      </c>
      <c r="K3129" s="3" t="s">
        <v>64</v>
      </c>
    </row>
    <row r="3130" spans="1:11" ht="42" customHeight="1">
      <c r="A3130" s="2" t="s">
        <v>7223</v>
      </c>
      <c r="B3130" s="2" t="s">
        <v>7224</v>
      </c>
      <c r="C3130" s="2" t="s">
        <v>26</v>
      </c>
      <c r="D3130" s="2" t="s">
        <v>27</v>
      </c>
      <c r="E3130" s="5">
        <v>-31301</v>
      </c>
      <c r="F3130" s="3" t="s">
        <v>81</v>
      </c>
      <c r="G3130" s="3" t="s">
        <v>52</v>
      </c>
      <c r="H3130" s="2" t="s">
        <v>62</v>
      </c>
      <c r="I3130" s="2" t="s">
        <v>7225</v>
      </c>
      <c r="J3130" s="3" t="str">
        <f>HYPERLINK("https://www.boe.es/gazeta/dias/1814/04/19/pdfs/GRE-1814-56.pdf#page=8","Abrir facsímil")</f>
        <v>Abrir facsímil</v>
      </c>
      <c r="K3130" s="3" t="s">
        <v>64</v>
      </c>
    </row>
    <row r="3131" spans="1:11" ht="42" customHeight="1">
      <c r="A3131" s="2" t="s">
        <v>7223</v>
      </c>
      <c r="B3131" s="2" t="s">
        <v>7224</v>
      </c>
      <c r="C3131" s="2" t="s">
        <v>26</v>
      </c>
      <c r="D3131" s="2" t="s">
        <v>27</v>
      </c>
      <c r="E3131" s="5">
        <v>-31292</v>
      </c>
      <c r="F3131" s="3" t="s">
        <v>557</v>
      </c>
      <c r="G3131" s="3" t="s">
        <v>52</v>
      </c>
      <c r="H3131" s="2" t="s">
        <v>62</v>
      </c>
      <c r="I3131" s="2" t="s">
        <v>7226</v>
      </c>
      <c r="J3131" s="3" t="str">
        <f>HYPERLINK("https://www.boe.es/gazeta/dias/1814/04/28/pdfs/GRE-1814-63.pdf#page=8","Abrir facsímil")</f>
        <v>Abrir facsímil</v>
      </c>
      <c r="K3131" s="3" t="s">
        <v>64</v>
      </c>
    </row>
    <row r="3132" spans="1:11" ht="42" customHeight="1">
      <c r="A3132" s="2" t="s">
        <v>7227</v>
      </c>
      <c r="B3132" s="2" t="s">
        <v>7227</v>
      </c>
      <c r="C3132" s="2" t="s">
        <v>17</v>
      </c>
      <c r="D3132" s="2" t="s">
        <v>18</v>
      </c>
      <c r="E3132" s="5">
        <v>-31405</v>
      </c>
      <c r="F3132" s="3" t="s">
        <v>1754</v>
      </c>
      <c r="G3132" s="3" t="s">
        <v>3368</v>
      </c>
      <c r="H3132" s="2" t="s">
        <v>62</v>
      </c>
      <c r="I3132" s="2" t="s">
        <v>7228</v>
      </c>
      <c r="J3132" s="3" t="str">
        <f>HYPERLINK("https://www.boe.es/gazeta/dias/1814/01/05/pdfs/GRE-1814-5.pdf#page=8","Abrir facsímil")</f>
        <v>Abrir facsímil</v>
      </c>
      <c r="K3132" s="3" t="s">
        <v>64</v>
      </c>
    </row>
    <row r="3133" spans="1:11" ht="42" customHeight="1">
      <c r="A3133" s="2" t="s">
        <v>7227</v>
      </c>
      <c r="B3133" s="2" t="s">
        <v>7227</v>
      </c>
      <c r="C3133" s="2" t="s">
        <v>17</v>
      </c>
      <c r="D3133" s="2" t="s">
        <v>18</v>
      </c>
      <c r="E3133" s="5">
        <v>-31402</v>
      </c>
      <c r="F3133" s="3" t="s">
        <v>1754</v>
      </c>
      <c r="G3133" s="3" t="s">
        <v>3368</v>
      </c>
      <c r="H3133" s="2" t="s">
        <v>62</v>
      </c>
      <c r="I3133" s="2" t="s">
        <v>7228</v>
      </c>
      <c r="J3133" s="3" t="str">
        <f>HYPERLINK("https://www.boe.es/gazeta/dias/1814/01/08/pdfs/GRE-1814-5.pdf#page=8","Abrir facsímil")</f>
        <v>Abrir facsímil</v>
      </c>
      <c r="K3133" s="3" t="s">
        <v>64</v>
      </c>
    </row>
    <row r="3134" spans="1:11" ht="42" customHeight="1">
      <c r="A3134" s="2" t="s">
        <v>7227</v>
      </c>
      <c r="B3134" s="2" t="s">
        <v>7227</v>
      </c>
      <c r="C3134" s="2" t="s">
        <v>17</v>
      </c>
      <c r="D3134" s="2" t="s">
        <v>18</v>
      </c>
      <c r="E3134" s="5">
        <v>-31355</v>
      </c>
      <c r="F3134" s="3" t="s">
        <v>50</v>
      </c>
      <c r="G3134" s="3" t="s">
        <v>20</v>
      </c>
      <c r="H3134" s="2" t="s">
        <v>62</v>
      </c>
      <c r="I3134" s="2" t="s">
        <v>7229</v>
      </c>
      <c r="J3134" s="3" t="str">
        <f>HYPERLINK("https://www.boe.es/gazeta/dias/1814/02/24/pdfs/GRE-1814-26.pdf#page=7","Abrir facsímil")</f>
        <v>Abrir facsímil</v>
      </c>
      <c r="K3134" s="3" t="s">
        <v>64</v>
      </c>
    </row>
    <row r="3135" spans="1:11" ht="42" customHeight="1">
      <c r="A3135" s="2" t="s">
        <v>7230</v>
      </c>
      <c r="B3135" s="2" t="s">
        <v>7230</v>
      </c>
      <c r="C3135" s="2" t="s">
        <v>17</v>
      </c>
      <c r="D3135" s="2" t="s">
        <v>18</v>
      </c>
      <c r="E3135" s="5">
        <v>-31257</v>
      </c>
      <c r="F3135" s="3" t="s">
        <v>437</v>
      </c>
      <c r="G3135" s="3" t="s">
        <v>438</v>
      </c>
      <c r="H3135" s="2" t="s">
        <v>62</v>
      </c>
      <c r="I3135" s="2" t="s">
        <v>7231</v>
      </c>
      <c r="J3135" s="3" t="str">
        <f>HYPERLINK("https://www.boe.es/gazeta/dias/1814/06/02/pdfs/GMD-1814-80.pdf#page=5","Abrir facsímil")</f>
        <v>Abrir facsímil</v>
      </c>
      <c r="K3135" s="3" t="s">
        <v>64</v>
      </c>
    </row>
    <row r="3136" spans="1:11" ht="42" customHeight="1">
      <c r="A3136" s="2" t="s">
        <v>7230</v>
      </c>
      <c r="B3136" s="2" t="s">
        <v>7230</v>
      </c>
      <c r="C3136" s="2" t="s">
        <v>17</v>
      </c>
      <c r="D3136" s="2" t="s">
        <v>18</v>
      </c>
      <c r="E3136" s="5">
        <v>-31238</v>
      </c>
      <c r="F3136" s="3" t="s">
        <v>127</v>
      </c>
      <c r="G3136" s="3" t="s">
        <v>128</v>
      </c>
      <c r="H3136" s="2" t="s">
        <v>62</v>
      </c>
      <c r="I3136" s="2" t="s">
        <v>7232</v>
      </c>
      <c r="J3136" s="3" t="str">
        <f>HYPERLINK("https://www.boe.es/gazeta/dias/1814/06/21/pdfs/GMD-1814-88.pdf#page=8","Abrir facsímil")</f>
        <v>Abrir facsímil</v>
      </c>
      <c r="K3136" s="3" t="s">
        <v>64</v>
      </c>
    </row>
    <row r="3137" spans="1:11" ht="42" customHeight="1">
      <c r="A3137" s="2" t="s">
        <v>7233</v>
      </c>
      <c r="B3137" s="2" t="s">
        <v>7234</v>
      </c>
      <c r="C3137" s="2" t="s">
        <v>26</v>
      </c>
      <c r="D3137" s="2" t="s">
        <v>27</v>
      </c>
      <c r="E3137" s="5">
        <v>-31068</v>
      </c>
      <c r="F3137" s="3" t="s">
        <v>548</v>
      </c>
      <c r="G3137" s="3" t="s">
        <v>57</v>
      </c>
      <c r="H3137" s="2" t="s">
        <v>62</v>
      </c>
      <c r="I3137" s="2" t="s">
        <v>7235</v>
      </c>
      <c r="J3137" s="3" t="str">
        <f>HYPERLINK("https://www.boe.es/gazeta/dias/1814/12/08/pdfs/GMD-1814-162.pdf#page=6","Abrir facsímil")</f>
        <v>Abrir facsímil</v>
      </c>
      <c r="K3137" s="3" t="s">
        <v>64</v>
      </c>
    </row>
    <row r="3138" spans="1:11" ht="42" customHeight="1">
      <c r="A3138" s="2" t="s">
        <v>7236</v>
      </c>
      <c r="B3138" s="2" t="s">
        <v>7237</v>
      </c>
      <c r="C3138" s="2" t="s">
        <v>38</v>
      </c>
      <c r="D3138" s="2" t="s">
        <v>39</v>
      </c>
      <c r="E3138" s="5">
        <v>-31266</v>
      </c>
      <c r="F3138" s="3" t="s">
        <v>191</v>
      </c>
      <c r="G3138" s="3" t="s">
        <v>99</v>
      </c>
      <c r="H3138" s="2" t="s">
        <v>62</v>
      </c>
      <c r="I3138" s="2" t="s">
        <v>7238</v>
      </c>
      <c r="J3138" s="3" t="str">
        <f>HYPERLINK("https://www.boe.es/gazeta/dias/1814/05/24/pdfs/GMD-1814-76.pdf#page=5","Abrir facsímil")</f>
        <v>Abrir facsímil</v>
      </c>
      <c r="K3138" s="3" t="s">
        <v>64</v>
      </c>
    </row>
    <row r="3139" spans="1:11" ht="42" customHeight="1">
      <c r="A3139" s="2" t="s">
        <v>7239</v>
      </c>
      <c r="B3139" s="2" t="s">
        <v>7239</v>
      </c>
      <c r="C3139" s="2" t="s">
        <v>38</v>
      </c>
      <c r="D3139" s="2" t="s">
        <v>39</v>
      </c>
      <c r="E3139" s="5">
        <v>-31325</v>
      </c>
      <c r="F3139" s="3" t="s">
        <v>67</v>
      </c>
      <c r="G3139" s="3" t="s">
        <v>82</v>
      </c>
      <c r="H3139" s="2" t="s">
        <v>62</v>
      </c>
      <c r="I3139" s="2" t="s">
        <v>7240</v>
      </c>
      <c r="J3139" s="3" t="str">
        <f>HYPERLINK("https://www.boe.es/gazeta/dias/1814/03/26/pdfs/GRE-1814-43.pdf#page=3","Abrir facsímil")</f>
        <v>Abrir facsímil</v>
      </c>
      <c r="K3139" s="3" t="s">
        <v>64</v>
      </c>
    </row>
    <row r="3140" spans="1:11" ht="42" customHeight="1">
      <c r="A3140" s="2" t="s">
        <v>7241</v>
      </c>
      <c r="B3140" s="2" t="s">
        <v>7242</v>
      </c>
      <c r="C3140" s="2" t="s">
        <v>105</v>
      </c>
      <c r="D3140" s="2" t="s">
        <v>18</v>
      </c>
      <c r="E3140" s="5">
        <v>-31089</v>
      </c>
      <c r="F3140" s="3" t="s">
        <v>531</v>
      </c>
      <c r="G3140" s="3" t="s">
        <v>794</v>
      </c>
      <c r="H3140" s="2" t="s">
        <v>62</v>
      </c>
      <c r="I3140" s="2" t="s">
        <v>7243</v>
      </c>
      <c r="J3140" s="3" t="str">
        <f>HYPERLINK("https://www.boe.es/gazeta/dias/1814/11/17/pdfs/GMD-1814-153.pdf#page=8","Abrir facsímil")</f>
        <v>Abrir facsímil</v>
      </c>
      <c r="K3140" s="3" t="s">
        <v>64</v>
      </c>
    </row>
    <row r="3141" spans="1:11" ht="42" customHeight="1">
      <c r="A3141" s="2" t="s">
        <v>7244</v>
      </c>
      <c r="B3141" s="2" t="s">
        <v>7244</v>
      </c>
      <c r="C3141" s="2" t="s">
        <v>38</v>
      </c>
      <c r="D3141" s="2" t="s">
        <v>39</v>
      </c>
      <c r="E3141" s="5">
        <v>-31346</v>
      </c>
      <c r="F3141" s="3" t="s">
        <v>78</v>
      </c>
      <c r="G3141" s="3" t="s">
        <v>107</v>
      </c>
      <c r="H3141" s="2" t="s">
        <v>62</v>
      </c>
      <c r="I3141" s="2" t="s">
        <v>7245</v>
      </c>
      <c r="J3141" s="3" t="str">
        <f>HYPERLINK("https://www.boe.es/gazeta/dias/1814/03/05/pdfs/GRE-1814-30.pdf#page=1","Abrir facsímil")</f>
        <v>Abrir facsímil</v>
      </c>
      <c r="K3141" s="3" t="s">
        <v>64</v>
      </c>
    </row>
    <row r="3142" spans="1:11" ht="42" customHeight="1">
      <c r="A3142" s="2" t="s">
        <v>7244</v>
      </c>
      <c r="B3142" s="2" t="s">
        <v>7244</v>
      </c>
      <c r="C3142" s="2" t="s">
        <v>38</v>
      </c>
      <c r="D3142" s="2" t="s">
        <v>39</v>
      </c>
      <c r="E3142" s="5">
        <v>-31346</v>
      </c>
      <c r="F3142" s="3" t="s">
        <v>78</v>
      </c>
      <c r="G3142" s="3" t="s">
        <v>87</v>
      </c>
      <c r="H3142" s="2" t="s">
        <v>62</v>
      </c>
      <c r="I3142" s="2" t="s">
        <v>7246</v>
      </c>
      <c r="J3142" s="3" t="str">
        <f>HYPERLINK("https://www.boe.es/gazeta/dias/1814/03/05/pdfs/GRE-1814-30.pdf#page=2","Abrir facsímil")</f>
        <v>Abrir facsímil</v>
      </c>
      <c r="K3142" s="3" t="s">
        <v>64</v>
      </c>
    </row>
    <row r="3143" spans="1:11" ht="42" customHeight="1">
      <c r="A3143" s="2" t="s">
        <v>7244</v>
      </c>
      <c r="B3143" s="2" t="s">
        <v>7244</v>
      </c>
      <c r="C3143" s="2" t="s">
        <v>38</v>
      </c>
      <c r="D3143" s="2" t="s">
        <v>39</v>
      </c>
      <c r="E3143" s="5">
        <v>-31334</v>
      </c>
      <c r="F3143" s="3" t="s">
        <v>482</v>
      </c>
      <c r="G3143" s="3" t="s">
        <v>82</v>
      </c>
      <c r="H3143" s="2" t="s">
        <v>62</v>
      </c>
      <c r="I3143" s="2" t="s">
        <v>7247</v>
      </c>
      <c r="J3143" s="3" t="str">
        <f>HYPERLINK("https://www.boe.es/gazeta/dias/1814/03/17/pdfs/GRE-1814-37.pdf#page=3","Abrir facsímil")</f>
        <v>Abrir facsímil</v>
      </c>
      <c r="K3143" s="3" t="s">
        <v>64</v>
      </c>
    </row>
    <row r="3144" spans="1:11" ht="42" customHeight="1">
      <c r="A3144" s="2" t="s">
        <v>7244</v>
      </c>
      <c r="B3144" s="2" t="s">
        <v>7244</v>
      </c>
      <c r="C3144" s="2" t="s">
        <v>38</v>
      </c>
      <c r="D3144" s="2" t="s">
        <v>39</v>
      </c>
      <c r="E3144" s="5">
        <v>-31329</v>
      </c>
      <c r="F3144" s="3" t="s">
        <v>621</v>
      </c>
      <c r="G3144" s="3" t="s">
        <v>107</v>
      </c>
      <c r="H3144" s="2" t="s">
        <v>62</v>
      </c>
      <c r="I3144" s="2" t="s">
        <v>7248</v>
      </c>
      <c r="J3144" s="3" t="str">
        <f>HYPERLINK("https://www.boe.es/gazeta/dias/1814/03/22/pdfs/GRE-1814-39.pdf#page=1","Abrir facsímil")</f>
        <v>Abrir facsímil</v>
      </c>
      <c r="K3144" s="3" t="s">
        <v>64</v>
      </c>
    </row>
    <row r="3145" spans="1:11" ht="42" customHeight="1">
      <c r="A3145" s="2" t="s">
        <v>7249</v>
      </c>
      <c r="B3145" s="2" t="s">
        <v>7249</v>
      </c>
      <c r="C3145" s="2" t="s">
        <v>38</v>
      </c>
      <c r="D3145" s="2" t="s">
        <v>39</v>
      </c>
      <c r="E3145" s="5">
        <v>-31399</v>
      </c>
      <c r="F3145" s="3" t="s">
        <v>218</v>
      </c>
      <c r="G3145" s="3" t="s">
        <v>41</v>
      </c>
      <c r="H3145" s="2" t="s">
        <v>62</v>
      </c>
      <c r="I3145" s="2" t="s">
        <v>7250</v>
      </c>
      <c r="J3145" s="3" t="str">
        <f>HYPERLINK("https://www.boe.es/gazeta/dias/1814/01/11/pdfs/GRE-1814-6.pdf#page=4","Abrir facsímil")</f>
        <v>Abrir facsímil</v>
      </c>
      <c r="K3145" s="3" t="s">
        <v>64</v>
      </c>
    </row>
    <row r="3146" spans="1:11" ht="42" customHeight="1">
      <c r="A3146" s="2" t="s">
        <v>7251</v>
      </c>
      <c r="B3146" s="2" t="s">
        <v>7251</v>
      </c>
      <c r="C3146" s="2" t="s">
        <v>38</v>
      </c>
      <c r="D3146" s="2" t="s">
        <v>39</v>
      </c>
      <c r="E3146" s="5">
        <v>-31222</v>
      </c>
      <c r="F3146" s="3" t="s">
        <v>153</v>
      </c>
      <c r="G3146" s="3" t="s">
        <v>41</v>
      </c>
      <c r="H3146" s="2" t="s">
        <v>62</v>
      </c>
      <c r="I3146" s="2" t="s">
        <v>7252</v>
      </c>
      <c r="J3146" s="3" t="str">
        <f>HYPERLINK("https://www.boe.es/gazeta/dias/1814/07/07/pdfs/GMD-1814-95.pdf#page=4","Abrir facsímil")</f>
        <v>Abrir facsímil</v>
      </c>
      <c r="K3146" s="3" t="s">
        <v>64</v>
      </c>
    </row>
    <row r="3147" spans="1:11" ht="42" customHeight="1">
      <c r="A3147" s="2" t="s">
        <v>7253</v>
      </c>
      <c r="B3147" s="2" t="s">
        <v>7253</v>
      </c>
      <c r="C3147" s="2" t="s">
        <v>38</v>
      </c>
      <c r="D3147" s="2" t="s">
        <v>39</v>
      </c>
      <c r="E3147" s="5">
        <v>-31404</v>
      </c>
      <c r="F3147" s="3" t="s">
        <v>630</v>
      </c>
      <c r="G3147" s="3" t="s">
        <v>99</v>
      </c>
      <c r="H3147" s="2" t="s">
        <v>62</v>
      </c>
      <c r="I3147" s="2" t="s">
        <v>7254</v>
      </c>
      <c r="J3147" s="3" t="str">
        <f>HYPERLINK("https://www.boe.es/gazeta/dias/1814/01/06/pdfs/GRE-1814-3.pdf#page=5","Abrir facsímil")</f>
        <v>Abrir facsímil</v>
      </c>
      <c r="K3147" s="3" t="s">
        <v>64</v>
      </c>
    </row>
    <row r="3148" spans="1:11" ht="42" customHeight="1">
      <c r="A3148" s="2" t="s">
        <v>7255</v>
      </c>
      <c r="B3148" s="2" t="s">
        <v>7256</v>
      </c>
      <c r="C3148" s="2" t="s">
        <v>26</v>
      </c>
      <c r="D3148" s="2" t="s">
        <v>27</v>
      </c>
      <c r="E3148" s="5">
        <v>-31054</v>
      </c>
      <c r="F3148" s="3" t="s">
        <v>952</v>
      </c>
      <c r="G3148" s="3" t="s">
        <v>2152</v>
      </c>
      <c r="H3148" s="2" t="s">
        <v>62</v>
      </c>
      <c r="I3148" s="2" t="s">
        <v>7257</v>
      </c>
      <c r="J3148" s="3" t="str">
        <f>HYPERLINK("https://www.boe.es/gazeta/dias/1814/12/22/pdfs/GMD-1814-169.pdf#page=6","Abrir facsímil")</f>
        <v>Abrir facsímil</v>
      </c>
      <c r="K3148" s="3" t="s">
        <v>64</v>
      </c>
    </row>
    <row r="3149" spans="1:11" ht="42" customHeight="1">
      <c r="A3149" s="2" t="s">
        <v>7258</v>
      </c>
      <c r="B3149" s="2" t="s">
        <v>7259</v>
      </c>
      <c r="C3149" s="2" t="s">
        <v>26</v>
      </c>
      <c r="D3149" s="2" t="s">
        <v>27</v>
      </c>
      <c r="E3149" s="5">
        <v>-31243</v>
      </c>
      <c r="F3149" s="3" t="s">
        <v>500</v>
      </c>
      <c r="G3149" s="3" t="s">
        <v>384</v>
      </c>
      <c r="H3149" s="2" t="s">
        <v>62</v>
      </c>
      <c r="I3149" s="2" t="s">
        <v>7260</v>
      </c>
      <c r="J3149" s="3" t="str">
        <f>HYPERLINK("https://www.boe.es/gazeta/dias/1814/06/16/pdfs/GMD-1814-86.pdf#page=11","Abrir facsímil")</f>
        <v>Abrir facsímil</v>
      </c>
      <c r="K3149" s="3" t="s">
        <v>64</v>
      </c>
    </row>
    <row r="3150" spans="1:11" ht="42" customHeight="1">
      <c r="A3150" s="2" t="s">
        <v>7261</v>
      </c>
      <c r="B3150" s="2" t="s">
        <v>7262</v>
      </c>
      <c r="C3150" s="2" t="s">
        <v>17</v>
      </c>
      <c r="D3150" s="2" t="s">
        <v>18</v>
      </c>
      <c r="E3150" s="5">
        <v>-31245</v>
      </c>
      <c r="F3150" s="3" t="s">
        <v>908</v>
      </c>
      <c r="G3150" s="3" t="s">
        <v>1348</v>
      </c>
      <c r="H3150" s="2" t="s">
        <v>62</v>
      </c>
      <c r="I3150" s="2" t="s">
        <v>7263</v>
      </c>
      <c r="J3150" s="3" t="str">
        <f>HYPERLINK("https://www.boe.es/gazeta/dias/1814/06/14/pdfs/GMD-1814-85.pdf#page=9","Abrir facsímil")</f>
        <v>Abrir facsímil</v>
      </c>
      <c r="K3150" s="3" t="s">
        <v>64</v>
      </c>
    </row>
    <row r="3151" spans="1:11" ht="42" customHeight="1">
      <c r="A3151" s="2" t="s">
        <v>7264</v>
      </c>
      <c r="B3151" s="2" t="s">
        <v>7265</v>
      </c>
      <c r="C3151" s="2" t="s">
        <v>38</v>
      </c>
      <c r="D3151" s="2" t="s">
        <v>39</v>
      </c>
      <c r="E3151" s="5">
        <v>-31094</v>
      </c>
      <c r="F3151" s="3" t="s">
        <v>761</v>
      </c>
      <c r="G3151" s="3" t="s">
        <v>52</v>
      </c>
      <c r="H3151" s="2" t="s">
        <v>62</v>
      </c>
      <c r="I3151" s="2" t="s">
        <v>7266</v>
      </c>
      <c r="J3151" s="3" t="str">
        <f>HYPERLINK("https://www.boe.es/gazeta/dias/1814/11/12/pdfs/GMD-1814-151.pdf#page=8","Abrir facsímil")</f>
        <v>Abrir facsímil</v>
      </c>
      <c r="K3151" s="3" t="s">
        <v>64</v>
      </c>
    </row>
    <row r="3152" spans="1:11" ht="42" customHeight="1">
      <c r="A3152" s="2" t="s">
        <v>7267</v>
      </c>
      <c r="B3152" s="2" t="s">
        <v>7268</v>
      </c>
      <c r="C3152" s="2" t="s">
        <v>45</v>
      </c>
      <c r="D3152" s="2" t="s">
        <v>18</v>
      </c>
      <c r="E3152" s="5">
        <v>-31143</v>
      </c>
      <c r="F3152" s="3" t="s">
        <v>787</v>
      </c>
      <c r="G3152" s="3" t="s">
        <v>52</v>
      </c>
      <c r="H3152" s="2" t="s">
        <v>62</v>
      </c>
      <c r="I3152" s="2" t="s">
        <v>7269</v>
      </c>
      <c r="J3152" s="3" t="str">
        <f>HYPERLINK("https://www.boe.es/gazeta/dias/1814/09/24/pdfs/GMD-1814-130.pdf#page=8","Abrir facsímil")</f>
        <v>Abrir facsímil</v>
      </c>
      <c r="K3152" s="3" t="s">
        <v>64</v>
      </c>
    </row>
    <row r="3153" spans="1:11" ht="42" customHeight="1">
      <c r="A3153" s="2" t="s">
        <v>7270</v>
      </c>
      <c r="B3153" s="2" t="s">
        <v>7270</v>
      </c>
      <c r="C3153" s="2" t="s">
        <v>38</v>
      </c>
      <c r="D3153" s="2" t="s">
        <v>39</v>
      </c>
      <c r="E3153" s="5">
        <v>-31299</v>
      </c>
      <c r="F3153" s="3" t="s">
        <v>71</v>
      </c>
      <c r="G3153" s="3" t="s">
        <v>52</v>
      </c>
      <c r="H3153" s="2" t="s">
        <v>62</v>
      </c>
      <c r="I3153" s="2" t="s">
        <v>7271</v>
      </c>
      <c r="J3153" s="3" t="str">
        <f>HYPERLINK("https://www.boe.es/gazeta/dias/1814/04/21/pdfs/GRE-1814-57.pdf#page=8","Abrir facsímil")</f>
        <v>Abrir facsímil</v>
      </c>
      <c r="K3153" s="3" t="s">
        <v>64</v>
      </c>
    </row>
    <row r="3154" spans="1:11" ht="42" customHeight="1">
      <c r="A3154" s="2" t="s">
        <v>7270</v>
      </c>
      <c r="B3154" s="2" t="s">
        <v>7270</v>
      </c>
      <c r="C3154" s="2" t="s">
        <v>17</v>
      </c>
      <c r="D3154" s="2" t="s">
        <v>18</v>
      </c>
      <c r="E3154" s="5">
        <v>-31157</v>
      </c>
      <c r="F3154" s="3" t="s">
        <v>206</v>
      </c>
      <c r="G3154" s="3" t="s">
        <v>1072</v>
      </c>
      <c r="H3154" s="2" t="s">
        <v>62</v>
      </c>
      <c r="I3154" s="2" t="s">
        <v>7272</v>
      </c>
      <c r="J3154" s="3" t="str">
        <f>HYPERLINK("https://www.boe.es/gazeta/dias/1814/09/10/pdfs/GMD-1814-124.pdf#page=7","Abrir facsímil")</f>
        <v>Abrir facsímil</v>
      </c>
      <c r="K3154" s="3" t="s">
        <v>64</v>
      </c>
    </row>
    <row r="3155" spans="1:11" ht="42" customHeight="1">
      <c r="A3155" s="2" t="s">
        <v>7273</v>
      </c>
      <c r="B3155" s="2" t="s">
        <v>7274</v>
      </c>
      <c r="C3155" s="2" t="s">
        <v>17</v>
      </c>
      <c r="D3155" s="2" t="s">
        <v>18</v>
      </c>
      <c r="E3155" s="5">
        <v>-31119</v>
      </c>
      <c r="F3155" s="3" t="s">
        <v>136</v>
      </c>
      <c r="G3155" s="3" t="s">
        <v>322</v>
      </c>
      <c r="H3155" s="2" t="s">
        <v>62</v>
      </c>
      <c r="I3155" s="2" t="s">
        <v>7275</v>
      </c>
      <c r="J3155" s="3" t="str">
        <f>HYPERLINK("https://www.boe.es/gazeta/dias/1814/10/18/pdfs/GMD-1814-140.pdf#page=12","Abrir facsímil")</f>
        <v>Abrir facsímil</v>
      </c>
      <c r="K3155" s="3" t="s">
        <v>64</v>
      </c>
    </row>
    <row r="3156" spans="1:11" ht="42" customHeight="1">
      <c r="A3156" s="2" t="s">
        <v>7276</v>
      </c>
      <c r="B3156" s="2" t="s">
        <v>7276</v>
      </c>
      <c r="C3156" s="2" t="s">
        <v>38</v>
      </c>
      <c r="D3156" s="2" t="s">
        <v>39</v>
      </c>
      <c r="E3156" s="5">
        <v>-31374</v>
      </c>
      <c r="F3156" s="3" t="s">
        <v>474</v>
      </c>
      <c r="G3156" s="3" t="s">
        <v>57</v>
      </c>
      <c r="H3156" s="2" t="s">
        <v>62</v>
      </c>
      <c r="I3156" s="2" t="s">
        <v>7277</v>
      </c>
      <c r="J3156" s="3" t="str">
        <f>HYPERLINK("https://www.boe.es/gazeta/dias/1814/02/05/pdfs/GRE-1814-17.pdf#page=6","Abrir facsímil")</f>
        <v>Abrir facsímil</v>
      </c>
      <c r="K3156" s="3" t="s">
        <v>64</v>
      </c>
    </row>
    <row r="3157" spans="1:11" ht="42" customHeight="1">
      <c r="A3157" s="2" t="s">
        <v>7278</v>
      </c>
      <c r="B3157" s="2" t="s">
        <v>7279</v>
      </c>
      <c r="C3157" s="2" t="s">
        <v>17</v>
      </c>
      <c r="D3157" s="2" t="s">
        <v>18</v>
      </c>
      <c r="E3157" s="5">
        <v>-31308</v>
      </c>
      <c r="F3157" s="3" t="s">
        <v>210</v>
      </c>
      <c r="G3157" s="3" t="s">
        <v>57</v>
      </c>
      <c r="H3157" s="2" t="s">
        <v>62</v>
      </c>
      <c r="I3157" s="2" t="s">
        <v>7280</v>
      </c>
      <c r="J3157" s="3" t="str">
        <f>HYPERLINK("https://www.boe.es/gazeta/dias/1814/04/12/pdfs/GRE-1814-52.pdf#page=6","Abrir facsímil")</f>
        <v>Abrir facsímil</v>
      </c>
      <c r="K3157" s="3" t="s">
        <v>64</v>
      </c>
    </row>
    <row r="3158" spans="1:11" ht="42" customHeight="1">
      <c r="A3158" s="2" t="s">
        <v>7278</v>
      </c>
      <c r="B3158" s="2" t="s">
        <v>7279</v>
      </c>
      <c r="C3158" s="2" t="s">
        <v>26</v>
      </c>
      <c r="D3158" s="2" t="s">
        <v>27</v>
      </c>
      <c r="E3158" s="5">
        <v>-31308</v>
      </c>
      <c r="F3158" s="3" t="s">
        <v>210</v>
      </c>
      <c r="G3158" s="3" t="s">
        <v>20</v>
      </c>
      <c r="H3158" s="2" t="s">
        <v>62</v>
      </c>
      <c r="I3158" s="2" t="s">
        <v>7281</v>
      </c>
      <c r="J3158" s="3" t="str">
        <f>HYPERLINK("https://www.boe.es/gazeta/dias/1814/04/12/pdfs/GRE-1814-52.pdf#page=7","Abrir facsímil")</f>
        <v>Abrir facsímil</v>
      </c>
      <c r="K3158" s="3" t="s">
        <v>64</v>
      </c>
    </row>
    <row r="3159" spans="1:11" ht="42" customHeight="1">
      <c r="A3159" s="2" t="s">
        <v>7282</v>
      </c>
      <c r="B3159" s="2" t="s">
        <v>7283</v>
      </c>
      <c r="C3159" s="2" t="s">
        <v>45</v>
      </c>
      <c r="D3159" s="2" t="s">
        <v>18</v>
      </c>
      <c r="E3159" s="5">
        <v>-31059</v>
      </c>
      <c r="F3159" s="3" t="s">
        <v>263</v>
      </c>
      <c r="G3159" s="3" t="s">
        <v>264</v>
      </c>
      <c r="H3159" s="2" t="s">
        <v>62</v>
      </c>
      <c r="I3159" s="2" t="s">
        <v>7284</v>
      </c>
      <c r="J3159" s="3" t="str">
        <f>HYPERLINK("https://www.boe.es/gazeta/dias/1814/12/17/pdfs/GMD-1814-167.pdf#page=7","Abrir facsímil")</f>
        <v>Abrir facsímil</v>
      </c>
      <c r="K3159" s="3" t="s">
        <v>64</v>
      </c>
    </row>
    <row r="3160" spans="1:11" ht="42" customHeight="1">
      <c r="A3160" s="2" t="s">
        <v>7285</v>
      </c>
      <c r="B3160" s="2" t="s">
        <v>7286</v>
      </c>
      <c r="C3160" s="2" t="s">
        <v>45</v>
      </c>
      <c r="D3160" s="2" t="s">
        <v>18</v>
      </c>
      <c r="E3160" s="5">
        <v>-31056</v>
      </c>
      <c r="F3160" s="3" t="s">
        <v>540</v>
      </c>
      <c r="G3160" s="3" t="s">
        <v>107</v>
      </c>
      <c r="H3160" s="2" t="s">
        <v>62</v>
      </c>
      <c r="I3160" s="2" t="s">
        <v>7287</v>
      </c>
      <c r="J3160" s="3" t="str">
        <f>HYPERLINK("https://www.boe.es/gazeta/dias/1814/12/20/pdfs/GMD-1814-168.pdf#page=1","Abrir facsímil")</f>
        <v>Abrir facsímil</v>
      </c>
      <c r="K3160" s="3" t="s">
        <v>64</v>
      </c>
    </row>
    <row r="3161" spans="1:11" ht="42" customHeight="1">
      <c r="A3161" s="2" t="s">
        <v>7288</v>
      </c>
      <c r="B3161" s="2" t="s">
        <v>7289</v>
      </c>
      <c r="C3161" s="2" t="s">
        <v>38</v>
      </c>
      <c r="D3161" s="2" t="s">
        <v>39</v>
      </c>
      <c r="E3161" s="5">
        <v>-31094</v>
      </c>
      <c r="F3161" s="3" t="s">
        <v>761</v>
      </c>
      <c r="G3161" s="3" t="s">
        <v>20</v>
      </c>
      <c r="H3161" s="2" t="s">
        <v>62</v>
      </c>
      <c r="I3161" s="2" t="s">
        <v>7290</v>
      </c>
      <c r="J3161" s="3" t="str">
        <f>HYPERLINK("https://www.boe.es/gazeta/dias/1814/11/12/pdfs/GMD-1814-151.pdf#page=7","Abrir facsímil")</f>
        <v>Abrir facsímil</v>
      </c>
      <c r="K3161" s="3" t="s">
        <v>64</v>
      </c>
    </row>
    <row r="3162" spans="1:11" ht="42" customHeight="1">
      <c r="A3162" s="2" t="s">
        <v>7291</v>
      </c>
      <c r="B3162" s="2" t="s">
        <v>7292</v>
      </c>
      <c r="C3162" s="2" t="s">
        <v>26</v>
      </c>
      <c r="D3162" s="2" t="s">
        <v>27</v>
      </c>
      <c r="E3162" s="5">
        <v>-31185</v>
      </c>
      <c r="F3162" s="3" t="s">
        <v>1238</v>
      </c>
      <c r="G3162" s="3" t="s">
        <v>52</v>
      </c>
      <c r="H3162" s="2" t="s">
        <v>62</v>
      </c>
      <c r="I3162" s="2" t="s">
        <v>7293</v>
      </c>
      <c r="J3162" s="3" t="str">
        <f>HYPERLINK("https://www.boe.es/gazeta/dias/1814/08/13/pdfs/GMD-1814-111.pdf#page=8","Abrir facsímil")</f>
        <v>Abrir facsímil</v>
      </c>
      <c r="K3162" s="3" t="s">
        <v>64</v>
      </c>
    </row>
    <row r="3163" spans="1:11" ht="42" customHeight="1">
      <c r="A3163" s="2" t="s">
        <v>7294</v>
      </c>
      <c r="B3163" s="2" t="s">
        <v>7294</v>
      </c>
      <c r="C3163" s="2" t="s">
        <v>26</v>
      </c>
      <c r="D3163" s="2" t="s">
        <v>27</v>
      </c>
      <c r="E3163" s="5">
        <v>-31255</v>
      </c>
      <c r="F3163" s="3" t="s">
        <v>983</v>
      </c>
      <c r="G3163" s="3" t="s">
        <v>57</v>
      </c>
      <c r="H3163" s="2" t="s">
        <v>62</v>
      </c>
      <c r="I3163" s="2" t="s">
        <v>7295</v>
      </c>
      <c r="J3163" s="3" t="str">
        <f>HYPERLINK("https://www.boe.es/gazeta/dias/1814/06/04/pdfs/GMD-1814-81.pdf#page=6","Abrir facsímil")</f>
        <v>Abrir facsímil</v>
      </c>
      <c r="K3163" s="3" t="s">
        <v>64</v>
      </c>
    </row>
    <row r="3164" spans="1:11" ht="42" customHeight="1">
      <c r="A3164" s="2" t="s">
        <v>7296</v>
      </c>
      <c r="B3164" s="2" t="s">
        <v>7296</v>
      </c>
      <c r="C3164" s="2" t="s">
        <v>38</v>
      </c>
      <c r="D3164" s="2" t="s">
        <v>314</v>
      </c>
      <c r="E3164" s="5">
        <v>-31294</v>
      </c>
      <c r="F3164" s="3" t="s">
        <v>2505</v>
      </c>
      <c r="G3164" s="3" t="s">
        <v>107</v>
      </c>
      <c r="H3164" s="2" t="s">
        <v>62</v>
      </c>
      <c r="I3164" s="2" t="s">
        <v>7297</v>
      </c>
      <c r="J3164" s="3" t="str">
        <f>HYPERLINK("https://www.boe.es/gazeta/dias/1814/04/26/pdfs/GRE-1814-62E.pdf#page=1","Abrir facsímil")</f>
        <v>Abrir facsímil</v>
      </c>
      <c r="K3164" s="3" t="s">
        <v>64</v>
      </c>
    </row>
    <row r="3165" spans="1:11" ht="42" customHeight="1">
      <c r="A3165" s="2" t="s">
        <v>7296</v>
      </c>
      <c r="B3165" s="2" t="s">
        <v>7296</v>
      </c>
      <c r="C3165" s="2" t="s">
        <v>38</v>
      </c>
      <c r="D3165" s="2" t="s">
        <v>39</v>
      </c>
      <c r="E3165" s="5">
        <v>-31175</v>
      </c>
      <c r="F3165" s="3" t="s">
        <v>145</v>
      </c>
      <c r="G3165" s="3" t="s">
        <v>41</v>
      </c>
      <c r="H3165" s="2" t="s">
        <v>62</v>
      </c>
      <c r="I3165" s="2" t="s">
        <v>7298</v>
      </c>
      <c r="J3165" s="3" t="str">
        <f>HYPERLINK("https://www.boe.es/gazeta/dias/1814/08/23/pdfs/GMD-1814-115.pdf#page=4","Abrir facsímil")</f>
        <v>Abrir facsímil</v>
      </c>
      <c r="K3165" s="3" t="s">
        <v>64</v>
      </c>
    </row>
    <row r="3166" spans="1:11" ht="42" customHeight="1">
      <c r="A3166" s="2" t="s">
        <v>7299</v>
      </c>
      <c r="B3166" s="2" t="s">
        <v>7300</v>
      </c>
      <c r="C3166" s="2" t="s">
        <v>38</v>
      </c>
      <c r="D3166" s="2" t="s">
        <v>314</v>
      </c>
      <c r="E3166" s="5">
        <v>-31328</v>
      </c>
      <c r="F3166" s="3" t="s">
        <v>442</v>
      </c>
      <c r="G3166" s="3" t="s">
        <v>82</v>
      </c>
      <c r="H3166" s="2" t="s">
        <v>21</v>
      </c>
      <c r="I3166" s="2" t="s">
        <v>7301</v>
      </c>
      <c r="J3166" s="3" t="str">
        <f>HYPERLINK("https://www.boe.es/gazeta/dias/1814/03/23/pdfs/GRE-1814-40E.pdf#page=3","Abrir facsímil")</f>
        <v>Abrir facsímil</v>
      </c>
      <c r="K3166" s="3" t="s">
        <v>23</v>
      </c>
    </row>
    <row r="3167" spans="1:11" ht="42" customHeight="1">
      <c r="A3167" s="2" t="s">
        <v>7302</v>
      </c>
      <c r="B3167" s="2" t="s">
        <v>7303</v>
      </c>
      <c r="C3167" s="2" t="s">
        <v>309</v>
      </c>
      <c r="D3167" s="2" t="s">
        <v>18</v>
      </c>
      <c r="E3167" s="5">
        <v>-31241</v>
      </c>
      <c r="F3167" s="3" t="s">
        <v>703</v>
      </c>
      <c r="G3167" s="3" t="s">
        <v>704</v>
      </c>
      <c r="H3167" s="2" t="s">
        <v>62</v>
      </c>
      <c r="I3167" s="2" t="s">
        <v>7304</v>
      </c>
      <c r="J3167" s="3" t="str">
        <f>HYPERLINK("https://www.boe.es/gazeta/dias/1814/06/18/pdfs/GMD-1814-87.pdf#page=10","Abrir facsímil")</f>
        <v>Abrir facsímil</v>
      </c>
      <c r="K3167" s="3" t="s">
        <v>64</v>
      </c>
    </row>
    <row r="3168" spans="1:11" ht="42" customHeight="1">
      <c r="A3168" s="2" t="s">
        <v>7305</v>
      </c>
      <c r="B3168" s="2" t="s">
        <v>7306</v>
      </c>
      <c r="C3168" s="2" t="s">
        <v>105</v>
      </c>
      <c r="D3168" s="2" t="s">
        <v>18</v>
      </c>
      <c r="E3168" s="5">
        <v>-31241</v>
      </c>
      <c r="F3168" s="3" t="s">
        <v>703</v>
      </c>
      <c r="G3168" s="3" t="s">
        <v>384</v>
      </c>
      <c r="H3168" s="2" t="s">
        <v>62</v>
      </c>
      <c r="I3168" s="2" t="s">
        <v>7307</v>
      </c>
      <c r="J3168" s="3" t="str">
        <f>HYPERLINK("https://www.boe.es/gazeta/dias/1814/06/18/pdfs/GMD-1814-87.pdf#page=11","Abrir facsímil")</f>
        <v>Abrir facsímil</v>
      </c>
      <c r="K3168" s="3" t="s">
        <v>64</v>
      </c>
    </row>
    <row r="3169" spans="1:11" ht="42" customHeight="1">
      <c r="A3169" s="2" t="s">
        <v>7308</v>
      </c>
      <c r="B3169" s="2" t="s">
        <v>7309</v>
      </c>
      <c r="C3169" s="2" t="s">
        <v>32</v>
      </c>
      <c r="D3169" s="2" t="s">
        <v>18</v>
      </c>
      <c r="E3169" s="5">
        <v>-31245</v>
      </c>
      <c r="F3169" s="3" t="s">
        <v>908</v>
      </c>
      <c r="G3169" s="3" t="s">
        <v>322</v>
      </c>
      <c r="H3169" s="2" t="s">
        <v>62</v>
      </c>
      <c r="I3169" s="2" t="s">
        <v>7310</v>
      </c>
      <c r="J3169" s="3" t="str">
        <f>HYPERLINK("https://www.boe.es/gazeta/dias/1814/06/14/pdfs/GMD-1814-85.pdf#page=12","Abrir facsímil")</f>
        <v>Abrir facsímil</v>
      </c>
      <c r="K3169" s="3" t="s">
        <v>64</v>
      </c>
    </row>
    <row r="3170" spans="1:11" ht="42" customHeight="1">
      <c r="A3170" s="2" t="s">
        <v>7311</v>
      </c>
      <c r="B3170" s="2" t="s">
        <v>7312</v>
      </c>
      <c r="C3170" s="2" t="s">
        <v>17</v>
      </c>
      <c r="D3170" s="2" t="s">
        <v>18</v>
      </c>
      <c r="E3170" s="5">
        <v>-31115</v>
      </c>
      <c r="F3170" s="3" t="s">
        <v>805</v>
      </c>
      <c r="G3170" s="3" t="s">
        <v>52</v>
      </c>
      <c r="H3170" s="2" t="s">
        <v>62</v>
      </c>
      <c r="I3170" s="2" t="s">
        <v>7313</v>
      </c>
      <c r="J3170" s="3" t="str">
        <f>HYPERLINK("https://www.boe.es/gazeta/dias/1814/10/22/pdfs/GMD-1814-142.pdf#page=8","Abrir facsímil")</f>
        <v>Abrir facsímil</v>
      </c>
      <c r="K3170" s="3" t="s">
        <v>64</v>
      </c>
    </row>
    <row r="3171" spans="1:11" ht="42" customHeight="1">
      <c r="A3171" s="2" t="s">
        <v>7314</v>
      </c>
      <c r="B3171" s="2" t="s">
        <v>7315</v>
      </c>
      <c r="C3171" s="2" t="s">
        <v>17</v>
      </c>
      <c r="D3171" s="2" t="s">
        <v>18</v>
      </c>
      <c r="E3171" s="5">
        <v>-31110</v>
      </c>
      <c r="F3171" s="3" t="s">
        <v>149</v>
      </c>
      <c r="G3171" s="3" t="s">
        <v>20</v>
      </c>
      <c r="H3171" s="2" t="s">
        <v>62</v>
      </c>
      <c r="I3171" s="2" t="s">
        <v>7316</v>
      </c>
      <c r="J3171" s="3" t="str">
        <f>HYPERLINK("https://www.boe.es/gazeta/dias/1814/10/27/pdfs/GMD-1814-144.pdf#page=7","Abrir facsímil")</f>
        <v>Abrir facsímil</v>
      </c>
      <c r="K3171" s="3" t="s">
        <v>64</v>
      </c>
    </row>
    <row r="3172" spans="1:11" ht="42" customHeight="1">
      <c r="A3172" s="2" t="s">
        <v>7317</v>
      </c>
      <c r="B3172" s="2" t="s">
        <v>7318</v>
      </c>
      <c r="C3172" s="2" t="s">
        <v>38</v>
      </c>
      <c r="D3172" s="2" t="s">
        <v>39</v>
      </c>
      <c r="E3172" s="5">
        <v>-31075</v>
      </c>
      <c r="F3172" s="3" t="s">
        <v>537</v>
      </c>
      <c r="G3172" s="3" t="s">
        <v>52</v>
      </c>
      <c r="H3172" s="2" t="s">
        <v>62</v>
      </c>
      <c r="I3172" s="2" t="s">
        <v>7319</v>
      </c>
      <c r="J3172" s="3" t="str">
        <f>HYPERLINK("https://www.boe.es/gazeta/dias/1814/12/01/pdfs/GMD-1814-159.pdf#page=8","Abrir facsímil")</f>
        <v>Abrir facsímil</v>
      </c>
      <c r="K3172" s="3" t="s">
        <v>64</v>
      </c>
    </row>
    <row r="3173" spans="1:11" ht="42" customHeight="1">
      <c r="A3173" s="2" t="s">
        <v>7320</v>
      </c>
      <c r="B3173" s="2" t="s">
        <v>7320</v>
      </c>
      <c r="C3173" s="2" t="s">
        <v>38</v>
      </c>
      <c r="D3173" s="2" t="s">
        <v>39</v>
      </c>
      <c r="E3173" s="5">
        <v>-31248</v>
      </c>
      <c r="F3173" s="3" t="s">
        <v>1123</v>
      </c>
      <c r="G3173" s="3" t="s">
        <v>82</v>
      </c>
      <c r="H3173" s="2" t="s">
        <v>62</v>
      </c>
      <c r="I3173" s="2" t="s">
        <v>7321</v>
      </c>
      <c r="J3173" s="3" t="str">
        <f>HYPERLINK("https://www.boe.es/gazeta/dias/1814/06/11/pdfs/GMD-1814-84.pdf#page=3","Abrir facsímil")</f>
        <v>Abrir facsímil</v>
      </c>
      <c r="K3173" s="3" t="s">
        <v>64</v>
      </c>
    </row>
    <row r="3174" spans="1:11" ht="42" customHeight="1">
      <c r="A3174" s="2" t="s">
        <v>7322</v>
      </c>
      <c r="B3174" s="2" t="s">
        <v>7323</v>
      </c>
      <c r="C3174" s="2" t="s">
        <v>38</v>
      </c>
      <c r="D3174" s="2" t="s">
        <v>39</v>
      </c>
      <c r="E3174" s="5">
        <v>-31315</v>
      </c>
      <c r="F3174" s="3" t="s">
        <v>645</v>
      </c>
      <c r="G3174" s="3" t="s">
        <v>57</v>
      </c>
      <c r="H3174" s="2" t="s">
        <v>21</v>
      </c>
      <c r="I3174" s="2" t="s">
        <v>7324</v>
      </c>
      <c r="J3174" s="3" t="str">
        <f>HYPERLINK("https://www.boe.es/gazeta/dias/1814/04/05/pdfs/GRE-1814-49.pdf#page=6","Abrir facsímil")</f>
        <v>Abrir facsímil</v>
      </c>
      <c r="K3174" s="3" t="s">
        <v>23</v>
      </c>
    </row>
    <row r="3175" spans="1:11" ht="42" customHeight="1">
      <c r="A3175" s="2" t="s">
        <v>7325</v>
      </c>
      <c r="B3175" s="2" t="s">
        <v>7326</v>
      </c>
      <c r="C3175" s="2" t="s">
        <v>38</v>
      </c>
      <c r="D3175" s="2" t="s">
        <v>39</v>
      </c>
      <c r="E3175" s="5">
        <v>-31159</v>
      </c>
      <c r="F3175" s="3" t="s">
        <v>1175</v>
      </c>
      <c r="G3175" s="3" t="s">
        <v>52</v>
      </c>
      <c r="H3175" s="2" t="s">
        <v>21</v>
      </c>
      <c r="I3175" s="2" t="s">
        <v>7327</v>
      </c>
      <c r="J3175" s="3" t="str">
        <f>HYPERLINK("https://www.boe.es/gazeta/dias/1814/09/08/pdfs/GMD-1814-123.pdf#page=8","Abrir facsímil")</f>
        <v>Abrir facsímil</v>
      </c>
      <c r="K3175" s="3" t="s">
        <v>23</v>
      </c>
    </row>
    <row r="3176" spans="1:11" ht="42" customHeight="1">
      <c r="A3176" s="2" t="s">
        <v>7328</v>
      </c>
      <c r="B3176" s="2" t="s">
        <v>7329</v>
      </c>
      <c r="C3176" s="2" t="s">
        <v>38</v>
      </c>
      <c r="D3176" s="2" t="s">
        <v>39</v>
      </c>
      <c r="E3176" s="5">
        <v>-31336</v>
      </c>
      <c r="F3176" s="3" t="s">
        <v>1789</v>
      </c>
      <c r="G3176" s="3" t="s">
        <v>52</v>
      </c>
      <c r="H3176" s="2" t="s">
        <v>21</v>
      </c>
      <c r="I3176" s="2" t="s">
        <v>7330</v>
      </c>
      <c r="J3176" s="3" t="str">
        <f>HYPERLINK("https://www.boe.es/gazeta/dias/1814/03/15/pdfs/GRE-1814-36.pdf#page=8","Abrir facsímil")</f>
        <v>Abrir facsímil</v>
      </c>
      <c r="K3176" s="3" t="s">
        <v>23</v>
      </c>
    </row>
    <row r="3177" spans="1:11" ht="42" customHeight="1">
      <c r="A3177" s="2" t="s">
        <v>7331</v>
      </c>
      <c r="B3177" s="2" t="s">
        <v>7332</v>
      </c>
      <c r="C3177" s="2" t="s">
        <v>38</v>
      </c>
      <c r="D3177" s="2" t="s">
        <v>39</v>
      </c>
      <c r="E3177" s="5">
        <v>-31348</v>
      </c>
      <c r="F3177" s="3" t="s">
        <v>898</v>
      </c>
      <c r="G3177" s="3" t="s">
        <v>41</v>
      </c>
      <c r="H3177" s="2" t="s">
        <v>21</v>
      </c>
      <c r="I3177" s="2" t="s">
        <v>7333</v>
      </c>
      <c r="J3177" s="3" t="str">
        <f>HYPERLINK("https://www.boe.es/gazeta/dias/1814/03/03/pdfs/GRE-1814-29.pdf#page=4","Abrir facsímil")</f>
        <v>Abrir facsímil</v>
      </c>
      <c r="K3177" s="3" t="s">
        <v>23</v>
      </c>
    </row>
    <row r="3178" spans="1:11" ht="42" customHeight="1">
      <c r="A3178" s="2" t="s">
        <v>7334</v>
      </c>
      <c r="B3178" s="2" t="s">
        <v>7335</v>
      </c>
      <c r="C3178" s="2" t="s">
        <v>45</v>
      </c>
      <c r="D3178" s="2" t="s">
        <v>18</v>
      </c>
      <c r="E3178" s="5">
        <v>-31115</v>
      </c>
      <c r="F3178" s="3" t="s">
        <v>805</v>
      </c>
      <c r="G3178" s="3" t="s">
        <v>99</v>
      </c>
      <c r="H3178" s="2" t="s">
        <v>21</v>
      </c>
      <c r="I3178" s="2" t="s">
        <v>7336</v>
      </c>
      <c r="J3178" s="3" t="str">
        <f>HYPERLINK("https://www.boe.es/gazeta/dias/1814/10/22/pdfs/GMD-1814-142.pdf#page=5","Abrir facsímil")</f>
        <v>Abrir facsímil</v>
      </c>
      <c r="K3178" s="3" t="s">
        <v>23</v>
      </c>
    </row>
    <row r="3179" spans="1:11" ht="42" customHeight="1">
      <c r="A3179" s="2" t="s">
        <v>7337</v>
      </c>
      <c r="B3179" s="2" t="s">
        <v>7338</v>
      </c>
      <c r="C3179" s="2" t="s">
        <v>26</v>
      </c>
      <c r="D3179" s="2" t="s">
        <v>27</v>
      </c>
      <c r="E3179" s="5">
        <v>-31388</v>
      </c>
      <c r="F3179" s="3" t="s">
        <v>1299</v>
      </c>
      <c r="G3179" s="3" t="s">
        <v>41</v>
      </c>
      <c r="H3179" s="2" t="s">
        <v>21</v>
      </c>
      <c r="I3179" s="2" t="s">
        <v>7339</v>
      </c>
      <c r="J3179" s="3" t="str">
        <f>HYPERLINK("https://www.boe.es/gazeta/dias/1814/01/22/pdfs/GRE-1814-11.pdf#page=4","Abrir facsímil")</f>
        <v>Abrir facsímil</v>
      </c>
      <c r="K3179" s="3" t="s">
        <v>23</v>
      </c>
    </row>
    <row r="3180" spans="1:11" ht="42" customHeight="1">
      <c r="A3180" s="2" t="s">
        <v>7340</v>
      </c>
      <c r="B3180" s="2" t="s">
        <v>7341</v>
      </c>
      <c r="C3180" s="2" t="s">
        <v>38</v>
      </c>
      <c r="D3180" s="2" t="s">
        <v>39</v>
      </c>
      <c r="E3180" s="5">
        <v>-31273</v>
      </c>
      <c r="F3180" s="3" t="s">
        <v>2108</v>
      </c>
      <c r="G3180" s="3" t="s">
        <v>52</v>
      </c>
      <c r="H3180" s="2" t="s">
        <v>21</v>
      </c>
      <c r="I3180" s="2" t="s">
        <v>7342</v>
      </c>
      <c r="J3180" s="3" t="str">
        <f>HYPERLINK("https://www.boe.es/gazeta/dias/1814/05/17/pdfs/GMD-1814-72.pdf#page=8","Abrir facsímil")</f>
        <v>Abrir facsímil</v>
      </c>
      <c r="K3180" s="3" t="s">
        <v>23</v>
      </c>
    </row>
    <row r="3181" spans="1:11" ht="42" customHeight="1">
      <c r="A3181" s="2" t="s">
        <v>7340</v>
      </c>
      <c r="B3181" s="2" t="s">
        <v>7341</v>
      </c>
      <c r="C3181" s="2" t="s">
        <v>26</v>
      </c>
      <c r="D3181" s="2" t="s">
        <v>27</v>
      </c>
      <c r="E3181" s="5">
        <v>-31203</v>
      </c>
      <c r="F3181" s="3" t="s">
        <v>512</v>
      </c>
      <c r="G3181" s="3" t="s">
        <v>57</v>
      </c>
      <c r="H3181" s="2" t="s">
        <v>21</v>
      </c>
      <c r="I3181" s="2" t="s">
        <v>7343</v>
      </c>
      <c r="J3181" s="3" t="str">
        <f>HYPERLINK("https://www.boe.es/gazeta/dias/1814/07/26/pdfs/GMD-1814-103.pdf#page=6","Abrir facsímil")</f>
        <v>Abrir facsímil</v>
      </c>
      <c r="K3181" s="3" t="s">
        <v>23</v>
      </c>
    </row>
    <row r="3182" spans="1:11" ht="42" customHeight="1">
      <c r="A3182" s="2" t="s">
        <v>7340</v>
      </c>
      <c r="B3182" s="2" t="s">
        <v>7341</v>
      </c>
      <c r="C3182" s="2" t="s">
        <v>45</v>
      </c>
      <c r="D3182" s="2" t="s">
        <v>18</v>
      </c>
      <c r="E3182" s="5">
        <v>-31063</v>
      </c>
      <c r="F3182" s="3" t="s">
        <v>649</v>
      </c>
      <c r="G3182" s="3" t="s">
        <v>52</v>
      </c>
      <c r="H3182" s="2" t="s">
        <v>21</v>
      </c>
      <c r="I3182" s="2" t="s">
        <v>7344</v>
      </c>
      <c r="J3182" s="3" t="str">
        <f>HYPERLINK("https://www.boe.es/gazeta/dias/1814/12/13/pdfs/GMD-1814-164.pdf#page=8","Abrir facsímil")</f>
        <v>Abrir facsímil</v>
      </c>
      <c r="K3182" s="3" t="s">
        <v>23</v>
      </c>
    </row>
    <row r="3183" spans="1:11" ht="42" customHeight="1">
      <c r="A3183" s="2" t="s">
        <v>7345</v>
      </c>
      <c r="B3183" s="2" t="s">
        <v>7346</v>
      </c>
      <c r="C3183" s="2" t="s">
        <v>38</v>
      </c>
      <c r="D3183" s="2" t="s">
        <v>39</v>
      </c>
      <c r="E3183" s="5">
        <v>-31119</v>
      </c>
      <c r="F3183" s="3" t="s">
        <v>136</v>
      </c>
      <c r="G3183" s="3" t="s">
        <v>704</v>
      </c>
      <c r="H3183" s="2" t="s">
        <v>21</v>
      </c>
      <c r="I3183" s="2" t="s">
        <v>7347</v>
      </c>
      <c r="J3183" s="3" t="str">
        <f>HYPERLINK("https://www.boe.es/gazeta/dias/1814/10/18/pdfs/GMD-1814-140.pdf#page=10","Abrir facsímil")</f>
        <v>Abrir facsímil</v>
      </c>
      <c r="K3183" s="3" t="s">
        <v>23</v>
      </c>
    </row>
    <row r="3184" spans="1:11" ht="42" customHeight="1">
      <c r="A3184" s="2" t="s">
        <v>7348</v>
      </c>
      <c r="B3184" s="2" t="s">
        <v>7349</v>
      </c>
      <c r="C3184" s="2" t="s">
        <v>105</v>
      </c>
      <c r="D3184" s="2" t="s">
        <v>18</v>
      </c>
      <c r="E3184" s="5">
        <v>-31091</v>
      </c>
      <c r="F3184" s="3" t="s">
        <v>1156</v>
      </c>
      <c r="G3184" s="3" t="s">
        <v>107</v>
      </c>
      <c r="H3184" s="2" t="s">
        <v>21</v>
      </c>
      <c r="I3184" s="2" t="s">
        <v>7350</v>
      </c>
      <c r="J3184" s="3" t="str">
        <f>HYPERLINK("https://www.boe.es/gazeta/dias/1814/11/15/pdfs/GMD-1814-152.pdf#page=1","Abrir facsímil")</f>
        <v>Abrir facsímil</v>
      </c>
      <c r="K3184" s="3" t="s">
        <v>23</v>
      </c>
    </row>
    <row r="3185" spans="1:11" ht="42" customHeight="1">
      <c r="A3185" s="2" t="s">
        <v>7351</v>
      </c>
      <c r="B3185" s="2" t="s">
        <v>7351</v>
      </c>
      <c r="C3185" s="2" t="s">
        <v>38</v>
      </c>
      <c r="D3185" s="2" t="s">
        <v>39</v>
      </c>
      <c r="E3185" s="5">
        <v>-31404</v>
      </c>
      <c r="F3185" s="3" t="s">
        <v>630</v>
      </c>
      <c r="G3185" s="3" t="s">
        <v>1095</v>
      </c>
      <c r="H3185" s="2" t="s">
        <v>62</v>
      </c>
      <c r="I3185" s="2" t="s">
        <v>7352</v>
      </c>
      <c r="J3185" s="3" t="str">
        <f>HYPERLINK("https://www.boe.es/gazeta/dias/1814/01/06/pdfs/GRE-1814-3.pdf#page=7","Abrir facsímil")</f>
        <v>Abrir facsímil</v>
      </c>
      <c r="K3185" s="3" t="s">
        <v>64</v>
      </c>
    </row>
    <row r="3186" spans="1:11" ht="42" customHeight="1">
      <c r="A3186" s="2" t="s">
        <v>7351</v>
      </c>
      <c r="B3186" s="2" t="s">
        <v>7351</v>
      </c>
      <c r="C3186" s="2" t="s">
        <v>38</v>
      </c>
      <c r="D3186" s="2" t="s">
        <v>39</v>
      </c>
      <c r="E3186" s="5">
        <v>-31292</v>
      </c>
      <c r="F3186" s="3" t="s">
        <v>557</v>
      </c>
      <c r="G3186" s="3" t="s">
        <v>20</v>
      </c>
      <c r="H3186" s="2" t="s">
        <v>62</v>
      </c>
      <c r="I3186" s="2" t="s">
        <v>7353</v>
      </c>
      <c r="J3186" s="3" t="str">
        <f>HYPERLINK("https://www.boe.es/gazeta/dias/1814/04/28/pdfs/GRE-1814-63.pdf#page=7","Abrir facsímil")</f>
        <v>Abrir facsímil</v>
      </c>
      <c r="K3186" s="3" t="s">
        <v>64</v>
      </c>
    </row>
    <row r="3187" spans="1:11" ht="42" customHeight="1">
      <c r="A3187" s="2" t="s">
        <v>7351</v>
      </c>
      <c r="B3187" s="2" t="s">
        <v>7351</v>
      </c>
      <c r="C3187" s="2" t="s">
        <v>38</v>
      </c>
      <c r="D3187" s="2" t="s">
        <v>39</v>
      </c>
      <c r="E3187" s="5">
        <v>-31290</v>
      </c>
      <c r="F3187" s="3" t="s">
        <v>488</v>
      </c>
      <c r="G3187" s="3" t="s">
        <v>20</v>
      </c>
      <c r="H3187" s="2" t="s">
        <v>62</v>
      </c>
      <c r="I3187" s="2" t="s">
        <v>7354</v>
      </c>
      <c r="J3187" s="3" t="str">
        <f>HYPERLINK("https://www.boe.es/gazeta/dias/1814/04/30/pdfs/GRE-1814-64.pdf#page=7","Abrir facsímil")</f>
        <v>Abrir facsímil</v>
      </c>
      <c r="K3187" s="3" t="s">
        <v>64</v>
      </c>
    </row>
    <row r="3188" spans="1:11" ht="42" customHeight="1">
      <c r="A3188" s="2" t="s">
        <v>7351</v>
      </c>
      <c r="B3188" s="2" t="s">
        <v>7351</v>
      </c>
      <c r="C3188" s="2" t="s">
        <v>32</v>
      </c>
      <c r="D3188" s="2" t="s">
        <v>18</v>
      </c>
      <c r="E3188" s="5">
        <v>-31280</v>
      </c>
      <c r="F3188" s="3" t="s">
        <v>4480</v>
      </c>
      <c r="G3188" s="3" t="s">
        <v>322</v>
      </c>
      <c r="H3188" s="2" t="s">
        <v>62</v>
      </c>
      <c r="I3188" s="2" t="s">
        <v>7355</v>
      </c>
      <c r="J3188" s="3" t="str">
        <f>HYPERLINK("https://www.boe.es/gazeta/dias/1814/05/10/pdfs/GRE-1814-68.pdf#page=12","Abrir facsímil")</f>
        <v>Abrir facsímil</v>
      </c>
      <c r="K3188" s="3" t="s">
        <v>64</v>
      </c>
    </row>
    <row r="3189" spans="1:11" ht="42" customHeight="1">
      <c r="A3189" s="2" t="s">
        <v>7351</v>
      </c>
      <c r="B3189" s="2" t="s">
        <v>7351</v>
      </c>
      <c r="C3189" s="2" t="s">
        <v>38</v>
      </c>
      <c r="D3189" s="2" t="s">
        <v>39</v>
      </c>
      <c r="E3189" s="5">
        <v>-31252</v>
      </c>
      <c r="F3189" s="3" t="s">
        <v>364</v>
      </c>
      <c r="G3189" s="3" t="s">
        <v>365</v>
      </c>
      <c r="H3189" s="2" t="s">
        <v>62</v>
      </c>
      <c r="I3189" s="2" t="s">
        <v>7356</v>
      </c>
      <c r="J3189" s="3" t="str">
        <f>HYPERLINK("https://www.boe.es/gazeta/dias/1814/06/07/pdfs/GMD-1814-82.pdf#page=8","Abrir facsímil")</f>
        <v>Abrir facsímil</v>
      </c>
      <c r="K3189" s="3" t="s">
        <v>64</v>
      </c>
    </row>
    <row r="3190" spans="1:11" ht="42" customHeight="1">
      <c r="A3190" s="2" t="s">
        <v>7351</v>
      </c>
      <c r="B3190" s="2" t="s">
        <v>7351</v>
      </c>
      <c r="C3190" s="2" t="s">
        <v>38</v>
      </c>
      <c r="D3190" s="2" t="s">
        <v>39</v>
      </c>
      <c r="E3190" s="5">
        <v>-31182</v>
      </c>
      <c r="F3190" s="3" t="s">
        <v>19</v>
      </c>
      <c r="G3190" s="3" t="s">
        <v>57</v>
      </c>
      <c r="H3190" s="2" t="s">
        <v>62</v>
      </c>
      <c r="I3190" s="2" t="s">
        <v>7357</v>
      </c>
      <c r="J3190" s="3" t="str">
        <f>HYPERLINK("https://www.boe.es/gazeta/dias/1814/08/16/pdfs/GMD-1814-112.pdf#page=6","Abrir facsímil")</f>
        <v>Abrir facsímil</v>
      </c>
      <c r="K3190" s="3" t="s">
        <v>64</v>
      </c>
    </row>
    <row r="3191" spans="1:11" ht="42" customHeight="1">
      <c r="A3191" s="2" t="s">
        <v>7351</v>
      </c>
      <c r="B3191" s="2" t="s">
        <v>7351</v>
      </c>
      <c r="C3191" s="2" t="s">
        <v>45</v>
      </c>
      <c r="D3191" s="2" t="s">
        <v>18</v>
      </c>
      <c r="E3191" s="5">
        <v>-31147</v>
      </c>
      <c r="F3191" s="3" t="s">
        <v>86</v>
      </c>
      <c r="G3191" s="3" t="s">
        <v>52</v>
      </c>
      <c r="H3191" s="2" t="s">
        <v>62</v>
      </c>
      <c r="I3191" s="2" t="s">
        <v>7358</v>
      </c>
      <c r="J3191" s="3" t="str">
        <f>HYPERLINK("https://www.boe.es/gazeta/dias/1814/09/20/pdfs/GMD-1814-128.pdf#page=8","Abrir facsímil")</f>
        <v>Abrir facsímil</v>
      </c>
      <c r="K3191" s="3" t="s">
        <v>64</v>
      </c>
    </row>
    <row r="3192" spans="1:11" ht="42" customHeight="1">
      <c r="A3192" s="2" t="s">
        <v>7351</v>
      </c>
      <c r="B3192" s="2" t="s">
        <v>7351</v>
      </c>
      <c r="C3192" s="2" t="s">
        <v>38</v>
      </c>
      <c r="D3192" s="2" t="s">
        <v>39</v>
      </c>
      <c r="E3192" s="5">
        <v>-31140</v>
      </c>
      <c r="F3192" s="3" t="s">
        <v>525</v>
      </c>
      <c r="G3192" s="3" t="s">
        <v>52</v>
      </c>
      <c r="H3192" s="2" t="s">
        <v>62</v>
      </c>
      <c r="I3192" s="2" t="s">
        <v>7359</v>
      </c>
      <c r="J3192" s="3" t="str">
        <f>HYPERLINK("https://www.boe.es/gazeta/dias/1814/09/27/pdfs/GMD-1814-131.pdf#page=8","Abrir facsímil")</f>
        <v>Abrir facsímil</v>
      </c>
      <c r="K3192" s="3" t="s">
        <v>64</v>
      </c>
    </row>
    <row r="3193" spans="1:11" ht="42" customHeight="1">
      <c r="A3193" s="2" t="s">
        <v>7351</v>
      </c>
      <c r="B3193" s="2" t="s">
        <v>7351</v>
      </c>
      <c r="C3193" s="2" t="s">
        <v>45</v>
      </c>
      <c r="D3193" s="2" t="s">
        <v>18</v>
      </c>
      <c r="E3193" s="5">
        <v>-31126</v>
      </c>
      <c r="F3193" s="3" t="s">
        <v>56</v>
      </c>
      <c r="G3193" s="3" t="s">
        <v>2616</v>
      </c>
      <c r="H3193" s="2" t="s">
        <v>62</v>
      </c>
      <c r="I3193" s="2" t="s">
        <v>7360</v>
      </c>
      <c r="J3193" s="3" t="str">
        <f>HYPERLINK("https://www.boe.es/gazeta/dias/1814/10/11/pdfs/GMD-1814-137.pdf#page=7","Abrir facsímil")</f>
        <v>Abrir facsímil</v>
      </c>
      <c r="K3193" s="3" t="s">
        <v>64</v>
      </c>
    </row>
    <row r="3194" spans="1:11" ht="42" customHeight="1">
      <c r="A3194" s="2" t="s">
        <v>7351</v>
      </c>
      <c r="B3194" s="2" t="s">
        <v>7351</v>
      </c>
      <c r="C3194" s="2" t="s">
        <v>26</v>
      </c>
      <c r="D3194" s="2" t="s">
        <v>27</v>
      </c>
      <c r="E3194" s="5">
        <v>-31124</v>
      </c>
      <c r="F3194" s="3" t="s">
        <v>383</v>
      </c>
      <c r="G3194" s="3" t="s">
        <v>384</v>
      </c>
      <c r="H3194" s="2" t="s">
        <v>62</v>
      </c>
      <c r="I3194" s="2" t="s">
        <v>7361</v>
      </c>
      <c r="J3194" s="3" t="str">
        <f>HYPERLINK("https://www.boe.es/gazeta/dias/1814/10/13/pdfs/GMD-1814-138.pdf#page=11","Abrir facsímil")</f>
        <v>Abrir facsímil</v>
      </c>
      <c r="K3194" s="3" t="s">
        <v>64</v>
      </c>
    </row>
    <row r="3195" spans="1:11" ht="42" customHeight="1">
      <c r="A3195" s="2" t="s">
        <v>7351</v>
      </c>
      <c r="B3195" s="2" t="s">
        <v>7351</v>
      </c>
      <c r="C3195" s="2" t="s">
        <v>38</v>
      </c>
      <c r="D3195" s="2" t="s">
        <v>39</v>
      </c>
      <c r="E3195" s="5">
        <v>-31117</v>
      </c>
      <c r="F3195" s="3" t="s">
        <v>172</v>
      </c>
      <c r="G3195" s="3" t="s">
        <v>173</v>
      </c>
      <c r="H3195" s="2" t="s">
        <v>62</v>
      </c>
      <c r="I3195" s="2" t="s">
        <v>7362</v>
      </c>
      <c r="J3195" s="3" t="str">
        <f>HYPERLINK("https://www.boe.es/gazeta/dias/1814/10/20/pdfs/GMD-1814-141.pdf#page=7","Abrir facsímil")</f>
        <v>Abrir facsímil</v>
      </c>
      <c r="K3195" s="3" t="s">
        <v>64</v>
      </c>
    </row>
    <row r="3196" spans="1:11" ht="42" customHeight="1">
      <c r="A3196" s="2" t="s">
        <v>7351</v>
      </c>
      <c r="B3196" s="2" t="s">
        <v>7351</v>
      </c>
      <c r="C3196" s="2" t="s">
        <v>38</v>
      </c>
      <c r="D3196" s="2" t="s">
        <v>39</v>
      </c>
      <c r="E3196" s="5">
        <v>-31112</v>
      </c>
      <c r="F3196" s="3" t="s">
        <v>707</v>
      </c>
      <c r="G3196" s="3" t="s">
        <v>4335</v>
      </c>
      <c r="H3196" s="2" t="s">
        <v>62</v>
      </c>
      <c r="I3196" s="2" t="s">
        <v>7363</v>
      </c>
      <c r="J3196" s="3" t="str">
        <f>HYPERLINK("https://www.boe.es/gazeta/dias/1814/10/25/pdfs/GMD-1814-143.pdf#page=6","Abrir facsímil")</f>
        <v>Abrir facsímil</v>
      </c>
      <c r="K3196" s="3" t="s">
        <v>64</v>
      </c>
    </row>
    <row r="3197" spans="1:11" ht="42" customHeight="1">
      <c r="A3197" s="2" t="s">
        <v>7351</v>
      </c>
      <c r="B3197" s="2" t="s">
        <v>7351</v>
      </c>
      <c r="C3197" s="2" t="s">
        <v>45</v>
      </c>
      <c r="D3197" s="2" t="s">
        <v>18</v>
      </c>
      <c r="E3197" s="5">
        <v>-31091</v>
      </c>
      <c r="F3197" s="3" t="s">
        <v>1156</v>
      </c>
      <c r="G3197" s="3" t="s">
        <v>52</v>
      </c>
      <c r="H3197" s="2" t="s">
        <v>62</v>
      </c>
      <c r="I3197" s="2" t="s">
        <v>7364</v>
      </c>
      <c r="J3197" s="3" t="str">
        <f>HYPERLINK("https://www.boe.es/gazeta/dias/1814/11/15/pdfs/GMD-1814-152.pdf#page=8","Abrir facsímil")</f>
        <v>Abrir facsímil</v>
      </c>
      <c r="K3197" s="3" t="s">
        <v>64</v>
      </c>
    </row>
    <row r="3198" spans="1:11" ht="42" customHeight="1">
      <c r="A3198" s="2" t="s">
        <v>7351</v>
      </c>
      <c r="B3198" s="2" t="s">
        <v>7351</v>
      </c>
      <c r="C3198" s="2" t="s">
        <v>45</v>
      </c>
      <c r="D3198" s="2" t="s">
        <v>18</v>
      </c>
      <c r="E3198" s="5">
        <v>-31089</v>
      </c>
      <c r="F3198" s="3" t="s">
        <v>531</v>
      </c>
      <c r="G3198" s="3" t="s">
        <v>20</v>
      </c>
      <c r="H3198" s="2" t="s">
        <v>62</v>
      </c>
      <c r="I3198" s="2" t="s">
        <v>7365</v>
      </c>
      <c r="J3198" s="3" t="str">
        <f>HYPERLINK("https://www.boe.es/gazeta/dias/1814/11/17/pdfs/GMD-1814-153.pdf#page=7","Abrir facsímil")</f>
        <v>Abrir facsímil</v>
      </c>
      <c r="K3198" s="3" t="s">
        <v>64</v>
      </c>
    </row>
    <row r="3199" spans="1:11" ht="42" customHeight="1">
      <c r="A3199" s="2" t="s">
        <v>7366</v>
      </c>
      <c r="B3199" s="2" t="s">
        <v>7367</v>
      </c>
      <c r="C3199" s="2" t="s">
        <v>38</v>
      </c>
      <c r="D3199" s="2" t="s">
        <v>39</v>
      </c>
      <c r="E3199" s="5">
        <v>-31047</v>
      </c>
      <c r="F3199" s="3" t="s">
        <v>815</v>
      </c>
      <c r="G3199" s="3" t="s">
        <v>1095</v>
      </c>
      <c r="H3199" s="2" t="s">
        <v>62</v>
      </c>
      <c r="I3199" s="2" t="s">
        <v>7368</v>
      </c>
      <c r="J3199" s="3" t="str">
        <f>HYPERLINK("https://www.boe.es/gazeta/dias/1814/12/29/pdfs/GMD-1814-172.pdf#page=4","Abrir facsímil")</f>
        <v>Abrir facsímil</v>
      </c>
      <c r="K3199" s="3" t="s">
        <v>64</v>
      </c>
    </row>
    <row r="3200" spans="1:11" ht="42" customHeight="1">
      <c r="A3200" s="2" t="s">
        <v>7369</v>
      </c>
      <c r="B3200" s="2" t="s">
        <v>7370</v>
      </c>
      <c r="C3200" s="2" t="s">
        <v>17</v>
      </c>
      <c r="D3200" s="2" t="s">
        <v>18</v>
      </c>
      <c r="E3200" s="5">
        <v>-31220</v>
      </c>
      <c r="F3200" s="3" t="s">
        <v>122</v>
      </c>
      <c r="G3200" s="3" t="s">
        <v>87</v>
      </c>
      <c r="H3200" s="2" t="s">
        <v>62</v>
      </c>
      <c r="I3200" s="2" t="s">
        <v>7371</v>
      </c>
      <c r="J3200" s="3" t="str">
        <f>HYPERLINK("https://www.boe.es/gazeta/dias/1814/07/09/pdfs/GMD-1814-96.pdf#page=2","Abrir facsímil")</f>
        <v>Abrir facsímil</v>
      </c>
      <c r="K3200" s="3" t="s">
        <v>64</v>
      </c>
    </row>
    <row r="3201" spans="1:11" ht="42" customHeight="1">
      <c r="A3201" s="2" t="s">
        <v>7372</v>
      </c>
      <c r="B3201" s="2" t="s">
        <v>7373</v>
      </c>
      <c r="C3201" s="2" t="s">
        <v>26</v>
      </c>
      <c r="D3201" s="2" t="s">
        <v>27</v>
      </c>
      <c r="E3201" s="5">
        <v>-31119</v>
      </c>
      <c r="F3201" s="3" t="s">
        <v>136</v>
      </c>
      <c r="G3201" s="3" t="s">
        <v>704</v>
      </c>
      <c r="H3201" s="2" t="s">
        <v>62</v>
      </c>
      <c r="I3201" s="2" t="s">
        <v>7374</v>
      </c>
      <c r="J3201" s="3" t="str">
        <f>HYPERLINK("https://www.boe.es/gazeta/dias/1814/10/18/pdfs/GMD-1814-140.pdf#page=10","Abrir facsímil")</f>
        <v>Abrir facsímil</v>
      </c>
      <c r="K3201" s="3" t="s">
        <v>64</v>
      </c>
    </row>
    <row r="3202" spans="1:11" ht="42" customHeight="1">
      <c r="A3202" s="2" t="s">
        <v>7375</v>
      </c>
      <c r="B3202" s="2" t="s">
        <v>7376</v>
      </c>
      <c r="C3202" s="2" t="s">
        <v>309</v>
      </c>
      <c r="D3202" s="2" t="s">
        <v>18</v>
      </c>
      <c r="E3202" s="5">
        <v>-31231</v>
      </c>
      <c r="F3202" s="3" t="s">
        <v>861</v>
      </c>
      <c r="G3202" s="3" t="s">
        <v>7377</v>
      </c>
      <c r="H3202" s="2" t="s">
        <v>62</v>
      </c>
      <c r="I3202" s="2" t="s">
        <v>7378</v>
      </c>
      <c r="J3202" s="3" t="str">
        <f>HYPERLINK("https://www.boe.es/gazeta/dias/1814/06/28/pdfs/GMD-1814-91.pdf#page=6","Abrir facsímil")</f>
        <v>Abrir facsímil</v>
      </c>
      <c r="K3202" s="3" t="s">
        <v>64</v>
      </c>
    </row>
    <row r="3203" spans="1:11" ht="42" customHeight="1">
      <c r="A3203" s="2" t="s">
        <v>7379</v>
      </c>
      <c r="B3203" s="2" t="s">
        <v>7380</v>
      </c>
      <c r="C3203" s="2" t="s">
        <v>26</v>
      </c>
      <c r="D3203" s="2" t="s">
        <v>27</v>
      </c>
      <c r="E3203" s="5">
        <v>-31224</v>
      </c>
      <c r="F3203" s="3" t="s">
        <v>609</v>
      </c>
      <c r="G3203" s="3" t="s">
        <v>704</v>
      </c>
      <c r="H3203" s="2" t="s">
        <v>62</v>
      </c>
      <c r="I3203" s="2" t="s">
        <v>7381</v>
      </c>
      <c r="J3203" s="3" t="str">
        <f>HYPERLINK("https://www.boe.es/gazeta/dias/1814/07/05/pdfs/GMD-1814-94.pdf#page=10","Abrir facsímil")</f>
        <v>Abrir facsímil</v>
      </c>
      <c r="K3203" s="3" t="s">
        <v>64</v>
      </c>
    </row>
    <row r="3204" spans="1:11" ht="42" customHeight="1">
      <c r="A3204" s="2" t="s">
        <v>7382</v>
      </c>
      <c r="B3204" s="2" t="s">
        <v>7383</v>
      </c>
      <c r="C3204" s="2" t="s">
        <v>309</v>
      </c>
      <c r="D3204" s="2" t="s">
        <v>18</v>
      </c>
      <c r="E3204" s="5">
        <v>-31173</v>
      </c>
      <c r="F3204" s="3" t="s">
        <v>46</v>
      </c>
      <c r="G3204" s="3" t="s">
        <v>20</v>
      </c>
      <c r="H3204" s="2" t="s">
        <v>62</v>
      </c>
      <c r="I3204" s="2" t="s">
        <v>7384</v>
      </c>
      <c r="J3204" s="3" t="str">
        <f>HYPERLINK("https://www.boe.es/gazeta/dias/1814/08/25/pdfs/GMD-1814-116.pdf#page=7","Abrir facsímil")</f>
        <v>Abrir facsímil</v>
      </c>
      <c r="K3204" s="3" t="s">
        <v>64</v>
      </c>
    </row>
    <row r="3205" spans="1:11" ht="42" customHeight="1">
      <c r="A3205" s="2" t="s">
        <v>7385</v>
      </c>
      <c r="B3205" s="2" t="s">
        <v>7386</v>
      </c>
      <c r="C3205" s="2" t="s">
        <v>32</v>
      </c>
      <c r="D3205" s="2" t="s">
        <v>18</v>
      </c>
      <c r="E3205" s="5">
        <v>-31101</v>
      </c>
      <c r="F3205" s="3" t="s">
        <v>2095</v>
      </c>
      <c r="G3205" s="3" t="s">
        <v>52</v>
      </c>
      <c r="H3205" s="2" t="s">
        <v>62</v>
      </c>
      <c r="I3205" s="2" t="s">
        <v>7387</v>
      </c>
      <c r="J3205" s="3" t="str">
        <f>HYPERLINK("https://www.boe.es/gazeta/dias/1814/11/05/pdfs/GMD-1814-148.pdf#page=8","Abrir facsímil")</f>
        <v>Abrir facsímil</v>
      </c>
      <c r="K3205" s="3" t="s">
        <v>64</v>
      </c>
    </row>
    <row r="3206" spans="1:11" ht="42" customHeight="1">
      <c r="A3206" s="2" t="s">
        <v>7388</v>
      </c>
      <c r="B3206" s="2" t="s">
        <v>7389</v>
      </c>
      <c r="C3206" s="2" t="s">
        <v>17</v>
      </c>
      <c r="D3206" s="2" t="s">
        <v>18</v>
      </c>
      <c r="E3206" s="5">
        <v>-31269</v>
      </c>
      <c r="F3206" s="3" t="s">
        <v>496</v>
      </c>
      <c r="G3206" s="3" t="s">
        <v>6039</v>
      </c>
      <c r="H3206" s="2" t="s">
        <v>62</v>
      </c>
      <c r="I3206" s="2" t="s">
        <v>7390</v>
      </c>
      <c r="J3206" s="3" t="str">
        <f>HYPERLINK("https://www.boe.es/gazeta/dias/1814/05/21/pdfs/GMD-1814-75.pdf#page=6","Abrir facsímil")</f>
        <v>Abrir facsímil</v>
      </c>
      <c r="K3206" s="3" t="s">
        <v>64</v>
      </c>
    </row>
    <row r="3207" spans="1:11" ht="42" customHeight="1">
      <c r="A3207" s="2" t="s">
        <v>7388</v>
      </c>
      <c r="B3207" s="2" t="s">
        <v>7389</v>
      </c>
      <c r="C3207" s="2" t="s">
        <v>26</v>
      </c>
      <c r="D3207" s="2" t="s">
        <v>27</v>
      </c>
      <c r="E3207" s="5">
        <v>-31217</v>
      </c>
      <c r="F3207" s="3" t="s">
        <v>506</v>
      </c>
      <c r="G3207" s="3" t="s">
        <v>704</v>
      </c>
      <c r="H3207" s="2" t="s">
        <v>62</v>
      </c>
      <c r="I3207" s="2" t="s">
        <v>7391</v>
      </c>
      <c r="J3207" s="3" t="str">
        <f>HYPERLINK("https://www.boe.es/gazeta/dias/1814/07/12/pdfs/GMD-1814-97.pdf#page=10","Abrir facsímil")</f>
        <v>Abrir facsímil</v>
      </c>
      <c r="K3207" s="3" t="s">
        <v>64</v>
      </c>
    </row>
    <row r="3208" spans="1:11" ht="42" customHeight="1">
      <c r="A3208" s="2" t="s">
        <v>7388</v>
      </c>
      <c r="B3208" s="2" t="s">
        <v>7389</v>
      </c>
      <c r="C3208" s="2" t="s">
        <v>309</v>
      </c>
      <c r="D3208" s="2" t="s">
        <v>18</v>
      </c>
      <c r="E3208" s="5">
        <v>-31122</v>
      </c>
      <c r="F3208" s="3" t="s">
        <v>28</v>
      </c>
      <c r="G3208" s="3" t="s">
        <v>1665</v>
      </c>
      <c r="H3208" s="2" t="s">
        <v>62</v>
      </c>
      <c r="I3208" s="2" t="s">
        <v>7392</v>
      </c>
      <c r="J3208" s="3" t="str">
        <f>HYPERLINK("https://www.boe.es/gazeta/dias/1814/10/15/pdfs/GMD-1814-139.pdf#page=4","Abrir facsímil")</f>
        <v>Abrir facsímil</v>
      </c>
      <c r="K3208" s="3" t="s">
        <v>64</v>
      </c>
    </row>
    <row r="3209" spans="1:11" ht="42" customHeight="1">
      <c r="A3209" s="2" t="s">
        <v>7388</v>
      </c>
      <c r="B3209" s="2" t="s">
        <v>7389</v>
      </c>
      <c r="C3209" s="2" t="s">
        <v>26</v>
      </c>
      <c r="D3209" s="2" t="s">
        <v>27</v>
      </c>
      <c r="E3209" s="5">
        <v>-31119</v>
      </c>
      <c r="F3209" s="3" t="s">
        <v>136</v>
      </c>
      <c r="G3209" s="3" t="s">
        <v>41</v>
      </c>
      <c r="H3209" s="2" t="s">
        <v>62</v>
      </c>
      <c r="I3209" s="2" t="s">
        <v>7393</v>
      </c>
      <c r="J3209" s="3" t="str">
        <f>HYPERLINK("https://www.boe.es/gazeta/dias/1814/10/18/pdfs/GMD-1814-140.pdf#page=4","Abrir facsímil")</f>
        <v>Abrir facsímil</v>
      </c>
      <c r="K3209" s="3" t="s">
        <v>64</v>
      </c>
    </row>
    <row r="3210" spans="1:11" ht="42" customHeight="1">
      <c r="A3210" s="2" t="s">
        <v>7388</v>
      </c>
      <c r="B3210" s="2" t="s">
        <v>7389</v>
      </c>
      <c r="C3210" s="2" t="s">
        <v>26</v>
      </c>
      <c r="D3210" s="2" t="s">
        <v>27</v>
      </c>
      <c r="E3210" s="5">
        <v>-31077</v>
      </c>
      <c r="F3210" s="3" t="s">
        <v>414</v>
      </c>
      <c r="G3210" s="3" t="s">
        <v>57</v>
      </c>
      <c r="H3210" s="2" t="s">
        <v>62</v>
      </c>
      <c r="I3210" s="2" t="s">
        <v>7394</v>
      </c>
      <c r="J3210" s="3" t="str">
        <f>HYPERLINK("https://www.boe.es/gazeta/dias/1814/11/29/pdfs/GMD-1814-158.pdf#page=6","Abrir facsímil")</f>
        <v>Abrir facsímil</v>
      </c>
      <c r="K3210" s="3" t="s">
        <v>64</v>
      </c>
    </row>
    <row r="3211" spans="1:11" ht="42" customHeight="1">
      <c r="A3211" s="2" t="s">
        <v>7395</v>
      </c>
      <c r="B3211" s="2" t="s">
        <v>7396</v>
      </c>
      <c r="C3211" s="2" t="s">
        <v>17</v>
      </c>
      <c r="D3211" s="2" t="s">
        <v>18</v>
      </c>
      <c r="E3211" s="5">
        <v>-31269</v>
      </c>
      <c r="F3211" s="3" t="s">
        <v>496</v>
      </c>
      <c r="G3211" s="3" t="s">
        <v>20</v>
      </c>
      <c r="H3211" s="2" t="s">
        <v>62</v>
      </c>
      <c r="I3211" s="2" t="s">
        <v>7397</v>
      </c>
      <c r="J3211" s="3" t="str">
        <f>HYPERLINK("https://www.boe.es/gazeta/dias/1814/05/21/pdfs/GMD-1814-75.pdf#page=7","Abrir facsímil")</f>
        <v>Abrir facsímil</v>
      </c>
      <c r="K3211" s="3" t="s">
        <v>64</v>
      </c>
    </row>
    <row r="3212" spans="1:11" ht="42" customHeight="1">
      <c r="A3212" s="2" t="s">
        <v>7395</v>
      </c>
      <c r="B3212" s="2" t="s">
        <v>7396</v>
      </c>
      <c r="C3212" s="2" t="s">
        <v>38</v>
      </c>
      <c r="D3212" s="2" t="s">
        <v>39</v>
      </c>
      <c r="E3212" s="5">
        <v>-31262</v>
      </c>
      <c r="F3212" s="3" t="s">
        <v>254</v>
      </c>
      <c r="G3212" s="3" t="s">
        <v>666</v>
      </c>
      <c r="H3212" s="2" t="s">
        <v>62</v>
      </c>
      <c r="I3212" s="2" t="s">
        <v>7398</v>
      </c>
      <c r="J3212" s="3" t="str">
        <f>HYPERLINK("https://www.boe.es/gazeta/dias/1814/05/28/pdfs/GMD-1814-78.pdf#page=8","Abrir facsímil")</f>
        <v>Abrir facsímil</v>
      </c>
      <c r="K3212" s="3" t="s">
        <v>64</v>
      </c>
    </row>
    <row r="3213" spans="1:11" ht="42" customHeight="1">
      <c r="A3213" s="2" t="s">
        <v>7395</v>
      </c>
      <c r="B3213" s="2" t="s">
        <v>7396</v>
      </c>
      <c r="C3213" s="2" t="s">
        <v>38</v>
      </c>
      <c r="D3213" s="2" t="s">
        <v>39</v>
      </c>
      <c r="E3213" s="5">
        <v>-31257</v>
      </c>
      <c r="F3213" s="3" t="s">
        <v>437</v>
      </c>
      <c r="G3213" s="3" t="s">
        <v>52</v>
      </c>
      <c r="H3213" s="2" t="s">
        <v>62</v>
      </c>
      <c r="I3213" s="2" t="s">
        <v>7399</v>
      </c>
      <c r="J3213" s="3" t="str">
        <f>HYPERLINK("https://www.boe.es/gazeta/dias/1814/06/02/pdfs/GMD-1814-80.pdf#page=8","Abrir facsímil")</f>
        <v>Abrir facsímil</v>
      </c>
      <c r="K3213" s="3" t="s">
        <v>64</v>
      </c>
    </row>
    <row r="3214" spans="1:11" ht="42" customHeight="1">
      <c r="A3214" s="2" t="s">
        <v>7395</v>
      </c>
      <c r="B3214" s="2" t="s">
        <v>7396</v>
      </c>
      <c r="C3214" s="2" t="s">
        <v>309</v>
      </c>
      <c r="D3214" s="2" t="s">
        <v>18</v>
      </c>
      <c r="E3214" s="5">
        <v>-31255</v>
      </c>
      <c r="F3214" s="3" t="s">
        <v>983</v>
      </c>
      <c r="G3214" s="3" t="s">
        <v>137</v>
      </c>
      <c r="H3214" s="2" t="s">
        <v>62</v>
      </c>
      <c r="I3214" s="2" t="s">
        <v>7400</v>
      </c>
      <c r="J3214" s="3" t="str">
        <f>HYPERLINK("https://www.boe.es/gazeta/dias/1814/06/04/pdfs/GMD-1814-81.pdf#page=9","Abrir facsímil")</f>
        <v>Abrir facsímil</v>
      </c>
      <c r="K3214" s="3" t="s">
        <v>64</v>
      </c>
    </row>
    <row r="3215" spans="1:11" ht="42" customHeight="1">
      <c r="A3215" s="2" t="s">
        <v>7395</v>
      </c>
      <c r="B3215" s="2" t="s">
        <v>7396</v>
      </c>
      <c r="C3215" s="2" t="s">
        <v>38</v>
      </c>
      <c r="D3215" s="2" t="s">
        <v>39</v>
      </c>
      <c r="E3215" s="5">
        <v>-31250</v>
      </c>
      <c r="F3215" s="3" t="s">
        <v>177</v>
      </c>
      <c r="G3215" s="3" t="s">
        <v>20</v>
      </c>
      <c r="H3215" s="2" t="s">
        <v>62</v>
      </c>
      <c r="I3215" s="2" t="s">
        <v>7401</v>
      </c>
      <c r="J3215" s="3" t="str">
        <f>HYPERLINK("https://www.boe.es/gazeta/dias/1814/06/09/pdfs/GMD-1814-83.pdf#page=7","Abrir facsímil")</f>
        <v>Abrir facsímil</v>
      </c>
      <c r="K3215" s="3" t="s">
        <v>64</v>
      </c>
    </row>
    <row r="3216" spans="1:11" ht="42" customHeight="1">
      <c r="A3216" s="2" t="s">
        <v>7395</v>
      </c>
      <c r="B3216" s="2" t="s">
        <v>7396</v>
      </c>
      <c r="C3216" s="2" t="s">
        <v>26</v>
      </c>
      <c r="D3216" s="2" t="s">
        <v>27</v>
      </c>
      <c r="E3216" s="5">
        <v>-31245</v>
      </c>
      <c r="F3216" s="3" t="s">
        <v>908</v>
      </c>
      <c r="G3216" s="3" t="s">
        <v>322</v>
      </c>
      <c r="H3216" s="2" t="s">
        <v>62</v>
      </c>
      <c r="I3216" s="2" t="s">
        <v>7402</v>
      </c>
      <c r="J3216" s="3" t="str">
        <f>HYPERLINK("https://www.boe.es/gazeta/dias/1814/06/14/pdfs/GMD-1814-85.pdf#page=12","Abrir facsímil")</f>
        <v>Abrir facsímil</v>
      </c>
      <c r="K3216" s="3" t="s">
        <v>64</v>
      </c>
    </row>
    <row r="3217" spans="1:11" ht="42" customHeight="1">
      <c r="A3217" s="2" t="s">
        <v>7395</v>
      </c>
      <c r="B3217" s="2" t="s">
        <v>7396</v>
      </c>
      <c r="C3217" s="2" t="s">
        <v>26</v>
      </c>
      <c r="D3217" s="2" t="s">
        <v>27</v>
      </c>
      <c r="E3217" s="5">
        <v>-31238</v>
      </c>
      <c r="F3217" s="3" t="s">
        <v>127</v>
      </c>
      <c r="G3217" s="3" t="s">
        <v>704</v>
      </c>
      <c r="H3217" s="2" t="s">
        <v>62</v>
      </c>
      <c r="I3217" s="2" t="s">
        <v>7403</v>
      </c>
      <c r="J3217" s="3" t="str">
        <f>HYPERLINK("https://www.boe.es/gazeta/dias/1814/06/21/pdfs/GMD-1814-88.pdf#page=10","Abrir facsímil")</f>
        <v>Abrir facsímil</v>
      </c>
      <c r="K3217" s="3" t="s">
        <v>64</v>
      </c>
    </row>
    <row r="3218" spans="1:11" ht="42" customHeight="1">
      <c r="A3218" s="2" t="s">
        <v>7395</v>
      </c>
      <c r="B3218" s="2" t="s">
        <v>7396</v>
      </c>
      <c r="C3218" s="2" t="s">
        <v>38</v>
      </c>
      <c r="D3218" s="2" t="s">
        <v>39</v>
      </c>
      <c r="E3218" s="5">
        <v>-31231</v>
      </c>
      <c r="F3218" s="3" t="s">
        <v>861</v>
      </c>
      <c r="G3218" s="3" t="s">
        <v>704</v>
      </c>
      <c r="H3218" s="2" t="s">
        <v>62</v>
      </c>
      <c r="I3218" s="2" t="s">
        <v>7404</v>
      </c>
      <c r="J3218" s="3" t="str">
        <f>HYPERLINK("https://www.boe.es/gazeta/dias/1814/06/28/pdfs/GMD-1814-91.pdf#page=10","Abrir facsímil")</f>
        <v>Abrir facsímil</v>
      </c>
      <c r="K3218" s="3" t="s">
        <v>64</v>
      </c>
    </row>
    <row r="3219" spans="1:11" ht="42" customHeight="1">
      <c r="A3219" s="2" t="s">
        <v>7395</v>
      </c>
      <c r="B3219" s="2" t="s">
        <v>7396</v>
      </c>
      <c r="C3219" s="2" t="s">
        <v>26</v>
      </c>
      <c r="D3219" s="2" t="s">
        <v>27</v>
      </c>
      <c r="E3219" s="5">
        <v>-31152</v>
      </c>
      <c r="F3219" s="3" t="s">
        <v>199</v>
      </c>
      <c r="G3219" s="3" t="s">
        <v>99</v>
      </c>
      <c r="H3219" s="2" t="s">
        <v>62</v>
      </c>
      <c r="I3219" s="2" t="s">
        <v>7405</v>
      </c>
      <c r="J3219" s="3" t="str">
        <f>HYPERLINK("https://www.boe.es/gazeta/dias/1814/09/15/pdfs/GMD-1814-126.pdf#page=5","Abrir facsímil")</f>
        <v>Abrir facsímil</v>
      </c>
      <c r="K3219" s="3" t="s">
        <v>64</v>
      </c>
    </row>
    <row r="3220" spans="1:11" ht="42" customHeight="1">
      <c r="A3220" s="2" t="s">
        <v>7395</v>
      </c>
      <c r="B3220" s="2" t="s">
        <v>7396</v>
      </c>
      <c r="C3220" s="2" t="s">
        <v>26</v>
      </c>
      <c r="D3220" s="2" t="s">
        <v>27</v>
      </c>
      <c r="E3220" s="5">
        <v>-31122</v>
      </c>
      <c r="F3220" s="3" t="s">
        <v>28</v>
      </c>
      <c r="G3220" s="3" t="s">
        <v>1665</v>
      </c>
      <c r="H3220" s="2" t="s">
        <v>62</v>
      </c>
      <c r="I3220" s="2" t="s">
        <v>7406</v>
      </c>
      <c r="J3220" s="3" t="str">
        <f>HYPERLINK("https://www.boe.es/gazeta/dias/1814/10/15/pdfs/GMD-1814-139.pdf#page=4","Abrir facsímil")</f>
        <v>Abrir facsímil</v>
      </c>
      <c r="K3220" s="3" t="s">
        <v>64</v>
      </c>
    </row>
    <row r="3221" spans="1:11" ht="42" customHeight="1">
      <c r="A3221" s="2" t="s">
        <v>7407</v>
      </c>
      <c r="B3221" s="2" t="s">
        <v>7407</v>
      </c>
      <c r="C3221" s="2" t="s">
        <v>38</v>
      </c>
      <c r="D3221" s="2" t="s">
        <v>39</v>
      </c>
      <c r="E3221" s="5">
        <v>-31341</v>
      </c>
      <c r="F3221" s="3" t="s">
        <v>360</v>
      </c>
      <c r="G3221" s="3" t="s">
        <v>99</v>
      </c>
      <c r="H3221" s="2" t="s">
        <v>62</v>
      </c>
      <c r="I3221" s="2" t="s">
        <v>7408</v>
      </c>
      <c r="J3221" s="3" t="str">
        <f>HYPERLINK("https://www.boe.es/gazeta/dias/1814/03/10/pdfs/GRE-1814-33.pdf#page=5","Abrir facsímil")</f>
        <v>Abrir facsímil</v>
      </c>
      <c r="K3221" s="3" t="s">
        <v>64</v>
      </c>
    </row>
    <row r="3222" spans="1:11" ht="42" customHeight="1">
      <c r="A3222" s="2" t="s">
        <v>7409</v>
      </c>
      <c r="B3222" s="2" t="s">
        <v>7409</v>
      </c>
      <c r="C3222" s="2" t="s">
        <v>38</v>
      </c>
      <c r="D3222" s="2" t="s">
        <v>39</v>
      </c>
      <c r="E3222" s="5">
        <v>-31404</v>
      </c>
      <c r="F3222" s="3" t="s">
        <v>630</v>
      </c>
      <c r="G3222" s="3" t="s">
        <v>99</v>
      </c>
      <c r="H3222" s="2" t="s">
        <v>62</v>
      </c>
      <c r="I3222" s="2" t="s">
        <v>7410</v>
      </c>
      <c r="J3222" s="3" t="str">
        <f>HYPERLINK("https://www.boe.es/gazeta/dias/1814/01/06/pdfs/GRE-1814-3.pdf#page=5","Abrir facsímil")</f>
        <v>Abrir facsímil</v>
      </c>
      <c r="K3222" s="3" t="s">
        <v>64</v>
      </c>
    </row>
    <row r="3223" spans="1:11" ht="42" customHeight="1">
      <c r="A3223" s="2" t="s">
        <v>7409</v>
      </c>
      <c r="B3223" s="2" t="s">
        <v>7409</v>
      </c>
      <c r="C3223" s="2" t="s">
        <v>38</v>
      </c>
      <c r="D3223" s="2" t="s">
        <v>39</v>
      </c>
      <c r="E3223" s="5">
        <v>-31371</v>
      </c>
      <c r="F3223" s="3" t="s">
        <v>1017</v>
      </c>
      <c r="G3223" s="3" t="s">
        <v>107</v>
      </c>
      <c r="H3223" s="2" t="s">
        <v>62</v>
      </c>
      <c r="I3223" s="2" t="s">
        <v>7411</v>
      </c>
      <c r="J3223" s="3" t="str">
        <f>HYPERLINK("https://www.boe.es/gazeta/dias/1814/02/08/pdfs/GRE-1814-18.pdf#page=1","Abrir facsímil")</f>
        <v>Abrir facsímil</v>
      </c>
      <c r="K3223" s="3" t="s">
        <v>64</v>
      </c>
    </row>
    <row r="3224" spans="1:11" ht="42" customHeight="1">
      <c r="A3224" s="2" t="s">
        <v>7409</v>
      </c>
      <c r="B3224" s="2" t="s">
        <v>7409</v>
      </c>
      <c r="C3224" s="2" t="s">
        <v>38</v>
      </c>
      <c r="D3224" s="2" t="s">
        <v>39</v>
      </c>
      <c r="E3224" s="5">
        <v>-31346</v>
      </c>
      <c r="F3224" s="3" t="s">
        <v>78</v>
      </c>
      <c r="G3224" s="3" t="s">
        <v>521</v>
      </c>
      <c r="H3224" s="2" t="s">
        <v>62</v>
      </c>
      <c r="I3224" s="2" t="s">
        <v>7412</v>
      </c>
      <c r="J3224" s="3" t="str">
        <f>HYPERLINK("https://www.boe.es/gazeta/dias/1814/03/05/pdfs/GRE-1814-30.pdf#page=3","Abrir facsímil")</f>
        <v>Abrir facsímil</v>
      </c>
      <c r="K3224" s="3" t="s">
        <v>64</v>
      </c>
    </row>
    <row r="3225" spans="1:11" ht="42" customHeight="1">
      <c r="A3225" s="2" t="s">
        <v>7409</v>
      </c>
      <c r="B3225" s="2" t="s">
        <v>7409</v>
      </c>
      <c r="C3225" s="2" t="s">
        <v>38</v>
      </c>
      <c r="D3225" s="2" t="s">
        <v>39</v>
      </c>
      <c r="E3225" s="5">
        <v>-31334</v>
      </c>
      <c r="F3225" s="3" t="s">
        <v>482</v>
      </c>
      <c r="G3225" s="3" t="s">
        <v>82</v>
      </c>
      <c r="H3225" s="2" t="s">
        <v>62</v>
      </c>
      <c r="I3225" s="2" t="s">
        <v>7413</v>
      </c>
      <c r="J3225" s="3" t="str">
        <f>HYPERLINK("https://www.boe.es/gazeta/dias/1814/03/17/pdfs/GRE-1814-37.pdf#page=3","Abrir facsímil")</f>
        <v>Abrir facsímil</v>
      </c>
      <c r="K3225" s="3" t="s">
        <v>64</v>
      </c>
    </row>
    <row r="3226" spans="1:11" ht="42" customHeight="1">
      <c r="A3226" s="2" t="s">
        <v>7409</v>
      </c>
      <c r="B3226" s="2" t="s">
        <v>7409</v>
      </c>
      <c r="C3226" s="2" t="s">
        <v>38</v>
      </c>
      <c r="D3226" s="2" t="s">
        <v>39</v>
      </c>
      <c r="E3226" s="5">
        <v>-31329</v>
      </c>
      <c r="F3226" s="3" t="s">
        <v>621</v>
      </c>
      <c r="G3226" s="3" t="s">
        <v>622</v>
      </c>
      <c r="H3226" s="2" t="s">
        <v>62</v>
      </c>
      <c r="I3226" s="2" t="s">
        <v>7414</v>
      </c>
      <c r="J3226" s="3" t="str">
        <f>HYPERLINK("https://www.boe.es/gazeta/dias/1814/03/22/pdfs/GRE-1814-39.pdf#page=2","Abrir facsímil")</f>
        <v>Abrir facsímil</v>
      </c>
      <c r="K3226" s="3" t="s">
        <v>64</v>
      </c>
    </row>
    <row r="3227" spans="1:11" ht="42" customHeight="1">
      <c r="A3227" s="2" t="s">
        <v>7409</v>
      </c>
      <c r="B3227" s="2" t="s">
        <v>7409</v>
      </c>
      <c r="C3227" s="2" t="s">
        <v>38</v>
      </c>
      <c r="D3227" s="2" t="s">
        <v>39</v>
      </c>
      <c r="E3227" s="5">
        <v>-31329</v>
      </c>
      <c r="F3227" s="3" t="s">
        <v>621</v>
      </c>
      <c r="G3227" s="3" t="s">
        <v>107</v>
      </c>
      <c r="H3227" s="2" t="s">
        <v>62</v>
      </c>
      <c r="I3227" s="2" t="s">
        <v>7415</v>
      </c>
      <c r="J3227" s="3" t="str">
        <f>HYPERLINK("https://www.boe.es/gazeta/dias/1814/03/22/pdfs/GRE-1814-39.pdf#page=1","Abrir facsímil")</f>
        <v>Abrir facsímil</v>
      </c>
      <c r="K3227" s="3" t="s">
        <v>64</v>
      </c>
    </row>
    <row r="3228" spans="1:11" ht="42" customHeight="1">
      <c r="A3228" s="2" t="s">
        <v>7409</v>
      </c>
      <c r="B3228" s="2" t="s">
        <v>7409</v>
      </c>
      <c r="C3228" s="2" t="s">
        <v>38</v>
      </c>
      <c r="D3228" s="2" t="s">
        <v>39</v>
      </c>
      <c r="E3228" s="5">
        <v>-31318</v>
      </c>
      <c r="F3228" s="3" t="s">
        <v>400</v>
      </c>
      <c r="G3228" s="3" t="s">
        <v>107</v>
      </c>
      <c r="H3228" s="2" t="s">
        <v>62</v>
      </c>
      <c r="I3228" s="2" t="s">
        <v>7416</v>
      </c>
      <c r="J3228" s="3" t="str">
        <f>HYPERLINK("https://www.boe.es/gazeta/dias/1814/04/02/pdfs/GRE-1814-47.pdf#page=1","Abrir facsímil")</f>
        <v>Abrir facsímil</v>
      </c>
      <c r="K3228" s="3" t="s">
        <v>64</v>
      </c>
    </row>
    <row r="3229" spans="1:11" ht="42" customHeight="1">
      <c r="A3229" s="2" t="s">
        <v>7409</v>
      </c>
      <c r="B3229" s="2" t="s">
        <v>7409</v>
      </c>
      <c r="C3229" s="2" t="s">
        <v>38</v>
      </c>
      <c r="D3229" s="2" t="s">
        <v>39</v>
      </c>
      <c r="E3229" s="5">
        <v>-31315</v>
      </c>
      <c r="F3229" s="3" t="s">
        <v>645</v>
      </c>
      <c r="G3229" s="3" t="s">
        <v>107</v>
      </c>
      <c r="H3229" s="2" t="s">
        <v>62</v>
      </c>
      <c r="I3229" s="2" t="s">
        <v>7417</v>
      </c>
      <c r="J3229" s="3" t="str">
        <f>HYPERLINK("https://www.boe.es/gazeta/dias/1814/04/05/pdfs/GRE-1814-49.pdf#page=1","Abrir facsímil")</f>
        <v>Abrir facsímil</v>
      </c>
      <c r="K3229" s="3" t="s">
        <v>64</v>
      </c>
    </row>
    <row r="3230" spans="1:11" ht="42" customHeight="1">
      <c r="A3230" s="2" t="s">
        <v>7418</v>
      </c>
      <c r="B3230" s="2" t="s">
        <v>7419</v>
      </c>
      <c r="C3230" s="2" t="s">
        <v>38</v>
      </c>
      <c r="D3230" s="2" t="s">
        <v>39</v>
      </c>
      <c r="E3230" s="5">
        <v>-31301</v>
      </c>
      <c r="F3230" s="3" t="s">
        <v>81</v>
      </c>
      <c r="G3230" s="3" t="s">
        <v>82</v>
      </c>
      <c r="H3230" s="2" t="s">
        <v>62</v>
      </c>
      <c r="I3230" s="2" t="s">
        <v>7420</v>
      </c>
      <c r="J3230" s="3" t="str">
        <f>HYPERLINK("https://www.boe.es/gazeta/dias/1814/04/19/pdfs/GRE-1814-56.pdf#page=3","Abrir facsímil")</f>
        <v>Abrir facsímil</v>
      </c>
      <c r="K3230" s="3" t="s">
        <v>64</v>
      </c>
    </row>
    <row r="3231" spans="1:11" ht="42" customHeight="1">
      <c r="A3231" s="2" t="s">
        <v>7421</v>
      </c>
      <c r="B3231" s="2" t="s">
        <v>7421</v>
      </c>
      <c r="C3231" s="2" t="s">
        <v>38</v>
      </c>
      <c r="D3231" s="2" t="s">
        <v>39</v>
      </c>
      <c r="E3231" s="5">
        <v>-31248</v>
      </c>
      <c r="F3231" s="3" t="s">
        <v>1123</v>
      </c>
      <c r="G3231" s="3" t="s">
        <v>87</v>
      </c>
      <c r="H3231" s="2" t="s">
        <v>62</v>
      </c>
      <c r="I3231" s="2" t="s">
        <v>7422</v>
      </c>
      <c r="J3231" s="3" t="str">
        <f>HYPERLINK("https://www.boe.es/gazeta/dias/1814/06/11/pdfs/GMD-1814-84.pdf#page=2","Abrir facsímil")</f>
        <v>Abrir facsímil</v>
      </c>
      <c r="K3231" s="3" t="s">
        <v>64</v>
      </c>
    </row>
    <row r="3232" spans="1:11" ht="42" customHeight="1">
      <c r="A3232" s="2" t="s">
        <v>7421</v>
      </c>
      <c r="B3232" s="2" t="s">
        <v>7421</v>
      </c>
      <c r="C3232" s="2" t="s">
        <v>38</v>
      </c>
      <c r="D3232" s="2" t="s">
        <v>39</v>
      </c>
      <c r="E3232" s="5">
        <v>-31133</v>
      </c>
      <c r="F3232" s="3" t="s">
        <v>184</v>
      </c>
      <c r="G3232" s="3" t="s">
        <v>1241</v>
      </c>
      <c r="H3232" s="2" t="s">
        <v>62</v>
      </c>
      <c r="I3232" s="2" t="s">
        <v>7423</v>
      </c>
      <c r="J3232" s="3" t="str">
        <f>HYPERLINK("https://www.boe.es/gazeta/dias/1814/10/04/pdfs/GMD-1814-134.pdf#page=3","Abrir facsímil")</f>
        <v>Abrir facsímil</v>
      </c>
      <c r="K3232" s="3" t="s">
        <v>64</v>
      </c>
    </row>
    <row r="3233" spans="1:11" ht="42" customHeight="1">
      <c r="A3233" s="2" t="s">
        <v>7424</v>
      </c>
      <c r="B3233" s="2" t="s">
        <v>7424</v>
      </c>
      <c r="C3233" s="2" t="s">
        <v>38</v>
      </c>
      <c r="D3233" s="2" t="s">
        <v>39</v>
      </c>
      <c r="E3233" s="5">
        <v>-31371</v>
      </c>
      <c r="F3233" s="3" t="s">
        <v>476</v>
      </c>
      <c r="G3233" s="3" t="s">
        <v>82</v>
      </c>
      <c r="H3233" s="2" t="s">
        <v>62</v>
      </c>
      <c r="I3233" s="2" t="s">
        <v>7425</v>
      </c>
      <c r="J3233" s="3" t="str">
        <f>HYPERLINK("https://www.boe.es/gazeta/dias/1814/02/08/pdfs/GRE-1814-31.pdf#page=3","Abrir facsímil")</f>
        <v>Abrir facsímil</v>
      </c>
      <c r="K3233" s="3" t="s">
        <v>64</v>
      </c>
    </row>
    <row r="3234" spans="1:11" ht="42" customHeight="1">
      <c r="A3234" s="2" t="s">
        <v>7424</v>
      </c>
      <c r="B3234" s="2" t="s">
        <v>7424</v>
      </c>
      <c r="C3234" s="2" t="s">
        <v>38</v>
      </c>
      <c r="D3234" s="2" t="s">
        <v>39</v>
      </c>
      <c r="E3234" s="5">
        <v>-31343</v>
      </c>
      <c r="F3234" s="3" t="s">
        <v>476</v>
      </c>
      <c r="G3234" s="3" t="s">
        <v>82</v>
      </c>
      <c r="H3234" s="2" t="s">
        <v>62</v>
      </c>
      <c r="I3234" s="2" t="s">
        <v>7425</v>
      </c>
      <c r="J3234" s="3" t="str">
        <f>HYPERLINK("https://www.boe.es/gazeta/dias/1814/03/08/pdfs/GRE-1814-31.pdf#page=3","Abrir facsímil")</f>
        <v>Abrir facsímil</v>
      </c>
      <c r="K3234" s="3" t="s">
        <v>64</v>
      </c>
    </row>
    <row r="3235" spans="1:11" ht="42" customHeight="1">
      <c r="A3235" s="2" t="s">
        <v>7426</v>
      </c>
      <c r="B3235" s="2" t="s">
        <v>7427</v>
      </c>
      <c r="C3235" s="2" t="s">
        <v>17</v>
      </c>
      <c r="D3235" s="2" t="s">
        <v>18</v>
      </c>
      <c r="E3235" s="5">
        <v>-31110</v>
      </c>
      <c r="F3235" s="3" t="s">
        <v>149</v>
      </c>
      <c r="G3235" s="3" t="s">
        <v>52</v>
      </c>
      <c r="H3235" s="2" t="s">
        <v>62</v>
      </c>
      <c r="I3235" s="2" t="s">
        <v>7428</v>
      </c>
      <c r="J3235" s="3" t="str">
        <f>HYPERLINK("https://www.boe.es/gazeta/dias/1814/10/27/pdfs/GMD-1814-144.pdf#page=8","Abrir facsímil")</f>
        <v>Abrir facsímil</v>
      </c>
      <c r="K3235" s="3" t="s">
        <v>64</v>
      </c>
    </row>
    <row r="3236" spans="1:11" ht="42" customHeight="1">
      <c r="A3236" s="2" t="s">
        <v>7429</v>
      </c>
      <c r="B3236" s="2" t="s">
        <v>7429</v>
      </c>
      <c r="C3236" s="2" t="s">
        <v>38</v>
      </c>
      <c r="D3236" s="2" t="s">
        <v>39</v>
      </c>
      <c r="E3236" s="5">
        <v>-31089</v>
      </c>
      <c r="F3236" s="3" t="s">
        <v>531</v>
      </c>
      <c r="G3236" s="3" t="s">
        <v>87</v>
      </c>
      <c r="H3236" s="2" t="s">
        <v>62</v>
      </c>
      <c r="I3236" s="2" t="s">
        <v>7430</v>
      </c>
      <c r="J3236" s="3" t="str">
        <f>HYPERLINK("https://www.boe.es/gazeta/dias/1814/11/17/pdfs/GMD-1814-153.pdf#page=2","Abrir facsímil")</f>
        <v>Abrir facsímil</v>
      </c>
      <c r="K3236" s="3" t="s">
        <v>64</v>
      </c>
    </row>
    <row r="3237" spans="1:11" ht="42" customHeight="1">
      <c r="A3237" s="2" t="s">
        <v>7431</v>
      </c>
      <c r="B3237" s="2" t="s">
        <v>7432</v>
      </c>
      <c r="C3237" s="2" t="s">
        <v>309</v>
      </c>
      <c r="D3237" s="2" t="s">
        <v>18</v>
      </c>
      <c r="E3237" s="5">
        <v>-31348</v>
      </c>
      <c r="F3237" s="3" t="s">
        <v>898</v>
      </c>
      <c r="G3237" s="3" t="s">
        <v>961</v>
      </c>
      <c r="H3237" s="2" t="s">
        <v>21</v>
      </c>
      <c r="I3237" s="2" t="s">
        <v>7433</v>
      </c>
      <c r="J3237" s="3" t="str">
        <f>HYPERLINK("https://www.boe.es/gazeta/dias/1814/03/03/pdfs/GRE-1814-29.pdf#page=7","Abrir facsímil")</f>
        <v>Abrir facsímil</v>
      </c>
      <c r="K3237" s="3" t="s">
        <v>23</v>
      </c>
    </row>
    <row r="3238" spans="1:11" ht="42" customHeight="1">
      <c r="A3238" s="2" t="s">
        <v>7434</v>
      </c>
      <c r="B3238" s="2" t="s">
        <v>7435</v>
      </c>
      <c r="C3238" s="2" t="s">
        <v>45</v>
      </c>
      <c r="D3238" s="2" t="s">
        <v>18</v>
      </c>
      <c r="E3238" s="5">
        <v>-31164</v>
      </c>
      <c r="F3238" s="3" t="s">
        <v>1423</v>
      </c>
      <c r="G3238" s="3" t="s">
        <v>52</v>
      </c>
      <c r="H3238" s="2" t="s">
        <v>62</v>
      </c>
      <c r="I3238" s="2" t="s">
        <v>7436</v>
      </c>
      <c r="J3238" s="3" t="str">
        <f>HYPERLINK("https://www.boe.es/gazeta/dias/1814/09/03/pdfs/GMD-1814-121.pdf#page=8","Abrir facsímil")</f>
        <v>Abrir facsímil</v>
      </c>
      <c r="K3238" s="3" t="s">
        <v>64</v>
      </c>
    </row>
    <row r="3239" spans="1:11" ht="42" customHeight="1">
      <c r="A3239" s="2" t="s">
        <v>7437</v>
      </c>
      <c r="B3239" s="2" t="s">
        <v>7438</v>
      </c>
      <c r="C3239" s="2" t="s">
        <v>26</v>
      </c>
      <c r="D3239" s="2" t="s">
        <v>27</v>
      </c>
      <c r="E3239" s="5">
        <v>-31292</v>
      </c>
      <c r="F3239" s="3" t="s">
        <v>557</v>
      </c>
      <c r="G3239" s="3" t="s">
        <v>52</v>
      </c>
      <c r="H3239" s="2" t="s">
        <v>62</v>
      </c>
      <c r="I3239" s="2" t="s">
        <v>7439</v>
      </c>
      <c r="J3239" s="3" t="str">
        <f>HYPERLINK("https://www.boe.es/gazeta/dias/1814/04/28/pdfs/GRE-1814-63.pdf#page=8","Abrir facsímil")</f>
        <v>Abrir facsímil</v>
      </c>
      <c r="K3239" s="3" t="s">
        <v>64</v>
      </c>
    </row>
    <row r="3240" spans="1:11" ht="42" customHeight="1">
      <c r="A3240" s="2" t="s">
        <v>7440</v>
      </c>
      <c r="B3240" s="2" t="s">
        <v>7441</v>
      </c>
      <c r="C3240" s="2" t="s">
        <v>17</v>
      </c>
      <c r="D3240" s="2" t="s">
        <v>18</v>
      </c>
      <c r="E3240" s="5">
        <v>-31119</v>
      </c>
      <c r="F3240" s="3" t="s">
        <v>136</v>
      </c>
      <c r="G3240" s="3" t="s">
        <v>322</v>
      </c>
      <c r="H3240" s="2" t="s">
        <v>62</v>
      </c>
      <c r="I3240" s="2" t="s">
        <v>7442</v>
      </c>
      <c r="J3240" s="3" t="str">
        <f>HYPERLINK("https://www.boe.es/gazeta/dias/1814/10/18/pdfs/GMD-1814-140.pdf#page=12","Abrir facsímil")</f>
        <v>Abrir facsímil</v>
      </c>
      <c r="K3240" s="3" t="s">
        <v>64</v>
      </c>
    </row>
    <row r="3241" spans="1:11" ht="42" customHeight="1">
      <c r="A3241" s="2" t="s">
        <v>7440</v>
      </c>
      <c r="B3241" s="2" t="s">
        <v>7441</v>
      </c>
      <c r="C3241" s="2" t="s">
        <v>17</v>
      </c>
      <c r="D3241" s="2" t="s">
        <v>18</v>
      </c>
      <c r="E3241" s="5">
        <v>-31115</v>
      </c>
      <c r="F3241" s="3" t="s">
        <v>805</v>
      </c>
      <c r="G3241" s="3" t="s">
        <v>52</v>
      </c>
      <c r="H3241" s="2" t="s">
        <v>62</v>
      </c>
      <c r="I3241" s="2" t="s">
        <v>7443</v>
      </c>
      <c r="J3241" s="3" t="str">
        <f>HYPERLINK("https://www.boe.es/gazeta/dias/1814/10/22/pdfs/GMD-1814-142.pdf#page=8","Abrir facsímil")</f>
        <v>Abrir facsímil</v>
      </c>
      <c r="K3241" s="3" t="s">
        <v>64</v>
      </c>
    </row>
    <row r="3242" spans="1:11" ht="42" customHeight="1">
      <c r="A3242" s="2" t="s">
        <v>7444</v>
      </c>
      <c r="B3242" s="2" t="s">
        <v>7445</v>
      </c>
      <c r="C3242" s="2" t="s">
        <v>38</v>
      </c>
      <c r="D3242" s="2" t="s">
        <v>39</v>
      </c>
      <c r="E3242" s="5">
        <v>-31203</v>
      </c>
      <c r="F3242" s="3" t="s">
        <v>512</v>
      </c>
      <c r="G3242" s="3" t="s">
        <v>99</v>
      </c>
      <c r="H3242" s="2" t="s">
        <v>62</v>
      </c>
      <c r="I3242" s="2" t="s">
        <v>7446</v>
      </c>
      <c r="J3242" s="3" t="str">
        <f>HYPERLINK("https://www.boe.es/gazeta/dias/1814/07/26/pdfs/GMD-1814-103.pdf#page=5","Abrir facsímil")</f>
        <v>Abrir facsímil</v>
      </c>
      <c r="K3242" s="3" t="s">
        <v>64</v>
      </c>
    </row>
    <row r="3243" spans="1:11" ht="42" customHeight="1">
      <c r="A3243" s="2" t="s">
        <v>7447</v>
      </c>
      <c r="B3243" s="2" t="s">
        <v>7448</v>
      </c>
      <c r="C3243" s="2" t="s">
        <v>26</v>
      </c>
      <c r="D3243" s="2" t="s">
        <v>27</v>
      </c>
      <c r="E3243" s="5">
        <v>-31182</v>
      </c>
      <c r="F3243" s="3" t="s">
        <v>19</v>
      </c>
      <c r="G3243" s="3" t="s">
        <v>3827</v>
      </c>
      <c r="H3243" s="2" t="s">
        <v>62</v>
      </c>
      <c r="I3243" s="2" t="s">
        <v>7449</v>
      </c>
      <c r="J3243" s="3" t="str">
        <f>HYPERLINK("https://www.boe.es/gazeta/dias/1814/08/16/pdfs/GMD-1814-112.pdf#page=8","Abrir facsímil")</f>
        <v>Abrir facsímil</v>
      </c>
      <c r="K3243" s="3" t="s">
        <v>64</v>
      </c>
    </row>
    <row r="3244" spans="1:11" ht="42" customHeight="1">
      <c r="A3244" s="2" t="s">
        <v>7450</v>
      </c>
      <c r="B3244" s="2" t="s">
        <v>7451</v>
      </c>
      <c r="C3244" s="2" t="s">
        <v>45</v>
      </c>
      <c r="D3244" s="2" t="s">
        <v>18</v>
      </c>
      <c r="E3244" s="5">
        <v>-31325</v>
      </c>
      <c r="F3244" s="3" t="s">
        <v>67</v>
      </c>
      <c r="G3244" s="3" t="s">
        <v>52</v>
      </c>
      <c r="H3244" s="2" t="s">
        <v>62</v>
      </c>
      <c r="I3244" s="2" t="s">
        <v>7452</v>
      </c>
      <c r="J3244" s="3" t="str">
        <f>HYPERLINK("https://www.boe.es/gazeta/dias/1814/03/26/pdfs/GRE-1814-43.pdf#page=8","Abrir facsímil")</f>
        <v>Abrir facsímil</v>
      </c>
      <c r="K3244" s="3" t="s">
        <v>64</v>
      </c>
    </row>
    <row r="3245" spans="1:11" ht="42" customHeight="1">
      <c r="A3245" s="2" t="s">
        <v>7453</v>
      </c>
      <c r="B3245" s="2" t="s">
        <v>7454</v>
      </c>
      <c r="C3245" s="2" t="s">
        <v>17</v>
      </c>
      <c r="D3245" s="2" t="s">
        <v>18</v>
      </c>
      <c r="E3245" s="5">
        <v>-31173</v>
      </c>
      <c r="F3245" s="3" t="s">
        <v>46</v>
      </c>
      <c r="G3245" s="3" t="s">
        <v>20</v>
      </c>
      <c r="H3245" s="2" t="s">
        <v>62</v>
      </c>
      <c r="I3245" s="2" t="s">
        <v>7455</v>
      </c>
      <c r="J3245" s="3" t="str">
        <f>HYPERLINK("https://www.boe.es/gazeta/dias/1814/08/25/pdfs/GMD-1814-116.pdf#page=7","Abrir facsímil")</f>
        <v>Abrir facsímil</v>
      </c>
      <c r="K3245" s="3" t="s">
        <v>64</v>
      </c>
    </row>
    <row r="3246" spans="1:11" ht="42" customHeight="1">
      <c r="A3246" s="2" t="s">
        <v>7456</v>
      </c>
      <c r="B3246" s="2" t="s">
        <v>7456</v>
      </c>
      <c r="C3246" s="2" t="s">
        <v>38</v>
      </c>
      <c r="D3246" s="2" t="s">
        <v>39</v>
      </c>
      <c r="E3246" s="5">
        <v>-31073</v>
      </c>
      <c r="F3246" s="3" t="s">
        <v>3052</v>
      </c>
      <c r="G3246" s="3" t="s">
        <v>107</v>
      </c>
      <c r="H3246" s="2" t="s">
        <v>62</v>
      </c>
      <c r="I3246" s="2" t="s">
        <v>7457</v>
      </c>
      <c r="J3246" s="3" t="str">
        <f>HYPERLINK("https://www.boe.es/gazeta/dias/1814/12/03/pdfs/GMD-1814-160.pdf#page=1","Abrir facsímil")</f>
        <v>Abrir facsímil</v>
      </c>
      <c r="K3246" s="3" t="s">
        <v>64</v>
      </c>
    </row>
    <row r="3247" spans="1:11" ht="42" customHeight="1">
      <c r="A3247" s="2" t="s">
        <v>7458</v>
      </c>
      <c r="B3247" s="2" t="s">
        <v>7458</v>
      </c>
      <c r="C3247" s="2" t="s">
        <v>26</v>
      </c>
      <c r="D3247" s="2" t="s">
        <v>27</v>
      </c>
      <c r="E3247" s="5">
        <v>-31189</v>
      </c>
      <c r="F3247" s="3" t="s">
        <v>379</v>
      </c>
      <c r="G3247" s="3" t="s">
        <v>82</v>
      </c>
      <c r="H3247" s="2" t="s">
        <v>62</v>
      </c>
      <c r="I3247" s="2" t="s">
        <v>7459</v>
      </c>
      <c r="J3247" s="3" t="str">
        <f>HYPERLINK("https://www.boe.es/gazeta/dias/1814/08/09/pdfs/GMD-1814-109.pdf#page=3","Abrir facsímil")</f>
        <v>Abrir facsímil</v>
      </c>
      <c r="K3247" s="3" t="s">
        <v>64</v>
      </c>
    </row>
    <row r="3248" spans="1:11" ht="42" customHeight="1">
      <c r="A3248" s="2" t="s">
        <v>7460</v>
      </c>
      <c r="B3248" s="2" t="s">
        <v>7460</v>
      </c>
      <c r="C3248" s="2" t="s">
        <v>38</v>
      </c>
      <c r="D3248" s="2" t="s">
        <v>39</v>
      </c>
      <c r="E3248" s="5">
        <v>-31327</v>
      </c>
      <c r="F3248" s="3" t="s">
        <v>180</v>
      </c>
      <c r="G3248" s="3" t="s">
        <v>87</v>
      </c>
      <c r="H3248" s="2" t="s">
        <v>62</v>
      </c>
      <c r="I3248" s="2" t="s">
        <v>7461</v>
      </c>
      <c r="J3248" s="3" t="str">
        <f>HYPERLINK("https://www.boe.es/gazeta/dias/1814/03/24/pdfs/GRE-1814-41.pdf#page=2","Abrir facsímil")</f>
        <v>Abrir facsímil</v>
      </c>
      <c r="K3248" s="3" t="s">
        <v>64</v>
      </c>
    </row>
    <row r="3249" spans="1:11" ht="42" customHeight="1">
      <c r="A3249" s="2" t="s">
        <v>7462</v>
      </c>
      <c r="B3249" s="2" t="s">
        <v>7462</v>
      </c>
      <c r="C3249" s="2" t="s">
        <v>38</v>
      </c>
      <c r="D3249" s="2" t="s">
        <v>39</v>
      </c>
      <c r="E3249" s="5">
        <v>-31350</v>
      </c>
      <c r="F3249" s="3" t="s">
        <v>377</v>
      </c>
      <c r="G3249" s="3" t="s">
        <v>82</v>
      </c>
      <c r="H3249" s="2" t="s">
        <v>62</v>
      </c>
      <c r="I3249" s="2" t="s">
        <v>7463</v>
      </c>
      <c r="J3249" s="3" t="str">
        <f>HYPERLINK("https://www.boe.es/gazeta/dias/1814/03/01/pdfs/GRE-1814-28.pdf#page=3","Abrir facsímil")</f>
        <v>Abrir facsímil</v>
      </c>
      <c r="K3249" s="3" t="s">
        <v>64</v>
      </c>
    </row>
    <row r="3250" spans="1:11" ht="42" customHeight="1">
      <c r="A3250" s="2" t="s">
        <v>7464</v>
      </c>
      <c r="B3250" s="2" t="s">
        <v>7464</v>
      </c>
      <c r="C3250" s="2" t="s">
        <v>38</v>
      </c>
      <c r="D3250" s="2" t="s">
        <v>39</v>
      </c>
      <c r="E3250" s="5">
        <v>-31080</v>
      </c>
      <c r="F3250" s="3" t="s">
        <v>286</v>
      </c>
      <c r="G3250" s="3" t="s">
        <v>82</v>
      </c>
      <c r="H3250" s="2" t="s">
        <v>62</v>
      </c>
      <c r="I3250" s="2" t="s">
        <v>7465</v>
      </c>
      <c r="J3250" s="3" t="str">
        <f>HYPERLINK("https://www.boe.es/gazeta/dias/1814/11/26/pdfs/GMD-1814-157.pdf#page=3","Abrir facsímil")</f>
        <v>Abrir facsímil</v>
      </c>
      <c r="K3250" s="3" t="s">
        <v>64</v>
      </c>
    </row>
    <row r="3251" spans="1:11" ht="42" customHeight="1">
      <c r="A3251" s="2" t="s">
        <v>7466</v>
      </c>
      <c r="B3251" s="2" t="s">
        <v>7466</v>
      </c>
      <c r="C3251" s="2" t="s">
        <v>38</v>
      </c>
      <c r="D3251" s="2" t="s">
        <v>39</v>
      </c>
      <c r="E3251" s="5">
        <v>-31171</v>
      </c>
      <c r="F3251" s="3" t="s">
        <v>157</v>
      </c>
      <c r="G3251" s="3" t="s">
        <v>41</v>
      </c>
      <c r="H3251" s="2" t="s">
        <v>62</v>
      </c>
      <c r="I3251" s="2" t="s">
        <v>7467</v>
      </c>
      <c r="J3251" s="3" t="str">
        <f>HYPERLINK("https://www.boe.es/gazeta/dias/1814/08/27/pdfs/GMD-1814-117.pdf#page=4","Abrir facsímil")</f>
        <v>Abrir facsímil</v>
      </c>
      <c r="K3251" s="3" t="s">
        <v>64</v>
      </c>
    </row>
    <row r="3252" spans="1:11" ht="42" customHeight="1">
      <c r="A3252" s="2" t="s">
        <v>7468</v>
      </c>
      <c r="B3252" s="2" t="s">
        <v>7468</v>
      </c>
      <c r="C3252" s="2" t="s">
        <v>38</v>
      </c>
      <c r="D3252" s="2" t="s">
        <v>39</v>
      </c>
      <c r="E3252" s="5">
        <v>-31245</v>
      </c>
      <c r="F3252" s="3" t="s">
        <v>908</v>
      </c>
      <c r="G3252" s="3" t="s">
        <v>107</v>
      </c>
      <c r="H3252" s="2" t="s">
        <v>62</v>
      </c>
      <c r="I3252" s="2" t="s">
        <v>7469</v>
      </c>
      <c r="J3252" s="3" t="str">
        <f>HYPERLINK("https://www.boe.es/gazeta/dias/1814/06/14/pdfs/GMD-1814-85.pdf#page=1","Abrir facsímil")</f>
        <v>Abrir facsímil</v>
      </c>
      <c r="K3252" s="3" t="s">
        <v>64</v>
      </c>
    </row>
    <row r="3253" spans="1:11" ht="42" customHeight="1">
      <c r="A3253" s="2" t="s">
        <v>7470</v>
      </c>
      <c r="B3253" s="2" t="s">
        <v>7471</v>
      </c>
      <c r="C3253" s="2" t="s">
        <v>38</v>
      </c>
      <c r="D3253" s="2" t="s">
        <v>39</v>
      </c>
      <c r="E3253" s="5">
        <v>-31080</v>
      </c>
      <c r="F3253" s="3" t="s">
        <v>286</v>
      </c>
      <c r="G3253" s="3" t="s">
        <v>677</v>
      </c>
      <c r="H3253" s="2" t="s">
        <v>62</v>
      </c>
      <c r="I3253" s="2" t="s">
        <v>7472</v>
      </c>
      <c r="J3253" s="3" t="str">
        <f>HYPERLINK("https://www.boe.es/gazeta/dias/1814/11/26/pdfs/GMD-1814-157.pdf#page=7","Abrir facsímil")</f>
        <v>Abrir facsímil</v>
      </c>
      <c r="K3253" s="3" t="s">
        <v>64</v>
      </c>
    </row>
    <row r="3254" spans="1:11" ht="42" customHeight="1">
      <c r="A3254" s="2" t="s">
        <v>7473</v>
      </c>
      <c r="B3254" s="2" t="s">
        <v>7474</v>
      </c>
      <c r="C3254" s="2" t="s">
        <v>17</v>
      </c>
      <c r="D3254" s="2" t="s">
        <v>18</v>
      </c>
      <c r="E3254" s="5">
        <v>-31115</v>
      </c>
      <c r="F3254" s="3" t="s">
        <v>805</v>
      </c>
      <c r="G3254" s="3" t="s">
        <v>20</v>
      </c>
      <c r="H3254" s="2" t="s">
        <v>62</v>
      </c>
      <c r="I3254" s="2" t="s">
        <v>7475</v>
      </c>
      <c r="J3254" s="3" t="str">
        <f>HYPERLINK("https://www.boe.es/gazeta/dias/1814/10/22/pdfs/GMD-1814-142.pdf#page=7","Abrir facsímil")</f>
        <v>Abrir facsímil</v>
      </c>
      <c r="K3254" s="3" t="s">
        <v>64</v>
      </c>
    </row>
    <row r="3255" spans="1:11" ht="42" customHeight="1">
      <c r="A3255" s="2" t="s">
        <v>7476</v>
      </c>
      <c r="B3255" s="2" t="s">
        <v>7477</v>
      </c>
      <c r="C3255" s="2" t="s">
        <v>17</v>
      </c>
      <c r="D3255" s="2" t="s">
        <v>18</v>
      </c>
      <c r="E3255" s="5">
        <v>-31119</v>
      </c>
      <c r="F3255" s="3" t="s">
        <v>136</v>
      </c>
      <c r="G3255" s="3" t="s">
        <v>384</v>
      </c>
      <c r="H3255" s="2" t="s">
        <v>62</v>
      </c>
      <c r="I3255" s="2" t="s">
        <v>7478</v>
      </c>
      <c r="J3255" s="3" t="str">
        <f>HYPERLINK("https://www.boe.es/gazeta/dias/1814/10/18/pdfs/GMD-1814-140.pdf#page=11","Abrir facsímil")</f>
        <v>Abrir facsímil</v>
      </c>
      <c r="K3255" s="3" t="s">
        <v>64</v>
      </c>
    </row>
    <row r="3256" spans="1:11" ht="42" customHeight="1">
      <c r="A3256" s="2" t="s">
        <v>7479</v>
      </c>
      <c r="B3256" s="2" t="s">
        <v>7480</v>
      </c>
      <c r="C3256" s="2" t="s">
        <v>38</v>
      </c>
      <c r="D3256" s="2" t="s">
        <v>39</v>
      </c>
      <c r="E3256" s="5">
        <v>-31224</v>
      </c>
      <c r="F3256" s="3" t="s">
        <v>609</v>
      </c>
      <c r="G3256" s="3" t="s">
        <v>57</v>
      </c>
      <c r="H3256" s="2" t="s">
        <v>62</v>
      </c>
      <c r="I3256" s="2" t="s">
        <v>7481</v>
      </c>
      <c r="J3256" s="3" t="str">
        <f>HYPERLINK("https://www.boe.es/gazeta/dias/1814/07/05/pdfs/GMD-1814-94.pdf#page=6","Abrir facsímil")</f>
        <v>Abrir facsímil</v>
      </c>
      <c r="K3256" s="3" t="s">
        <v>64</v>
      </c>
    </row>
    <row r="3257" spans="1:11" ht="42" customHeight="1">
      <c r="A3257" s="2" t="s">
        <v>7482</v>
      </c>
      <c r="B3257" s="2" t="s">
        <v>7483</v>
      </c>
      <c r="C3257" s="2" t="s">
        <v>32</v>
      </c>
      <c r="D3257" s="2" t="s">
        <v>18</v>
      </c>
      <c r="E3257" s="5">
        <v>-31122</v>
      </c>
      <c r="F3257" s="3" t="s">
        <v>28</v>
      </c>
      <c r="G3257" s="3" t="s">
        <v>52</v>
      </c>
      <c r="H3257" s="2" t="s">
        <v>62</v>
      </c>
      <c r="I3257" s="2" t="s">
        <v>7484</v>
      </c>
      <c r="J3257" s="3" t="str">
        <f>HYPERLINK("https://www.boe.es/gazeta/dias/1814/10/15/pdfs/GMD-1814-139.pdf#page=8","Abrir facsímil")</f>
        <v>Abrir facsímil</v>
      </c>
      <c r="K3257" s="3" t="s">
        <v>64</v>
      </c>
    </row>
    <row r="3258" spans="1:11" ht="42" customHeight="1">
      <c r="A3258" s="2" t="s">
        <v>7485</v>
      </c>
      <c r="B3258" s="2" t="s">
        <v>7486</v>
      </c>
      <c r="C3258" s="2" t="s">
        <v>26</v>
      </c>
      <c r="D3258" s="2" t="s">
        <v>27</v>
      </c>
      <c r="E3258" s="5">
        <v>-31385</v>
      </c>
      <c r="F3258" s="3" t="s">
        <v>783</v>
      </c>
      <c r="G3258" s="3" t="s">
        <v>52</v>
      </c>
      <c r="H3258" s="2" t="s">
        <v>62</v>
      </c>
      <c r="I3258" s="2" t="s">
        <v>7487</v>
      </c>
      <c r="J3258" s="3" t="str">
        <f>HYPERLINK("https://www.boe.es/gazeta/dias/1814/01/25/pdfs/GRE-1814-12.pdf#page=8","Abrir facsímil")</f>
        <v>Abrir facsímil</v>
      </c>
      <c r="K3258" s="3" t="s">
        <v>64</v>
      </c>
    </row>
    <row r="3259" spans="1:11" ht="42" customHeight="1">
      <c r="A3259" s="2" t="s">
        <v>7488</v>
      </c>
      <c r="B3259" s="2" t="s">
        <v>7489</v>
      </c>
      <c r="C3259" s="2" t="s">
        <v>38</v>
      </c>
      <c r="D3259" s="2" t="s">
        <v>39</v>
      </c>
      <c r="E3259" s="5">
        <v>-31143</v>
      </c>
      <c r="F3259" s="3" t="s">
        <v>787</v>
      </c>
      <c r="G3259" s="3" t="s">
        <v>20</v>
      </c>
      <c r="H3259" s="2" t="s">
        <v>62</v>
      </c>
      <c r="I3259" s="2" t="s">
        <v>7490</v>
      </c>
      <c r="J3259" s="3" t="str">
        <f>HYPERLINK("https://www.boe.es/gazeta/dias/1814/09/24/pdfs/GMD-1814-130.pdf#page=7","Abrir facsímil")</f>
        <v>Abrir facsímil</v>
      </c>
      <c r="K3259" s="3" t="s">
        <v>64</v>
      </c>
    </row>
    <row r="3260" spans="1:11" ht="42" customHeight="1">
      <c r="A3260" s="2" t="s">
        <v>7491</v>
      </c>
      <c r="B3260" s="2" t="s">
        <v>7491</v>
      </c>
      <c r="C3260" s="2" t="s">
        <v>26</v>
      </c>
      <c r="D3260" s="2" t="s">
        <v>27</v>
      </c>
      <c r="E3260" s="5">
        <v>-31110</v>
      </c>
      <c r="F3260" s="3" t="s">
        <v>149</v>
      </c>
      <c r="G3260" s="3" t="s">
        <v>52</v>
      </c>
      <c r="H3260" s="2" t="s">
        <v>62</v>
      </c>
      <c r="I3260" s="2" t="s">
        <v>7492</v>
      </c>
      <c r="J3260" s="3" t="str">
        <f>HYPERLINK("https://www.boe.es/gazeta/dias/1814/10/27/pdfs/GMD-1814-144.pdf#page=8","Abrir facsímil")</f>
        <v>Abrir facsímil</v>
      </c>
      <c r="K3260" s="3" t="s">
        <v>64</v>
      </c>
    </row>
    <row r="3261" spans="1:11" ht="42" customHeight="1">
      <c r="A3261" s="2" t="s">
        <v>7493</v>
      </c>
      <c r="B3261" s="2" t="s">
        <v>7494</v>
      </c>
      <c r="C3261" s="2" t="s">
        <v>38</v>
      </c>
      <c r="D3261" s="2" t="s">
        <v>39</v>
      </c>
      <c r="E3261" s="5">
        <v>-31087</v>
      </c>
      <c r="F3261" s="3" t="s">
        <v>118</v>
      </c>
      <c r="G3261" s="3" t="s">
        <v>3730</v>
      </c>
      <c r="H3261" s="2" t="s">
        <v>62</v>
      </c>
      <c r="I3261" s="2" t="s">
        <v>7495</v>
      </c>
      <c r="J3261" s="3" t="str">
        <f>HYPERLINK("https://www.boe.es/gazeta/dias/1814/11/19/pdfs/GMD-1814-154.pdf#page=7","Abrir facsímil")</f>
        <v>Abrir facsímil</v>
      </c>
      <c r="K3261" s="3" t="s">
        <v>64</v>
      </c>
    </row>
    <row r="3262" spans="1:11" ht="42" customHeight="1">
      <c r="A3262" s="2" t="s">
        <v>7496</v>
      </c>
      <c r="B3262" s="2" t="s">
        <v>7497</v>
      </c>
      <c r="C3262" s="2" t="s">
        <v>17</v>
      </c>
      <c r="D3262" s="2" t="s">
        <v>18</v>
      </c>
      <c r="E3262" s="5">
        <v>-31304</v>
      </c>
      <c r="F3262" s="3" t="s">
        <v>1964</v>
      </c>
      <c r="G3262" s="3" t="s">
        <v>99</v>
      </c>
      <c r="H3262" s="2" t="s">
        <v>62</v>
      </c>
      <c r="I3262" s="2" t="s">
        <v>7498</v>
      </c>
      <c r="J3262" s="3" t="str">
        <f>HYPERLINK("https://www.boe.es/gazeta/dias/1814/04/16/pdfs/GRE-1814-55.pdf#page=5","Abrir facsímil")</f>
        <v>Abrir facsímil</v>
      </c>
      <c r="K3262" s="3" t="s">
        <v>64</v>
      </c>
    </row>
    <row r="3263" spans="1:11" ht="42" customHeight="1">
      <c r="A3263" s="2" t="s">
        <v>7499</v>
      </c>
      <c r="B3263" s="2" t="s">
        <v>7500</v>
      </c>
      <c r="C3263" s="2" t="s">
        <v>38</v>
      </c>
      <c r="D3263" s="2" t="s">
        <v>39</v>
      </c>
      <c r="E3263" s="5">
        <v>-31213</v>
      </c>
      <c r="F3263" s="3" t="s">
        <v>276</v>
      </c>
      <c r="G3263" s="3" t="s">
        <v>99</v>
      </c>
      <c r="H3263" s="2" t="s">
        <v>62</v>
      </c>
      <c r="I3263" s="2" t="s">
        <v>7501</v>
      </c>
      <c r="J3263" s="3" t="str">
        <f>HYPERLINK("https://www.boe.es/gazeta/dias/1814/07/16/pdfs/GMD-1814-99.pdf#page=5","Abrir facsímil")</f>
        <v>Abrir facsímil</v>
      </c>
      <c r="K3263" s="3" t="s">
        <v>64</v>
      </c>
    </row>
    <row r="3264" spans="1:11" ht="42" customHeight="1">
      <c r="A3264" s="2" t="s">
        <v>7502</v>
      </c>
      <c r="B3264" s="2" t="s">
        <v>7503</v>
      </c>
      <c r="C3264" s="2" t="s">
        <v>38</v>
      </c>
      <c r="D3264" s="2" t="s">
        <v>39</v>
      </c>
      <c r="E3264" s="5">
        <v>-31152</v>
      </c>
      <c r="F3264" s="3" t="s">
        <v>199</v>
      </c>
      <c r="G3264" s="3" t="s">
        <v>52</v>
      </c>
      <c r="H3264" s="2" t="s">
        <v>62</v>
      </c>
      <c r="I3264" s="2" t="s">
        <v>7504</v>
      </c>
      <c r="J3264" s="3" t="str">
        <f>HYPERLINK("https://www.boe.es/gazeta/dias/1814/09/15/pdfs/GMD-1814-126.pdf#page=8","Abrir facsímil")</f>
        <v>Abrir facsímil</v>
      </c>
      <c r="K3264" s="3" t="s">
        <v>64</v>
      </c>
    </row>
    <row r="3265" spans="1:11" ht="42" customHeight="1">
      <c r="A3265" s="2" t="s">
        <v>7505</v>
      </c>
      <c r="B3265" s="2" t="s">
        <v>7506</v>
      </c>
      <c r="C3265" s="2" t="s">
        <v>38</v>
      </c>
      <c r="D3265" s="2" t="s">
        <v>39</v>
      </c>
      <c r="E3265" s="5">
        <v>-31112</v>
      </c>
      <c r="F3265" s="3" t="s">
        <v>707</v>
      </c>
      <c r="G3265" s="3" t="s">
        <v>20</v>
      </c>
      <c r="H3265" s="2" t="s">
        <v>62</v>
      </c>
      <c r="I3265" s="2" t="s">
        <v>7507</v>
      </c>
      <c r="J3265" s="3" t="str">
        <f>HYPERLINK("https://www.boe.es/gazeta/dias/1814/10/25/pdfs/GMD-1814-143.pdf#page=7","Abrir facsímil")</f>
        <v>Abrir facsímil</v>
      </c>
      <c r="K3265" s="3" t="s">
        <v>64</v>
      </c>
    </row>
    <row r="3266" spans="1:11" ht="42" customHeight="1">
      <c r="A3266" s="2" t="s">
        <v>7508</v>
      </c>
      <c r="B3266" s="2" t="s">
        <v>7509</v>
      </c>
      <c r="C3266" s="2" t="s">
        <v>38</v>
      </c>
      <c r="D3266" s="2" t="s">
        <v>39</v>
      </c>
      <c r="E3266" s="5">
        <v>-31068</v>
      </c>
      <c r="F3266" s="3" t="s">
        <v>548</v>
      </c>
      <c r="G3266" s="3" t="s">
        <v>20</v>
      </c>
      <c r="H3266" s="2" t="s">
        <v>62</v>
      </c>
      <c r="I3266" s="2" t="s">
        <v>7510</v>
      </c>
      <c r="J3266" s="3" t="str">
        <f>HYPERLINK("https://www.boe.es/gazeta/dias/1814/12/08/pdfs/GMD-1814-162.pdf#page=7","Abrir facsímil")</f>
        <v>Abrir facsímil</v>
      </c>
      <c r="K3266" s="3" t="s">
        <v>64</v>
      </c>
    </row>
    <row r="3267" spans="1:11" ht="42" customHeight="1">
      <c r="A3267" s="2" t="s">
        <v>7511</v>
      </c>
      <c r="B3267" s="2" t="s">
        <v>7512</v>
      </c>
      <c r="C3267" s="2" t="s">
        <v>45</v>
      </c>
      <c r="D3267" s="2" t="s">
        <v>18</v>
      </c>
      <c r="E3267" s="5">
        <v>-31131</v>
      </c>
      <c r="F3267" s="3" t="s">
        <v>132</v>
      </c>
      <c r="G3267" s="3" t="s">
        <v>20</v>
      </c>
      <c r="H3267" s="2" t="s">
        <v>62</v>
      </c>
      <c r="I3267" s="2" t="s">
        <v>7513</v>
      </c>
      <c r="J3267" s="3" t="str">
        <f>HYPERLINK("https://www.boe.es/gazeta/dias/1814/10/06/pdfs/GMD-1814-135.pdf#page=7","Abrir facsímil")</f>
        <v>Abrir facsímil</v>
      </c>
      <c r="K3267" s="3" t="s">
        <v>64</v>
      </c>
    </row>
    <row r="3268" spans="1:11" ht="42" customHeight="1">
      <c r="A3268" s="2" t="s">
        <v>7514</v>
      </c>
      <c r="B3268" s="2" t="s">
        <v>7514</v>
      </c>
      <c r="C3268" s="2" t="s">
        <v>38</v>
      </c>
      <c r="D3268" s="2" t="s">
        <v>39</v>
      </c>
      <c r="E3268" s="5">
        <v>-31290</v>
      </c>
      <c r="F3268" s="3" t="s">
        <v>488</v>
      </c>
      <c r="G3268" s="3" t="s">
        <v>20</v>
      </c>
      <c r="H3268" s="2" t="s">
        <v>62</v>
      </c>
      <c r="I3268" s="2" t="s">
        <v>7515</v>
      </c>
      <c r="J3268" s="3" t="str">
        <f>HYPERLINK("https://www.boe.es/gazeta/dias/1814/04/30/pdfs/GRE-1814-64.pdf#page=7","Abrir facsímil")</f>
        <v>Abrir facsímil</v>
      </c>
      <c r="K3268" s="3" t="s">
        <v>64</v>
      </c>
    </row>
    <row r="3269" spans="1:11" ht="42" customHeight="1">
      <c r="A3269" s="2" t="s">
        <v>7514</v>
      </c>
      <c r="B3269" s="2" t="s">
        <v>7514</v>
      </c>
      <c r="C3269" s="2" t="s">
        <v>38</v>
      </c>
      <c r="D3269" s="2" t="s">
        <v>39</v>
      </c>
      <c r="E3269" s="5">
        <v>-31248</v>
      </c>
      <c r="F3269" s="3" t="s">
        <v>1123</v>
      </c>
      <c r="G3269" s="3" t="s">
        <v>2411</v>
      </c>
      <c r="H3269" s="2" t="s">
        <v>62</v>
      </c>
      <c r="I3269" s="2" t="s">
        <v>7516</v>
      </c>
      <c r="J3269" s="3" t="str">
        <f>HYPERLINK("https://www.boe.es/gazeta/dias/1814/06/11/pdfs/GMD-1814-84.pdf#page=6","Abrir facsímil")</f>
        <v>Abrir facsímil</v>
      </c>
      <c r="K3269" s="3" t="s">
        <v>64</v>
      </c>
    </row>
    <row r="3270" spans="1:11" ht="42" customHeight="1">
      <c r="A3270" s="2" t="s">
        <v>7514</v>
      </c>
      <c r="B3270" s="2" t="s">
        <v>7514</v>
      </c>
      <c r="C3270" s="2" t="s">
        <v>38</v>
      </c>
      <c r="D3270" s="2" t="s">
        <v>39</v>
      </c>
      <c r="E3270" s="5">
        <v>-31063</v>
      </c>
      <c r="F3270" s="3" t="s">
        <v>649</v>
      </c>
      <c r="G3270" s="3" t="s">
        <v>52</v>
      </c>
      <c r="H3270" s="2" t="s">
        <v>62</v>
      </c>
      <c r="I3270" s="2" t="s">
        <v>7517</v>
      </c>
      <c r="J3270" s="3" t="str">
        <f>HYPERLINK("https://www.boe.es/gazeta/dias/1814/12/13/pdfs/GMD-1814-164.pdf#page=8","Abrir facsímil")</f>
        <v>Abrir facsímil</v>
      </c>
      <c r="K3270" s="3" t="s">
        <v>64</v>
      </c>
    </row>
    <row r="3271" spans="1:11" ht="42" customHeight="1">
      <c r="A3271" s="2" t="s">
        <v>7518</v>
      </c>
      <c r="B3271" s="2" t="s">
        <v>7519</v>
      </c>
      <c r="C3271" s="2" t="s">
        <v>17</v>
      </c>
      <c r="D3271" s="2" t="s">
        <v>18</v>
      </c>
      <c r="E3271" s="5">
        <v>-31348</v>
      </c>
      <c r="F3271" s="3" t="s">
        <v>898</v>
      </c>
      <c r="G3271" s="3" t="s">
        <v>87</v>
      </c>
      <c r="H3271" s="2" t="s">
        <v>62</v>
      </c>
      <c r="I3271" s="2" t="s">
        <v>7520</v>
      </c>
      <c r="J3271" s="3" t="str">
        <f>HYPERLINK("https://www.boe.es/gazeta/dias/1814/03/03/pdfs/GRE-1814-29.pdf#page=2","Abrir facsímil")</f>
        <v>Abrir facsímil</v>
      </c>
      <c r="K3271" s="3" t="s">
        <v>64</v>
      </c>
    </row>
    <row r="3272" spans="1:11" ht="42" customHeight="1">
      <c r="A3272" s="2" t="s">
        <v>7521</v>
      </c>
      <c r="B3272" s="2" t="s">
        <v>7522</v>
      </c>
      <c r="C3272" s="2" t="s">
        <v>38</v>
      </c>
      <c r="D3272" s="2" t="s">
        <v>39</v>
      </c>
      <c r="E3272" s="5">
        <v>-31220</v>
      </c>
      <c r="F3272" s="3" t="s">
        <v>122</v>
      </c>
      <c r="G3272" s="3" t="s">
        <v>41</v>
      </c>
      <c r="H3272" s="2" t="s">
        <v>62</v>
      </c>
      <c r="I3272" s="2" t="s">
        <v>7523</v>
      </c>
      <c r="J3272" s="3" t="str">
        <f>HYPERLINK("https://www.boe.es/gazeta/dias/1814/07/09/pdfs/GMD-1814-96.pdf#page=4","Abrir facsímil")</f>
        <v>Abrir facsímil</v>
      </c>
      <c r="K3272" s="3" t="s">
        <v>64</v>
      </c>
    </row>
    <row r="3273" spans="1:11" ht="42" customHeight="1">
      <c r="A3273" s="2" t="s">
        <v>7524</v>
      </c>
      <c r="B3273" s="2" t="s">
        <v>7525</v>
      </c>
      <c r="C3273" s="2" t="s">
        <v>26</v>
      </c>
      <c r="D3273" s="2" t="s">
        <v>27</v>
      </c>
      <c r="E3273" s="5">
        <v>-31059</v>
      </c>
      <c r="F3273" s="3" t="s">
        <v>263</v>
      </c>
      <c r="G3273" s="3" t="s">
        <v>264</v>
      </c>
      <c r="H3273" s="2" t="s">
        <v>62</v>
      </c>
      <c r="I3273" s="2" t="s">
        <v>7526</v>
      </c>
      <c r="J3273" s="3" t="str">
        <f>HYPERLINK("https://www.boe.es/gazeta/dias/1814/12/17/pdfs/GMD-1814-167.pdf#page=7","Abrir facsímil")</f>
        <v>Abrir facsímil</v>
      </c>
      <c r="K3273" s="3" t="s">
        <v>64</v>
      </c>
    </row>
    <row r="3274" spans="1:11" ht="42" customHeight="1">
      <c r="A3274" s="2" t="s">
        <v>7527</v>
      </c>
      <c r="B3274" s="2" t="s">
        <v>7527</v>
      </c>
      <c r="C3274" s="2" t="s">
        <v>38</v>
      </c>
      <c r="D3274" s="2" t="s">
        <v>39</v>
      </c>
      <c r="E3274" s="5">
        <v>-31094</v>
      </c>
      <c r="F3274" s="3" t="s">
        <v>761</v>
      </c>
      <c r="G3274" s="3" t="s">
        <v>20</v>
      </c>
      <c r="H3274" s="2" t="s">
        <v>62</v>
      </c>
      <c r="I3274" s="2" t="s">
        <v>7528</v>
      </c>
      <c r="J3274" s="3" t="str">
        <f>HYPERLINK("https://www.boe.es/gazeta/dias/1814/11/12/pdfs/GMD-1814-151.pdf#page=7","Abrir facsímil")</f>
        <v>Abrir facsímil</v>
      </c>
      <c r="K3274" s="3" t="s">
        <v>64</v>
      </c>
    </row>
    <row r="3275" spans="1:11" ht="42" customHeight="1">
      <c r="A3275" s="2" t="s">
        <v>7529</v>
      </c>
      <c r="B3275" s="2" t="s">
        <v>7529</v>
      </c>
      <c r="C3275" s="2" t="s">
        <v>105</v>
      </c>
      <c r="D3275" s="2" t="s">
        <v>18</v>
      </c>
      <c r="E3275" s="5">
        <v>-31405</v>
      </c>
      <c r="F3275" s="3" t="s">
        <v>1754</v>
      </c>
      <c r="G3275" s="3" t="s">
        <v>57</v>
      </c>
      <c r="H3275" s="2" t="s">
        <v>62</v>
      </c>
      <c r="I3275" s="2" t="s">
        <v>7530</v>
      </c>
      <c r="J3275" s="3" t="str">
        <f>HYPERLINK("https://www.boe.es/gazeta/dias/1814/01/05/pdfs/GRE-1814-5.pdf#page=6","Abrir facsímil")</f>
        <v>Abrir facsímil</v>
      </c>
      <c r="K3275" s="3" t="s">
        <v>64</v>
      </c>
    </row>
    <row r="3276" spans="1:11" ht="42" customHeight="1">
      <c r="A3276" s="2" t="s">
        <v>7529</v>
      </c>
      <c r="B3276" s="2" t="s">
        <v>7529</v>
      </c>
      <c r="C3276" s="2" t="s">
        <v>105</v>
      </c>
      <c r="D3276" s="2" t="s">
        <v>18</v>
      </c>
      <c r="E3276" s="5">
        <v>-31402</v>
      </c>
      <c r="F3276" s="3" t="s">
        <v>1754</v>
      </c>
      <c r="G3276" s="3" t="s">
        <v>57</v>
      </c>
      <c r="H3276" s="2" t="s">
        <v>62</v>
      </c>
      <c r="I3276" s="2" t="s">
        <v>7530</v>
      </c>
      <c r="J3276" s="3" t="str">
        <f>HYPERLINK("https://www.boe.es/gazeta/dias/1814/01/08/pdfs/GRE-1814-5.pdf#page=6","Abrir facsímil")</f>
        <v>Abrir facsímil</v>
      </c>
      <c r="K3276" s="3" t="s">
        <v>64</v>
      </c>
    </row>
    <row r="3277" spans="1:11" ht="42" customHeight="1">
      <c r="A3277" s="2" t="s">
        <v>7529</v>
      </c>
      <c r="B3277" s="2" t="s">
        <v>7529</v>
      </c>
      <c r="C3277" s="2" t="s">
        <v>38</v>
      </c>
      <c r="D3277" s="2" t="s">
        <v>39</v>
      </c>
      <c r="E3277" s="5">
        <v>-31385</v>
      </c>
      <c r="F3277" s="3" t="s">
        <v>783</v>
      </c>
      <c r="G3277" s="3" t="s">
        <v>2135</v>
      </c>
      <c r="H3277" s="2" t="s">
        <v>62</v>
      </c>
      <c r="I3277" s="2" t="s">
        <v>7531</v>
      </c>
      <c r="J3277" s="3" t="str">
        <f>HYPERLINK("https://www.boe.es/gazeta/dias/1814/01/25/pdfs/GRE-1814-12.pdf#page=5","Abrir facsímil")</f>
        <v>Abrir facsímil</v>
      </c>
      <c r="K3277" s="3" t="s">
        <v>64</v>
      </c>
    </row>
    <row r="3278" spans="1:11" ht="42" customHeight="1">
      <c r="A3278" s="2" t="s">
        <v>7529</v>
      </c>
      <c r="B3278" s="2" t="s">
        <v>7529</v>
      </c>
      <c r="C3278" s="2" t="s">
        <v>38</v>
      </c>
      <c r="D3278" s="2" t="s">
        <v>39</v>
      </c>
      <c r="E3278" s="5">
        <v>-31273</v>
      </c>
      <c r="F3278" s="3" t="s">
        <v>2108</v>
      </c>
      <c r="G3278" s="3" t="s">
        <v>52</v>
      </c>
      <c r="H3278" s="2" t="s">
        <v>62</v>
      </c>
      <c r="I3278" s="2" t="s">
        <v>7532</v>
      </c>
      <c r="J3278" s="3" t="str">
        <f>HYPERLINK("https://www.boe.es/gazeta/dias/1814/05/17/pdfs/GMD-1814-72.pdf#page=8","Abrir facsímil")</f>
        <v>Abrir facsímil</v>
      </c>
      <c r="K3278" s="3" t="s">
        <v>64</v>
      </c>
    </row>
    <row r="3279" spans="1:11" ht="42" customHeight="1">
      <c r="A3279" s="2" t="s">
        <v>7529</v>
      </c>
      <c r="B3279" s="2" t="s">
        <v>7529</v>
      </c>
      <c r="C3279" s="2" t="s">
        <v>38</v>
      </c>
      <c r="D3279" s="2" t="s">
        <v>39</v>
      </c>
      <c r="E3279" s="5">
        <v>-31255</v>
      </c>
      <c r="F3279" s="3" t="s">
        <v>983</v>
      </c>
      <c r="G3279" s="3" t="s">
        <v>41</v>
      </c>
      <c r="H3279" s="2" t="s">
        <v>62</v>
      </c>
      <c r="I3279" s="2" t="s">
        <v>7533</v>
      </c>
      <c r="J3279" s="3" t="str">
        <f>HYPERLINK("https://www.boe.es/gazeta/dias/1814/06/04/pdfs/GMD-1814-81.pdf#page=4","Abrir facsímil")</f>
        <v>Abrir facsímil</v>
      </c>
      <c r="K3279" s="3" t="s">
        <v>64</v>
      </c>
    </row>
    <row r="3280" spans="1:11" ht="42" customHeight="1">
      <c r="A3280" s="2" t="s">
        <v>7529</v>
      </c>
      <c r="B3280" s="2" t="s">
        <v>7529</v>
      </c>
      <c r="C3280" s="2" t="s">
        <v>38</v>
      </c>
      <c r="D3280" s="2" t="s">
        <v>39</v>
      </c>
      <c r="E3280" s="5">
        <v>-31252</v>
      </c>
      <c r="F3280" s="3" t="s">
        <v>364</v>
      </c>
      <c r="G3280" s="3" t="s">
        <v>82</v>
      </c>
      <c r="H3280" s="2" t="s">
        <v>62</v>
      </c>
      <c r="I3280" s="2" t="s">
        <v>7534</v>
      </c>
      <c r="J3280" s="3" t="str">
        <f>HYPERLINK("https://www.boe.es/gazeta/dias/1814/06/07/pdfs/GMD-1814-82.pdf#page=3","Abrir facsímil")</f>
        <v>Abrir facsímil</v>
      </c>
      <c r="K3280" s="3" t="s">
        <v>64</v>
      </c>
    </row>
    <row r="3281" spans="1:11" ht="42" customHeight="1">
      <c r="A3281" s="2" t="s">
        <v>7529</v>
      </c>
      <c r="B3281" s="2" t="s">
        <v>7529</v>
      </c>
      <c r="C3281" s="2" t="s">
        <v>26</v>
      </c>
      <c r="D3281" s="2" t="s">
        <v>27</v>
      </c>
      <c r="E3281" s="5">
        <v>-31250</v>
      </c>
      <c r="F3281" s="3" t="s">
        <v>177</v>
      </c>
      <c r="G3281" s="3" t="s">
        <v>41</v>
      </c>
      <c r="H3281" s="2" t="s">
        <v>62</v>
      </c>
      <c r="I3281" s="2" t="s">
        <v>7535</v>
      </c>
      <c r="J3281" s="3" t="str">
        <f>HYPERLINK("https://www.boe.es/gazeta/dias/1814/06/09/pdfs/GMD-1814-83.pdf#page=4","Abrir facsímil")</f>
        <v>Abrir facsímil</v>
      </c>
      <c r="K3281" s="3" t="s">
        <v>64</v>
      </c>
    </row>
    <row r="3282" spans="1:11" ht="42" customHeight="1">
      <c r="A3282" s="2" t="s">
        <v>7529</v>
      </c>
      <c r="B3282" s="2" t="s">
        <v>7529</v>
      </c>
      <c r="C3282" s="2" t="s">
        <v>38</v>
      </c>
      <c r="D3282" s="2" t="s">
        <v>39</v>
      </c>
      <c r="E3282" s="5">
        <v>-31173</v>
      </c>
      <c r="F3282" s="3" t="s">
        <v>46</v>
      </c>
      <c r="G3282" s="3" t="s">
        <v>82</v>
      </c>
      <c r="H3282" s="2" t="s">
        <v>62</v>
      </c>
      <c r="I3282" s="2" t="s">
        <v>7536</v>
      </c>
      <c r="J3282" s="3" t="str">
        <f>HYPERLINK("https://www.boe.es/gazeta/dias/1814/08/25/pdfs/GMD-1814-116.pdf#page=3","Abrir facsímil")</f>
        <v>Abrir facsímil</v>
      </c>
      <c r="K3282" s="3" t="s">
        <v>64</v>
      </c>
    </row>
    <row r="3283" spans="1:11" ht="42" customHeight="1">
      <c r="A3283" s="2" t="s">
        <v>7529</v>
      </c>
      <c r="B3283" s="2" t="s">
        <v>7529</v>
      </c>
      <c r="C3283" s="2" t="s">
        <v>26</v>
      </c>
      <c r="D3283" s="2" t="s">
        <v>27</v>
      </c>
      <c r="E3283" s="5">
        <v>-31171</v>
      </c>
      <c r="F3283" s="3" t="s">
        <v>157</v>
      </c>
      <c r="G3283" s="3" t="s">
        <v>158</v>
      </c>
      <c r="H3283" s="2" t="s">
        <v>62</v>
      </c>
      <c r="I3283" s="2" t="s">
        <v>7537</v>
      </c>
      <c r="J3283" s="3" t="str">
        <f>HYPERLINK("https://www.boe.es/gazeta/dias/1814/08/27/pdfs/GMD-1814-117.pdf#page=7","Abrir facsímil")</f>
        <v>Abrir facsímil</v>
      </c>
      <c r="K3283" s="3" t="s">
        <v>64</v>
      </c>
    </row>
    <row r="3284" spans="1:11" ht="42" customHeight="1">
      <c r="A3284" s="2" t="s">
        <v>7529</v>
      </c>
      <c r="B3284" s="2" t="s">
        <v>7529</v>
      </c>
      <c r="C3284" s="2" t="s">
        <v>17</v>
      </c>
      <c r="D3284" s="2" t="s">
        <v>18</v>
      </c>
      <c r="E3284" s="5">
        <v>-31171</v>
      </c>
      <c r="F3284" s="3" t="s">
        <v>157</v>
      </c>
      <c r="G3284" s="3" t="s">
        <v>52</v>
      </c>
      <c r="H3284" s="2" t="s">
        <v>62</v>
      </c>
      <c r="I3284" s="2" t="s">
        <v>7538</v>
      </c>
      <c r="J3284" s="3" t="str">
        <f>HYPERLINK("https://www.boe.es/gazeta/dias/1814/08/27/pdfs/GMD-1814-117.pdf#page=8","Abrir facsímil")</f>
        <v>Abrir facsímil</v>
      </c>
      <c r="K3284" s="3" t="s">
        <v>64</v>
      </c>
    </row>
    <row r="3285" spans="1:11" ht="42" customHeight="1">
      <c r="A3285" s="2" t="s">
        <v>7529</v>
      </c>
      <c r="B3285" s="2" t="s">
        <v>7529</v>
      </c>
      <c r="C3285" s="2" t="s">
        <v>17</v>
      </c>
      <c r="D3285" s="2" t="s">
        <v>18</v>
      </c>
      <c r="E3285" s="5">
        <v>-31159</v>
      </c>
      <c r="F3285" s="3" t="s">
        <v>1175</v>
      </c>
      <c r="G3285" s="3" t="s">
        <v>20</v>
      </c>
      <c r="H3285" s="2" t="s">
        <v>62</v>
      </c>
      <c r="I3285" s="2" t="s">
        <v>7539</v>
      </c>
      <c r="J3285" s="3" t="str">
        <f>HYPERLINK("https://www.boe.es/gazeta/dias/1814/09/08/pdfs/GMD-1814-123.pdf#page=7","Abrir facsímil")</f>
        <v>Abrir facsímil</v>
      </c>
      <c r="K3285" s="3" t="s">
        <v>64</v>
      </c>
    </row>
    <row r="3286" spans="1:11" ht="42" customHeight="1">
      <c r="A3286" s="2" t="s">
        <v>7529</v>
      </c>
      <c r="B3286" s="2" t="s">
        <v>7529</v>
      </c>
      <c r="C3286" s="2" t="s">
        <v>38</v>
      </c>
      <c r="D3286" s="2" t="s">
        <v>39</v>
      </c>
      <c r="E3286" s="5">
        <v>-31145</v>
      </c>
      <c r="F3286" s="3" t="s">
        <v>523</v>
      </c>
      <c r="G3286" s="3" t="s">
        <v>52</v>
      </c>
      <c r="H3286" s="2" t="s">
        <v>62</v>
      </c>
      <c r="I3286" s="2" t="s">
        <v>7540</v>
      </c>
      <c r="J3286" s="3" t="str">
        <f>HYPERLINK("https://www.boe.es/gazeta/dias/1814/09/22/pdfs/GMD-1814-129.pdf#page=8","Abrir facsímil")</f>
        <v>Abrir facsímil</v>
      </c>
      <c r="K3286" s="3" t="s">
        <v>64</v>
      </c>
    </row>
    <row r="3287" spans="1:11" ht="42" customHeight="1">
      <c r="A3287" s="2" t="s">
        <v>7529</v>
      </c>
      <c r="B3287" s="2" t="s">
        <v>7529</v>
      </c>
      <c r="C3287" s="2" t="s">
        <v>26</v>
      </c>
      <c r="D3287" s="2" t="s">
        <v>27</v>
      </c>
      <c r="E3287" s="5">
        <v>-31138</v>
      </c>
      <c r="F3287" s="3" t="s">
        <v>1363</v>
      </c>
      <c r="G3287" s="3" t="s">
        <v>1364</v>
      </c>
      <c r="H3287" s="2" t="s">
        <v>62</v>
      </c>
      <c r="I3287" s="2" t="s">
        <v>7541</v>
      </c>
      <c r="J3287" s="3" t="str">
        <f>HYPERLINK("https://www.boe.es/gazeta/dias/1814/09/29/pdfs/GMD-1814-132.pdf#page=7","Abrir facsímil")</f>
        <v>Abrir facsímil</v>
      </c>
      <c r="K3287" s="3" t="s">
        <v>64</v>
      </c>
    </row>
    <row r="3288" spans="1:11" ht="42" customHeight="1">
      <c r="A3288" s="2" t="s">
        <v>7529</v>
      </c>
      <c r="B3288" s="2" t="s">
        <v>7529</v>
      </c>
      <c r="C3288" s="2" t="s">
        <v>17</v>
      </c>
      <c r="D3288" s="2" t="s">
        <v>18</v>
      </c>
      <c r="E3288" s="5">
        <v>-31119</v>
      </c>
      <c r="F3288" s="3" t="s">
        <v>136</v>
      </c>
      <c r="G3288" s="3" t="s">
        <v>322</v>
      </c>
      <c r="H3288" s="2" t="s">
        <v>62</v>
      </c>
      <c r="I3288" s="2" t="s">
        <v>7542</v>
      </c>
      <c r="J3288" s="3" t="str">
        <f>HYPERLINK("https://www.boe.es/gazeta/dias/1814/10/18/pdfs/GMD-1814-140.pdf#page=12","Abrir facsímil")</f>
        <v>Abrir facsímil</v>
      </c>
      <c r="K3288" s="3" t="s">
        <v>64</v>
      </c>
    </row>
    <row r="3289" spans="1:11" ht="42" customHeight="1">
      <c r="A3289" s="2" t="s">
        <v>7529</v>
      </c>
      <c r="B3289" s="2" t="s">
        <v>7529</v>
      </c>
      <c r="C3289" s="2" t="s">
        <v>17</v>
      </c>
      <c r="D3289" s="2" t="s">
        <v>18</v>
      </c>
      <c r="E3289" s="5">
        <v>-31115</v>
      </c>
      <c r="F3289" s="3" t="s">
        <v>805</v>
      </c>
      <c r="G3289" s="3" t="s">
        <v>20</v>
      </c>
      <c r="H3289" s="2" t="s">
        <v>62</v>
      </c>
      <c r="I3289" s="2" t="s">
        <v>7543</v>
      </c>
      <c r="J3289" s="3" t="str">
        <f>HYPERLINK("https://www.boe.es/gazeta/dias/1814/10/22/pdfs/GMD-1814-142.pdf#page=7","Abrir facsímil")</f>
        <v>Abrir facsímil</v>
      </c>
      <c r="K3289" s="3" t="s">
        <v>64</v>
      </c>
    </row>
    <row r="3290" spans="1:11" ht="42" customHeight="1">
      <c r="A3290" s="2" t="s">
        <v>7529</v>
      </c>
      <c r="B3290" s="2" t="s">
        <v>7529</v>
      </c>
      <c r="C3290" s="2" t="s">
        <v>17</v>
      </c>
      <c r="D3290" s="2" t="s">
        <v>18</v>
      </c>
      <c r="E3290" s="5">
        <v>-31110</v>
      </c>
      <c r="F3290" s="3" t="s">
        <v>149</v>
      </c>
      <c r="G3290" s="3" t="s">
        <v>20</v>
      </c>
      <c r="H3290" s="2" t="s">
        <v>62</v>
      </c>
      <c r="I3290" s="2" t="s">
        <v>7544</v>
      </c>
      <c r="J3290" s="3" t="str">
        <f>HYPERLINK("https://www.boe.es/gazeta/dias/1814/10/27/pdfs/GMD-1814-144.pdf#page=7","Abrir facsímil")</f>
        <v>Abrir facsímil</v>
      </c>
      <c r="K3290" s="3" t="s">
        <v>64</v>
      </c>
    </row>
    <row r="3291" spans="1:11" ht="42" customHeight="1">
      <c r="A3291" s="2" t="s">
        <v>7529</v>
      </c>
      <c r="B3291" s="2" t="s">
        <v>7529</v>
      </c>
      <c r="C3291" s="2" t="s">
        <v>38</v>
      </c>
      <c r="D3291" s="2" t="s">
        <v>39</v>
      </c>
      <c r="E3291" s="5">
        <v>-31096</v>
      </c>
      <c r="F3291" s="3" t="s">
        <v>223</v>
      </c>
      <c r="G3291" s="3" t="s">
        <v>972</v>
      </c>
      <c r="H3291" s="2" t="s">
        <v>62</v>
      </c>
      <c r="I3291" s="2" t="s">
        <v>7545</v>
      </c>
      <c r="J3291" s="3" t="str">
        <f>HYPERLINK("https://www.boe.es/gazeta/dias/1814/11/10/pdfs/GMD-1814-150.pdf#page=8","Abrir facsímil")</f>
        <v>Abrir facsímil</v>
      </c>
      <c r="K3291" s="3" t="s">
        <v>64</v>
      </c>
    </row>
    <row r="3292" spans="1:11" ht="42" customHeight="1">
      <c r="A3292" s="2" t="s">
        <v>7546</v>
      </c>
      <c r="B3292" s="2" t="s">
        <v>7547</v>
      </c>
      <c r="C3292" s="2" t="s">
        <v>38</v>
      </c>
      <c r="D3292" s="2" t="s">
        <v>39</v>
      </c>
      <c r="E3292" s="5">
        <v>-31381</v>
      </c>
      <c r="F3292" s="3" t="s">
        <v>989</v>
      </c>
      <c r="G3292" s="3" t="s">
        <v>20</v>
      </c>
      <c r="H3292" s="2" t="s">
        <v>62</v>
      </c>
      <c r="I3292" s="2" t="s">
        <v>7548</v>
      </c>
      <c r="J3292" s="3" t="str">
        <f>HYPERLINK("https://www.boe.es/gazeta/dias/1814/01/29/pdfs/GRE-1814-14.pdf#page=7","Abrir facsímil")</f>
        <v>Abrir facsímil</v>
      </c>
      <c r="K3292" s="3" t="s">
        <v>64</v>
      </c>
    </row>
    <row r="3293" spans="1:11" ht="42" customHeight="1">
      <c r="A3293" s="2" t="s">
        <v>7549</v>
      </c>
      <c r="B3293" s="2" t="s">
        <v>7550</v>
      </c>
      <c r="C3293" s="2" t="s">
        <v>17</v>
      </c>
      <c r="D3293" s="2" t="s">
        <v>314</v>
      </c>
      <c r="E3293" s="5">
        <v>-31296</v>
      </c>
      <c r="F3293" s="3" t="s">
        <v>315</v>
      </c>
      <c r="G3293" s="3" t="s">
        <v>57</v>
      </c>
      <c r="H3293" s="2" t="s">
        <v>21</v>
      </c>
      <c r="I3293" s="2" t="s">
        <v>7551</v>
      </c>
      <c r="J3293" s="3" t="str">
        <f>HYPERLINK("https://www.boe.es/gazeta/dias/1814/04/24/pdfs/GRE-1814-60E.pdf#page=6","Abrir facsímil")</f>
        <v>Abrir facsímil</v>
      </c>
      <c r="K3293" s="3" t="s">
        <v>23</v>
      </c>
    </row>
    <row r="3294" spans="1:11" ht="42" customHeight="1">
      <c r="A3294" s="2" t="s">
        <v>7552</v>
      </c>
      <c r="B3294" s="2" t="s">
        <v>7553</v>
      </c>
      <c r="C3294" s="2" t="s">
        <v>45</v>
      </c>
      <c r="D3294" s="2" t="s">
        <v>18</v>
      </c>
      <c r="E3294" s="5">
        <v>-31182</v>
      </c>
      <c r="F3294" s="3" t="s">
        <v>19</v>
      </c>
      <c r="G3294" s="3" t="s">
        <v>20</v>
      </c>
      <c r="H3294" s="2" t="s">
        <v>62</v>
      </c>
      <c r="I3294" s="2" t="s">
        <v>7554</v>
      </c>
      <c r="J3294" s="3" t="str">
        <f>HYPERLINK("https://www.boe.es/gazeta/dias/1814/08/16/pdfs/GMD-1814-112.pdf#page=7","Abrir facsímil")</f>
        <v>Abrir facsímil</v>
      </c>
      <c r="K3294" s="3" t="s">
        <v>64</v>
      </c>
    </row>
    <row r="3295" spans="1:11" ht="42" customHeight="1">
      <c r="A3295" s="2" t="s">
        <v>7555</v>
      </c>
      <c r="B3295" s="2" t="s">
        <v>7556</v>
      </c>
      <c r="C3295" s="2" t="s">
        <v>45</v>
      </c>
      <c r="D3295" s="2" t="s">
        <v>18</v>
      </c>
      <c r="E3295" s="5">
        <v>-31080</v>
      </c>
      <c r="F3295" s="3" t="s">
        <v>286</v>
      </c>
      <c r="G3295" s="3" t="s">
        <v>1031</v>
      </c>
      <c r="H3295" s="2" t="s">
        <v>62</v>
      </c>
      <c r="I3295" s="2" t="s">
        <v>7557</v>
      </c>
      <c r="J3295" s="3" t="str">
        <f>HYPERLINK("https://www.boe.es/gazeta/dias/1814/11/26/pdfs/GMD-1814-157.pdf#page=8","Abrir facsímil")</f>
        <v>Abrir facsímil</v>
      </c>
      <c r="K3295" s="3" t="s">
        <v>64</v>
      </c>
    </row>
    <row r="3296" spans="1:11" ht="42" customHeight="1">
      <c r="A3296" s="2" t="s">
        <v>7558</v>
      </c>
      <c r="B3296" s="2" t="s">
        <v>7558</v>
      </c>
      <c r="C3296" s="2" t="s">
        <v>38</v>
      </c>
      <c r="D3296" s="2" t="s">
        <v>39</v>
      </c>
      <c r="E3296" s="5">
        <v>-31210</v>
      </c>
      <c r="F3296" s="3" t="s">
        <v>141</v>
      </c>
      <c r="G3296" s="3" t="s">
        <v>99</v>
      </c>
      <c r="H3296" s="2" t="s">
        <v>62</v>
      </c>
      <c r="I3296" s="2" t="s">
        <v>7559</v>
      </c>
      <c r="J3296" s="3" t="str">
        <f>HYPERLINK("https://www.boe.es/gazeta/dias/1814/07/19/pdfs/GMD-1814-100.pdf#page=5","Abrir facsímil")</f>
        <v>Abrir facsímil</v>
      </c>
      <c r="K3296" s="3" t="s">
        <v>64</v>
      </c>
    </row>
    <row r="3297" spans="1:11" ht="42" customHeight="1">
      <c r="A3297" s="2" t="s">
        <v>7560</v>
      </c>
      <c r="B3297" s="2" t="s">
        <v>7561</v>
      </c>
      <c r="C3297" s="2" t="s">
        <v>26</v>
      </c>
      <c r="D3297" s="2" t="s">
        <v>27</v>
      </c>
      <c r="E3297" s="5">
        <v>-31171</v>
      </c>
      <c r="F3297" s="3" t="s">
        <v>157</v>
      </c>
      <c r="G3297" s="3" t="s">
        <v>158</v>
      </c>
      <c r="H3297" s="2" t="s">
        <v>62</v>
      </c>
      <c r="I3297" s="2" t="s">
        <v>7562</v>
      </c>
      <c r="J3297" s="3" t="str">
        <f>HYPERLINK("https://www.boe.es/gazeta/dias/1814/08/27/pdfs/GMD-1814-117.pdf#page=7","Abrir facsímil")</f>
        <v>Abrir facsímil</v>
      </c>
      <c r="K3297" s="3" t="s">
        <v>64</v>
      </c>
    </row>
    <row r="3298" spans="1:11" ht="42" customHeight="1">
      <c r="A3298" s="2" t="s">
        <v>7563</v>
      </c>
      <c r="B3298" s="2" t="s">
        <v>7563</v>
      </c>
      <c r="C3298" s="2" t="s">
        <v>26</v>
      </c>
      <c r="D3298" s="2" t="s">
        <v>27</v>
      </c>
      <c r="E3298" s="5">
        <v>-31124</v>
      </c>
      <c r="F3298" s="3" t="s">
        <v>383</v>
      </c>
      <c r="G3298" s="3" t="s">
        <v>574</v>
      </c>
      <c r="H3298" s="2" t="s">
        <v>62</v>
      </c>
      <c r="I3298" s="2" t="s">
        <v>7564</v>
      </c>
      <c r="J3298" s="3" t="str">
        <f>HYPERLINK("https://www.boe.es/gazeta/dias/1814/10/13/pdfs/GMD-1814-138.pdf#page=10","Abrir facsímil")</f>
        <v>Abrir facsímil</v>
      </c>
      <c r="K3298" s="3" t="s">
        <v>64</v>
      </c>
    </row>
    <row r="3299" spans="1:11" ht="42" customHeight="1">
      <c r="A3299" s="2" t="s">
        <v>7565</v>
      </c>
      <c r="B3299" s="2" t="s">
        <v>7565</v>
      </c>
      <c r="C3299" s="2" t="s">
        <v>45</v>
      </c>
      <c r="D3299" s="2" t="s">
        <v>18</v>
      </c>
      <c r="E3299" s="5">
        <v>-31131</v>
      </c>
      <c r="F3299" s="3" t="s">
        <v>132</v>
      </c>
      <c r="G3299" s="3" t="s">
        <v>20</v>
      </c>
      <c r="H3299" s="2" t="s">
        <v>62</v>
      </c>
      <c r="I3299" s="2" t="s">
        <v>7566</v>
      </c>
      <c r="J3299" s="3" t="str">
        <f>HYPERLINK("https://www.boe.es/gazeta/dias/1814/10/06/pdfs/GMD-1814-135.pdf#page=7","Abrir facsímil")</f>
        <v>Abrir facsímil</v>
      </c>
      <c r="K3299" s="3" t="s">
        <v>64</v>
      </c>
    </row>
    <row r="3300" spans="1:11" ht="42" customHeight="1">
      <c r="A3300" s="2" t="s">
        <v>7565</v>
      </c>
      <c r="B3300" s="2" t="s">
        <v>7565</v>
      </c>
      <c r="C3300" s="2" t="s">
        <v>38</v>
      </c>
      <c r="D3300" s="2" t="s">
        <v>39</v>
      </c>
      <c r="E3300" s="5">
        <v>-31087</v>
      </c>
      <c r="F3300" s="3" t="s">
        <v>118</v>
      </c>
      <c r="G3300" s="3" t="s">
        <v>3730</v>
      </c>
      <c r="H3300" s="2" t="s">
        <v>62</v>
      </c>
      <c r="I3300" s="2" t="s">
        <v>7567</v>
      </c>
      <c r="J3300" s="3" t="str">
        <f>HYPERLINK("https://www.boe.es/gazeta/dias/1814/11/19/pdfs/GMD-1814-154.pdf#page=7","Abrir facsímil")</f>
        <v>Abrir facsímil</v>
      </c>
      <c r="K3300" s="3" t="s">
        <v>64</v>
      </c>
    </row>
    <row r="3301" spans="1:11" ht="42" customHeight="1">
      <c r="A3301" s="2" t="s">
        <v>7565</v>
      </c>
      <c r="B3301" s="2" t="s">
        <v>7565</v>
      </c>
      <c r="C3301" s="2" t="s">
        <v>45</v>
      </c>
      <c r="D3301" s="2" t="s">
        <v>18</v>
      </c>
      <c r="E3301" s="5">
        <v>-31080</v>
      </c>
      <c r="F3301" s="3" t="s">
        <v>286</v>
      </c>
      <c r="G3301" s="3" t="s">
        <v>1031</v>
      </c>
      <c r="H3301" s="2" t="s">
        <v>62</v>
      </c>
      <c r="I3301" s="2" t="s">
        <v>7568</v>
      </c>
      <c r="J3301" s="3" t="str">
        <f>HYPERLINK("https://www.boe.es/gazeta/dias/1814/11/26/pdfs/GMD-1814-157.pdf#page=8","Abrir facsímil")</f>
        <v>Abrir facsímil</v>
      </c>
      <c r="K3301" s="3" t="s">
        <v>64</v>
      </c>
    </row>
    <row r="3302" spans="1:11" ht="42" customHeight="1">
      <c r="A3302" s="2" t="s">
        <v>7565</v>
      </c>
      <c r="B3302" s="2" t="s">
        <v>7565</v>
      </c>
      <c r="C3302" s="2" t="s">
        <v>38</v>
      </c>
      <c r="D3302" s="2" t="s">
        <v>39</v>
      </c>
      <c r="E3302" s="5">
        <v>-31075</v>
      </c>
      <c r="F3302" s="3" t="s">
        <v>537</v>
      </c>
      <c r="G3302" s="3" t="s">
        <v>57</v>
      </c>
      <c r="H3302" s="2" t="s">
        <v>62</v>
      </c>
      <c r="I3302" s="2" t="s">
        <v>7569</v>
      </c>
      <c r="J3302" s="3" t="str">
        <f>HYPERLINK("https://www.boe.es/gazeta/dias/1814/12/01/pdfs/GMD-1814-159.pdf#page=6","Abrir facsímil")</f>
        <v>Abrir facsímil</v>
      </c>
      <c r="K3302" s="3" t="s">
        <v>64</v>
      </c>
    </row>
    <row r="3303" spans="1:11" ht="42" customHeight="1">
      <c r="A3303" s="2" t="s">
        <v>7570</v>
      </c>
      <c r="B3303" s="2" t="s">
        <v>7571</v>
      </c>
      <c r="C3303" s="2" t="s">
        <v>38</v>
      </c>
      <c r="D3303" s="2" t="s">
        <v>39</v>
      </c>
      <c r="E3303" s="5">
        <v>-31133</v>
      </c>
      <c r="F3303" s="3" t="s">
        <v>184</v>
      </c>
      <c r="G3303" s="3" t="s">
        <v>20</v>
      </c>
      <c r="H3303" s="2" t="s">
        <v>62</v>
      </c>
      <c r="I3303" s="2" t="s">
        <v>7572</v>
      </c>
      <c r="J3303" s="3" t="str">
        <f>HYPERLINK("https://www.boe.es/gazeta/dias/1814/10/04/pdfs/GMD-1814-134.pdf#page=7","Abrir facsímil")</f>
        <v>Abrir facsímil</v>
      </c>
      <c r="K3303" s="3" t="s">
        <v>64</v>
      </c>
    </row>
    <row r="3304" spans="1:11" ht="42" customHeight="1">
      <c r="A3304" s="2" t="s">
        <v>7573</v>
      </c>
      <c r="B3304" s="2" t="s">
        <v>7574</v>
      </c>
      <c r="C3304" s="2" t="s">
        <v>144</v>
      </c>
      <c r="D3304" s="2" t="s">
        <v>18</v>
      </c>
      <c r="E3304" s="5">
        <v>-31245</v>
      </c>
      <c r="F3304" s="3" t="s">
        <v>908</v>
      </c>
      <c r="G3304" s="3" t="s">
        <v>322</v>
      </c>
      <c r="H3304" s="2" t="s">
        <v>62</v>
      </c>
      <c r="I3304" s="2" t="s">
        <v>7575</v>
      </c>
      <c r="J3304" s="3" t="str">
        <f>HYPERLINK("https://www.boe.es/gazeta/dias/1814/06/14/pdfs/GMD-1814-85.pdf#page=12","Abrir facsímil")</f>
        <v>Abrir facsímil</v>
      </c>
      <c r="K3304" s="3" t="s">
        <v>64</v>
      </c>
    </row>
    <row r="3305" spans="1:11" ht="42" customHeight="1">
      <c r="A3305" s="2" t="s">
        <v>7576</v>
      </c>
      <c r="B3305" s="2" t="s">
        <v>7577</v>
      </c>
      <c r="C3305" s="2" t="s">
        <v>17</v>
      </c>
      <c r="D3305" s="2" t="s">
        <v>18</v>
      </c>
      <c r="E3305" s="5">
        <v>-31068</v>
      </c>
      <c r="F3305" s="3" t="s">
        <v>548</v>
      </c>
      <c r="G3305" s="3" t="s">
        <v>20</v>
      </c>
      <c r="H3305" s="2" t="s">
        <v>62</v>
      </c>
      <c r="I3305" s="2" t="s">
        <v>7578</v>
      </c>
      <c r="J3305" s="3" t="str">
        <f>HYPERLINK("https://www.boe.es/gazeta/dias/1814/12/08/pdfs/GMD-1814-162.pdf#page=7","Abrir facsímil")</f>
        <v>Abrir facsímil</v>
      </c>
      <c r="K3305" s="3" t="s">
        <v>64</v>
      </c>
    </row>
    <row r="3306" spans="1:11" ht="42" customHeight="1">
      <c r="A3306" s="2" t="s">
        <v>7579</v>
      </c>
      <c r="B3306" s="2" t="s">
        <v>7580</v>
      </c>
      <c r="C3306" s="2" t="s">
        <v>17</v>
      </c>
      <c r="D3306" s="2" t="s">
        <v>18</v>
      </c>
      <c r="E3306" s="5">
        <v>-31161</v>
      </c>
      <c r="F3306" s="3" t="s">
        <v>407</v>
      </c>
      <c r="G3306" s="3" t="s">
        <v>82</v>
      </c>
      <c r="H3306" s="2" t="s">
        <v>62</v>
      </c>
      <c r="I3306" s="2" t="s">
        <v>7581</v>
      </c>
      <c r="J3306" s="3" t="str">
        <f>HYPERLINK("https://www.boe.es/gazeta/dias/1814/09/06/pdfs/GMD-1814-122.pdf#page=3","Abrir facsímil")</f>
        <v>Abrir facsímil</v>
      </c>
      <c r="K3306" s="3" t="s">
        <v>64</v>
      </c>
    </row>
    <row r="3307" spans="1:11" ht="42" customHeight="1">
      <c r="A3307" s="2" t="s">
        <v>7582</v>
      </c>
      <c r="B3307" s="2" t="s">
        <v>7583</v>
      </c>
      <c r="C3307" s="2" t="s">
        <v>26</v>
      </c>
      <c r="D3307" s="2" t="s">
        <v>27</v>
      </c>
      <c r="E3307" s="5">
        <v>-31096</v>
      </c>
      <c r="F3307" s="3" t="s">
        <v>223</v>
      </c>
      <c r="G3307" s="3" t="s">
        <v>57</v>
      </c>
      <c r="H3307" s="2" t="s">
        <v>62</v>
      </c>
      <c r="I3307" s="2" t="s">
        <v>7584</v>
      </c>
      <c r="J3307" s="3" t="str">
        <f>HYPERLINK("https://www.boe.es/gazeta/dias/1814/11/10/pdfs/GMD-1814-150.pdf#page=6","Abrir facsímil")</f>
        <v>Abrir facsímil</v>
      </c>
      <c r="K3307" s="3" t="s">
        <v>64</v>
      </c>
    </row>
    <row r="3308" spans="1:11" ht="42" customHeight="1">
      <c r="A3308" s="2" t="s">
        <v>7585</v>
      </c>
      <c r="B3308" s="2" t="s">
        <v>7586</v>
      </c>
      <c r="C3308" s="2" t="s">
        <v>38</v>
      </c>
      <c r="D3308" s="2" t="s">
        <v>39</v>
      </c>
      <c r="E3308" s="5">
        <v>-31369</v>
      </c>
      <c r="F3308" s="3" t="s">
        <v>695</v>
      </c>
      <c r="G3308" s="3" t="s">
        <v>3737</v>
      </c>
      <c r="H3308" s="2" t="s">
        <v>62</v>
      </c>
      <c r="I3308" s="2" t="s">
        <v>7587</v>
      </c>
      <c r="J3308" s="3" t="str">
        <f>HYPERLINK("https://www.boe.es/gazeta/dias/1814/02/10/pdfs/GRE-1814-19.pdf#page=6","Abrir facsímil")</f>
        <v>Abrir facsímil</v>
      </c>
      <c r="K3308" s="3" t="s">
        <v>64</v>
      </c>
    </row>
    <row r="3309" spans="1:11" ht="42" customHeight="1">
      <c r="A3309" s="2" t="s">
        <v>7588</v>
      </c>
      <c r="B3309" s="2" t="s">
        <v>7588</v>
      </c>
      <c r="C3309" s="2" t="s">
        <v>17</v>
      </c>
      <c r="D3309" s="2" t="s">
        <v>18</v>
      </c>
      <c r="E3309" s="5">
        <v>-31369</v>
      </c>
      <c r="F3309" s="3" t="s">
        <v>695</v>
      </c>
      <c r="G3309" s="3" t="s">
        <v>3737</v>
      </c>
      <c r="H3309" s="2" t="s">
        <v>62</v>
      </c>
      <c r="I3309" s="2" t="s">
        <v>7589</v>
      </c>
      <c r="J3309" s="3" t="str">
        <f>HYPERLINK("https://www.boe.es/gazeta/dias/1814/02/10/pdfs/GRE-1814-19.pdf#page=6","Abrir facsímil")</f>
        <v>Abrir facsímil</v>
      </c>
      <c r="K3309" s="3" t="s">
        <v>64</v>
      </c>
    </row>
    <row r="3310" spans="1:11" ht="42" customHeight="1">
      <c r="A3310" s="2" t="s">
        <v>7588</v>
      </c>
      <c r="B3310" s="2" t="s">
        <v>7588</v>
      </c>
      <c r="C3310" s="2" t="s">
        <v>38</v>
      </c>
      <c r="D3310" s="2" t="s">
        <v>39</v>
      </c>
      <c r="E3310" s="5">
        <v>-31348</v>
      </c>
      <c r="F3310" s="3" t="s">
        <v>898</v>
      </c>
      <c r="G3310" s="3" t="s">
        <v>41</v>
      </c>
      <c r="H3310" s="2" t="s">
        <v>62</v>
      </c>
      <c r="I3310" s="2" t="s">
        <v>7590</v>
      </c>
      <c r="J3310" s="3" t="str">
        <f>HYPERLINK("https://www.boe.es/gazeta/dias/1814/03/03/pdfs/GRE-1814-29.pdf#page=4","Abrir facsímil")</f>
        <v>Abrir facsímil</v>
      </c>
      <c r="K3310" s="3" t="s">
        <v>64</v>
      </c>
    </row>
    <row r="3311" spans="1:11" ht="42" customHeight="1">
      <c r="A3311" s="2" t="s">
        <v>7588</v>
      </c>
      <c r="B3311" s="2" t="s">
        <v>7588</v>
      </c>
      <c r="C3311" s="2" t="s">
        <v>17</v>
      </c>
      <c r="D3311" s="2" t="s">
        <v>18</v>
      </c>
      <c r="E3311" s="5">
        <v>-31119</v>
      </c>
      <c r="F3311" s="3" t="s">
        <v>136</v>
      </c>
      <c r="G3311" s="3" t="s">
        <v>322</v>
      </c>
      <c r="H3311" s="2" t="s">
        <v>62</v>
      </c>
      <c r="I3311" s="2" t="s">
        <v>7591</v>
      </c>
      <c r="J3311" s="3" t="str">
        <f>HYPERLINK("https://www.boe.es/gazeta/dias/1814/10/18/pdfs/GMD-1814-140.pdf#page=12","Abrir facsímil")</f>
        <v>Abrir facsímil</v>
      </c>
      <c r="K3311" s="3" t="s">
        <v>64</v>
      </c>
    </row>
    <row r="3312" spans="1:11" ht="42" customHeight="1">
      <c r="A3312" s="2" t="s">
        <v>7588</v>
      </c>
      <c r="B3312" s="2" t="s">
        <v>7588</v>
      </c>
      <c r="C3312" s="2" t="s">
        <v>17</v>
      </c>
      <c r="D3312" s="2" t="s">
        <v>18</v>
      </c>
      <c r="E3312" s="5">
        <v>-31115</v>
      </c>
      <c r="F3312" s="3" t="s">
        <v>805</v>
      </c>
      <c r="G3312" s="3" t="s">
        <v>20</v>
      </c>
      <c r="H3312" s="2" t="s">
        <v>62</v>
      </c>
      <c r="I3312" s="2" t="s">
        <v>7592</v>
      </c>
      <c r="J3312" s="3" t="str">
        <f>HYPERLINK("https://www.boe.es/gazeta/dias/1814/10/22/pdfs/GMD-1814-142.pdf#page=7","Abrir facsímil")</f>
        <v>Abrir facsímil</v>
      </c>
      <c r="K3312" s="3" t="s">
        <v>64</v>
      </c>
    </row>
    <row r="3313" spans="1:11" ht="42" customHeight="1">
      <c r="A3313" s="2" t="s">
        <v>7588</v>
      </c>
      <c r="B3313" s="2" t="s">
        <v>7588</v>
      </c>
      <c r="C3313" s="2" t="s">
        <v>17</v>
      </c>
      <c r="D3313" s="2" t="s">
        <v>18</v>
      </c>
      <c r="E3313" s="5">
        <v>-31110</v>
      </c>
      <c r="F3313" s="3" t="s">
        <v>149</v>
      </c>
      <c r="G3313" s="3" t="s">
        <v>20</v>
      </c>
      <c r="H3313" s="2" t="s">
        <v>62</v>
      </c>
      <c r="I3313" s="2" t="s">
        <v>7593</v>
      </c>
      <c r="J3313" s="3" t="str">
        <f>HYPERLINK("https://www.boe.es/gazeta/dias/1814/10/27/pdfs/GMD-1814-144.pdf#page=7","Abrir facsímil")</f>
        <v>Abrir facsímil</v>
      </c>
      <c r="K3313" s="3" t="s">
        <v>64</v>
      </c>
    </row>
    <row r="3314" spans="1:11" ht="42" customHeight="1">
      <c r="A3314" s="2" t="s">
        <v>7594</v>
      </c>
      <c r="B3314" s="2" t="s">
        <v>7595</v>
      </c>
      <c r="C3314" s="2" t="s">
        <v>38</v>
      </c>
      <c r="D3314" s="2" t="s">
        <v>39</v>
      </c>
      <c r="E3314" s="5">
        <v>-31353</v>
      </c>
      <c r="F3314" s="3" t="s">
        <v>247</v>
      </c>
      <c r="G3314" s="3" t="s">
        <v>57</v>
      </c>
      <c r="H3314" s="2" t="s">
        <v>62</v>
      </c>
      <c r="I3314" s="2" t="s">
        <v>7596</v>
      </c>
      <c r="J3314" s="3" t="str">
        <f>HYPERLINK("https://www.boe.es/gazeta/dias/1814/02/26/pdfs/GRE-1814-27.pdf#page=6","Abrir facsímil")</f>
        <v>Abrir facsímil</v>
      </c>
      <c r="K3314" s="3" t="s">
        <v>64</v>
      </c>
    </row>
    <row r="3315" spans="1:11" ht="42" customHeight="1">
      <c r="A3315" s="2" t="s">
        <v>7597</v>
      </c>
      <c r="B3315" s="2" t="s">
        <v>7597</v>
      </c>
      <c r="C3315" s="2" t="s">
        <v>38</v>
      </c>
      <c r="D3315" s="2" t="s">
        <v>39</v>
      </c>
      <c r="E3315" s="5">
        <v>-31329</v>
      </c>
      <c r="F3315" s="3" t="s">
        <v>621</v>
      </c>
      <c r="G3315" s="3" t="s">
        <v>57</v>
      </c>
      <c r="H3315" s="2" t="s">
        <v>62</v>
      </c>
      <c r="I3315" s="2" t="s">
        <v>7598</v>
      </c>
      <c r="J3315" s="3" t="str">
        <f>HYPERLINK("https://www.boe.es/gazeta/dias/1814/03/22/pdfs/GRE-1814-39.pdf#page=6","Abrir facsímil")</f>
        <v>Abrir facsímil</v>
      </c>
      <c r="K3315" s="3" t="s">
        <v>64</v>
      </c>
    </row>
    <row r="3316" spans="1:11" ht="42" customHeight="1">
      <c r="A3316" s="2" t="s">
        <v>7599</v>
      </c>
      <c r="B3316" s="2" t="s">
        <v>7599</v>
      </c>
      <c r="C3316" s="2" t="s">
        <v>38</v>
      </c>
      <c r="D3316" s="2" t="s">
        <v>39</v>
      </c>
      <c r="E3316" s="5">
        <v>-31252</v>
      </c>
      <c r="F3316" s="3" t="s">
        <v>364</v>
      </c>
      <c r="G3316" s="3" t="s">
        <v>2569</v>
      </c>
      <c r="H3316" s="2" t="s">
        <v>62</v>
      </c>
      <c r="I3316" s="2" t="s">
        <v>7600</v>
      </c>
      <c r="J3316" s="3" t="str">
        <f>HYPERLINK("https://www.boe.es/gazeta/dias/1814/06/07/pdfs/GMD-1814-82.pdf#page=4","Abrir facsímil")</f>
        <v>Abrir facsímil</v>
      </c>
      <c r="K3316" s="3" t="s">
        <v>64</v>
      </c>
    </row>
    <row r="3317" spans="1:11" ht="42" customHeight="1">
      <c r="A3317" s="2" t="s">
        <v>7601</v>
      </c>
      <c r="B3317" s="2" t="s">
        <v>7602</v>
      </c>
      <c r="C3317" s="2" t="s">
        <v>38</v>
      </c>
      <c r="D3317" s="2" t="s">
        <v>314</v>
      </c>
      <c r="E3317" s="5">
        <v>-31296</v>
      </c>
      <c r="F3317" s="3" t="s">
        <v>315</v>
      </c>
      <c r="G3317" s="3" t="s">
        <v>82</v>
      </c>
      <c r="H3317" s="2" t="s">
        <v>62</v>
      </c>
      <c r="I3317" s="2" t="s">
        <v>7603</v>
      </c>
      <c r="J3317" s="3" t="str">
        <f>HYPERLINK("https://www.boe.es/gazeta/dias/1814/04/24/pdfs/GRE-1814-60E.pdf#page=3","Abrir facsímil")</f>
        <v>Abrir facsímil</v>
      </c>
      <c r="K3317" s="3" t="s">
        <v>64</v>
      </c>
    </row>
    <row r="3318" spans="1:11" ht="42" customHeight="1">
      <c r="A3318" s="2" t="s">
        <v>7604</v>
      </c>
      <c r="B3318" s="2" t="s">
        <v>7605</v>
      </c>
      <c r="C3318" s="2" t="s">
        <v>309</v>
      </c>
      <c r="D3318" s="2" t="s">
        <v>18</v>
      </c>
      <c r="E3318" s="5">
        <v>-31308</v>
      </c>
      <c r="F3318" s="3" t="s">
        <v>210</v>
      </c>
      <c r="G3318" s="3" t="s">
        <v>52</v>
      </c>
      <c r="H3318" s="2" t="s">
        <v>62</v>
      </c>
      <c r="I3318" s="2" t="s">
        <v>7606</v>
      </c>
      <c r="J3318" s="3" t="str">
        <f>HYPERLINK("https://www.boe.es/gazeta/dias/1814/04/12/pdfs/GRE-1814-52.pdf#page=8","Abrir facsímil")</f>
        <v>Abrir facsímil</v>
      </c>
      <c r="K3318" s="3" t="s">
        <v>64</v>
      </c>
    </row>
    <row r="3319" spans="1:11" ht="42" customHeight="1">
      <c r="A3319" s="2" t="s">
        <v>7607</v>
      </c>
      <c r="B3319" s="2" t="s">
        <v>7608</v>
      </c>
      <c r="C3319" s="2" t="s">
        <v>38</v>
      </c>
      <c r="D3319" s="2" t="s">
        <v>39</v>
      </c>
      <c r="E3319" s="5">
        <v>-31122</v>
      </c>
      <c r="F3319" s="3" t="s">
        <v>28</v>
      </c>
      <c r="G3319" s="3" t="s">
        <v>57</v>
      </c>
      <c r="H3319" s="2" t="s">
        <v>62</v>
      </c>
      <c r="I3319" s="2" t="s">
        <v>7609</v>
      </c>
      <c r="J3319" s="3" t="str">
        <f>HYPERLINK("https://www.boe.es/gazeta/dias/1814/10/15/pdfs/GMD-1814-139.pdf#page=6","Abrir facsímil")</f>
        <v>Abrir facsímil</v>
      </c>
      <c r="K3319" s="3" t="s">
        <v>64</v>
      </c>
    </row>
    <row r="3320" spans="1:11" ht="42" customHeight="1">
      <c r="A3320" s="2" t="s">
        <v>7610</v>
      </c>
      <c r="B3320" s="2" t="s">
        <v>7611</v>
      </c>
      <c r="C3320" s="2" t="s">
        <v>45</v>
      </c>
      <c r="D3320" s="2" t="s">
        <v>18</v>
      </c>
      <c r="E3320" s="5">
        <v>-31096</v>
      </c>
      <c r="F3320" s="3" t="s">
        <v>223</v>
      </c>
      <c r="G3320" s="3" t="s">
        <v>972</v>
      </c>
      <c r="H3320" s="2" t="s">
        <v>21</v>
      </c>
      <c r="I3320" s="2" t="s">
        <v>7612</v>
      </c>
      <c r="J3320" s="3" t="str">
        <f>HYPERLINK("https://www.boe.es/gazeta/dias/1814/11/10/pdfs/GMD-1814-150.pdf#page=8","Abrir facsímil")</f>
        <v>Abrir facsímil</v>
      </c>
      <c r="K3320" s="3" t="s">
        <v>23</v>
      </c>
    </row>
    <row r="3321" spans="1:11" ht="42" customHeight="1">
      <c r="A3321" s="2" t="s">
        <v>7613</v>
      </c>
      <c r="B3321" s="2" t="s">
        <v>7614</v>
      </c>
      <c r="C3321" s="2" t="s">
        <v>26</v>
      </c>
      <c r="D3321" s="2" t="s">
        <v>27</v>
      </c>
      <c r="E3321" s="5">
        <v>-31105</v>
      </c>
      <c r="F3321" s="3" t="s">
        <v>61</v>
      </c>
      <c r="G3321" s="3" t="s">
        <v>52</v>
      </c>
      <c r="H3321" s="2" t="s">
        <v>62</v>
      </c>
      <c r="I3321" s="2" t="s">
        <v>7615</v>
      </c>
      <c r="J3321" s="3" t="str">
        <f>HYPERLINK("https://www.boe.es/gazeta/dias/1814/11/01/pdfs/GMD-1814-146.pdf#page=8","Abrir facsímil")</f>
        <v>Abrir facsímil</v>
      </c>
      <c r="K3321" s="3" t="s">
        <v>64</v>
      </c>
    </row>
    <row r="3322" spans="1:11" ht="42" customHeight="1">
      <c r="A3322" s="2" t="s">
        <v>7616</v>
      </c>
      <c r="B3322" s="2" t="s">
        <v>7617</v>
      </c>
      <c r="C3322" s="2" t="s">
        <v>32</v>
      </c>
      <c r="D3322" s="2" t="s">
        <v>18</v>
      </c>
      <c r="E3322" s="5">
        <v>-31245</v>
      </c>
      <c r="F3322" s="3" t="s">
        <v>908</v>
      </c>
      <c r="G3322" s="3" t="s">
        <v>4652</v>
      </c>
      <c r="H3322" s="2" t="s">
        <v>62</v>
      </c>
      <c r="I3322" s="2" t="s">
        <v>7618</v>
      </c>
      <c r="J3322" s="3" t="str">
        <f>HYPERLINK("https://www.boe.es/gazeta/dias/1814/06/14/pdfs/GMD-1814-85.pdf#page=4","Abrir facsímil")</f>
        <v>Abrir facsímil</v>
      </c>
      <c r="K3322" s="3" t="s">
        <v>64</v>
      </c>
    </row>
    <row r="3323" spans="1:11" ht="42" customHeight="1">
      <c r="A3323" s="2" t="s">
        <v>7619</v>
      </c>
      <c r="B3323" s="2" t="s">
        <v>7620</v>
      </c>
      <c r="C3323" s="2" t="s">
        <v>45</v>
      </c>
      <c r="D3323" s="2" t="s">
        <v>18</v>
      </c>
      <c r="E3323" s="5">
        <v>-31059</v>
      </c>
      <c r="F3323" s="3" t="s">
        <v>263</v>
      </c>
      <c r="G3323" s="3" t="s">
        <v>297</v>
      </c>
      <c r="H3323" s="2" t="s">
        <v>62</v>
      </c>
      <c r="I3323" s="2" t="s">
        <v>7621</v>
      </c>
      <c r="J3323" s="3" t="str">
        <f>HYPERLINK("https://www.boe.es/gazeta/dias/1814/12/17/pdfs/GMD-1814-167.pdf#page=8","Abrir facsímil")</f>
        <v>Abrir facsímil</v>
      </c>
      <c r="K3323" s="3" t="s">
        <v>64</v>
      </c>
    </row>
    <row r="3324" spans="1:11" ht="42" customHeight="1">
      <c r="A3324" s="2" t="s">
        <v>7622</v>
      </c>
      <c r="B3324" s="2" t="s">
        <v>7623</v>
      </c>
      <c r="C3324" s="2" t="s">
        <v>26</v>
      </c>
      <c r="D3324" s="2" t="s">
        <v>27</v>
      </c>
      <c r="E3324" s="5">
        <v>-31054</v>
      </c>
      <c r="F3324" s="3" t="s">
        <v>952</v>
      </c>
      <c r="G3324" s="3" t="s">
        <v>2152</v>
      </c>
      <c r="H3324" s="2" t="s">
        <v>62</v>
      </c>
      <c r="I3324" s="2" t="s">
        <v>7624</v>
      </c>
      <c r="J3324" s="3" t="str">
        <f>HYPERLINK("https://www.boe.es/gazeta/dias/1814/12/22/pdfs/GMD-1814-169.pdf#page=6","Abrir facsímil")</f>
        <v>Abrir facsímil</v>
      </c>
      <c r="K3324" s="3" t="s">
        <v>64</v>
      </c>
    </row>
    <row r="3325" spans="1:11" ht="42" customHeight="1">
      <c r="A3325" s="2" t="s">
        <v>7625</v>
      </c>
      <c r="B3325" s="2" t="s">
        <v>7625</v>
      </c>
      <c r="C3325" s="2" t="s">
        <v>45</v>
      </c>
      <c r="D3325" s="2" t="s">
        <v>18</v>
      </c>
      <c r="E3325" s="5">
        <v>-31301</v>
      </c>
      <c r="F3325" s="3" t="s">
        <v>81</v>
      </c>
      <c r="G3325" s="3" t="s">
        <v>52</v>
      </c>
      <c r="H3325" s="2" t="s">
        <v>62</v>
      </c>
      <c r="I3325" s="2" t="s">
        <v>7626</v>
      </c>
      <c r="J3325" s="3" t="str">
        <f>HYPERLINK("https://www.boe.es/gazeta/dias/1814/04/19/pdfs/GRE-1814-56.pdf#page=8","Abrir facsímil")</f>
        <v>Abrir facsímil</v>
      </c>
      <c r="K3325" s="3" t="s">
        <v>64</v>
      </c>
    </row>
    <row r="3326" spans="1:11" ht="42" customHeight="1">
      <c r="A3326" s="2" t="s">
        <v>7625</v>
      </c>
      <c r="B3326" s="2" t="s">
        <v>7625</v>
      </c>
      <c r="C3326" s="2" t="s">
        <v>26</v>
      </c>
      <c r="D3326" s="2" t="s">
        <v>27</v>
      </c>
      <c r="E3326" s="5">
        <v>-31217</v>
      </c>
      <c r="F3326" s="3" t="s">
        <v>506</v>
      </c>
      <c r="G3326" s="3" t="s">
        <v>322</v>
      </c>
      <c r="H3326" s="2" t="s">
        <v>62</v>
      </c>
      <c r="I3326" s="2" t="s">
        <v>7627</v>
      </c>
      <c r="J3326" s="3" t="str">
        <f>HYPERLINK("https://www.boe.es/gazeta/dias/1814/07/12/pdfs/GMD-1814-97.pdf#page=12","Abrir facsímil")</f>
        <v>Abrir facsímil</v>
      </c>
      <c r="K3326" s="3" t="s">
        <v>64</v>
      </c>
    </row>
    <row r="3327" spans="1:11" ht="42" customHeight="1">
      <c r="A3327" s="2" t="s">
        <v>7625</v>
      </c>
      <c r="B3327" s="2" t="s">
        <v>7625</v>
      </c>
      <c r="C3327" s="2" t="s">
        <v>38</v>
      </c>
      <c r="D3327" s="2" t="s">
        <v>39</v>
      </c>
      <c r="E3327" s="5">
        <v>-31185</v>
      </c>
      <c r="F3327" s="3" t="s">
        <v>1238</v>
      </c>
      <c r="G3327" s="3" t="s">
        <v>52</v>
      </c>
      <c r="H3327" s="2" t="s">
        <v>62</v>
      </c>
      <c r="I3327" s="2" t="s">
        <v>7628</v>
      </c>
      <c r="J3327" s="3" t="str">
        <f>HYPERLINK("https://www.boe.es/gazeta/dias/1814/08/13/pdfs/GMD-1814-111.pdf#page=8","Abrir facsímil")</f>
        <v>Abrir facsímil</v>
      </c>
      <c r="K3327" s="3" t="s">
        <v>64</v>
      </c>
    </row>
    <row r="3328" spans="1:11" ht="42" customHeight="1">
      <c r="A3328" s="2" t="s">
        <v>7625</v>
      </c>
      <c r="B3328" s="2" t="s">
        <v>7625</v>
      </c>
      <c r="C3328" s="2" t="s">
        <v>38</v>
      </c>
      <c r="D3328" s="2" t="s">
        <v>39</v>
      </c>
      <c r="E3328" s="5">
        <v>-31119</v>
      </c>
      <c r="F3328" s="3" t="s">
        <v>136</v>
      </c>
      <c r="G3328" s="3" t="s">
        <v>322</v>
      </c>
      <c r="H3328" s="2" t="s">
        <v>62</v>
      </c>
      <c r="I3328" s="2" t="s">
        <v>7629</v>
      </c>
      <c r="J3328" s="3" t="str">
        <f>HYPERLINK("https://www.boe.es/gazeta/dias/1814/10/18/pdfs/GMD-1814-140.pdf#page=12","Abrir facsímil")</f>
        <v>Abrir facsímil</v>
      </c>
      <c r="K3328" s="3" t="s">
        <v>64</v>
      </c>
    </row>
    <row r="3329" spans="1:11" ht="42" customHeight="1">
      <c r="A3329" s="2" t="s">
        <v>7630</v>
      </c>
      <c r="B3329" s="2" t="s">
        <v>7631</v>
      </c>
      <c r="C3329" s="2" t="s">
        <v>38</v>
      </c>
      <c r="D3329" s="2" t="s">
        <v>39</v>
      </c>
      <c r="E3329" s="5">
        <v>-31229</v>
      </c>
      <c r="F3329" s="3" t="s">
        <v>502</v>
      </c>
      <c r="G3329" s="3" t="s">
        <v>52</v>
      </c>
      <c r="H3329" s="2" t="s">
        <v>62</v>
      </c>
      <c r="I3329" s="2" t="s">
        <v>7632</v>
      </c>
      <c r="J3329" s="3" t="str">
        <f>HYPERLINK("https://www.boe.es/gazeta/dias/1814/06/30/pdfs/GMD-1814-92.pdf#page=8","Abrir facsímil")</f>
        <v>Abrir facsímil</v>
      </c>
      <c r="K3329" s="3" t="s">
        <v>64</v>
      </c>
    </row>
    <row r="3330" spans="1:11" ht="42" customHeight="1">
      <c r="A3330" s="2" t="s">
        <v>7633</v>
      </c>
      <c r="B3330" s="2" t="s">
        <v>7634</v>
      </c>
      <c r="C3330" s="2" t="s">
        <v>17</v>
      </c>
      <c r="D3330" s="2" t="s">
        <v>18</v>
      </c>
      <c r="E3330" s="5">
        <v>-31257</v>
      </c>
      <c r="F3330" s="3" t="s">
        <v>437</v>
      </c>
      <c r="G3330" s="3" t="s">
        <v>41</v>
      </c>
      <c r="H3330" s="2" t="s">
        <v>62</v>
      </c>
      <c r="I3330" s="2" t="s">
        <v>7635</v>
      </c>
      <c r="J3330" s="3" t="str">
        <f>HYPERLINK("https://www.boe.es/gazeta/dias/1814/06/02/pdfs/GMD-1814-80.pdf#page=4","Abrir facsímil")</f>
        <v>Abrir facsímil</v>
      </c>
      <c r="K3330" s="3" t="s">
        <v>64</v>
      </c>
    </row>
    <row r="3331" spans="1:11" ht="42" customHeight="1">
      <c r="A3331" s="2" t="s">
        <v>7636</v>
      </c>
      <c r="B3331" s="2" t="s">
        <v>7637</v>
      </c>
      <c r="C3331" s="2" t="s">
        <v>309</v>
      </c>
      <c r="D3331" s="2" t="s">
        <v>18</v>
      </c>
      <c r="E3331" s="5">
        <v>-31098</v>
      </c>
      <c r="F3331" s="3" t="s">
        <v>290</v>
      </c>
      <c r="G3331" s="3" t="s">
        <v>310</v>
      </c>
      <c r="H3331" s="2" t="s">
        <v>62</v>
      </c>
      <c r="I3331" s="2" t="s">
        <v>7638</v>
      </c>
      <c r="J3331" s="3" t="str">
        <f>HYPERLINK("https://www.boe.es/gazeta/dias/1814/11/08/pdfs/GMD-1814-149.pdf#page=8","Abrir facsímil")</f>
        <v>Abrir facsímil</v>
      </c>
      <c r="K3331" s="3" t="s">
        <v>64</v>
      </c>
    </row>
    <row r="3332" spans="1:11" ht="42" customHeight="1">
      <c r="A3332" s="2" t="s">
        <v>7639</v>
      </c>
      <c r="B3332" s="2" t="s">
        <v>7640</v>
      </c>
      <c r="C3332" s="2" t="s">
        <v>38</v>
      </c>
      <c r="D3332" s="2" t="s">
        <v>39</v>
      </c>
      <c r="E3332" s="5">
        <v>-31257</v>
      </c>
      <c r="F3332" s="3" t="s">
        <v>437</v>
      </c>
      <c r="G3332" s="3" t="s">
        <v>57</v>
      </c>
      <c r="H3332" s="2" t="s">
        <v>62</v>
      </c>
      <c r="I3332" s="2" t="s">
        <v>7641</v>
      </c>
      <c r="J3332" s="3" t="str">
        <f>HYPERLINK("https://www.boe.es/gazeta/dias/1814/06/02/pdfs/GMD-1814-80.pdf#page=6","Abrir facsímil")</f>
        <v>Abrir facsímil</v>
      </c>
      <c r="K3332" s="3" t="s">
        <v>64</v>
      </c>
    </row>
    <row r="3333" spans="1:11" ht="42" customHeight="1">
      <c r="A3333" s="2" t="s">
        <v>7642</v>
      </c>
      <c r="B3333" s="2" t="s">
        <v>7643</v>
      </c>
      <c r="C3333" s="2" t="s">
        <v>38</v>
      </c>
      <c r="D3333" s="2" t="s">
        <v>39</v>
      </c>
      <c r="E3333" s="5">
        <v>-31194</v>
      </c>
      <c r="F3333" s="3" t="s">
        <v>333</v>
      </c>
      <c r="G3333" s="3" t="s">
        <v>107</v>
      </c>
      <c r="H3333" s="2" t="s">
        <v>62</v>
      </c>
      <c r="I3333" s="2" t="s">
        <v>7644</v>
      </c>
      <c r="J3333" s="3" t="str">
        <f>HYPERLINK("https://www.boe.es/gazeta/dias/1814/08/04/pdfs/GMD-1814-107.pdf#page=1","Abrir facsímil")</f>
        <v>Abrir facsímil</v>
      </c>
      <c r="K3333" s="3" t="s">
        <v>64</v>
      </c>
    </row>
    <row r="3334" spans="1:11" ht="42" customHeight="1">
      <c r="A3334" s="2" t="s">
        <v>7645</v>
      </c>
      <c r="B3334" s="2" t="s">
        <v>7646</v>
      </c>
      <c r="C3334" s="2" t="s">
        <v>38</v>
      </c>
      <c r="D3334" s="2" t="s">
        <v>39</v>
      </c>
      <c r="E3334" s="5">
        <v>-31224</v>
      </c>
      <c r="F3334" s="3" t="s">
        <v>609</v>
      </c>
      <c r="G3334" s="3" t="s">
        <v>99</v>
      </c>
      <c r="H3334" s="2" t="s">
        <v>62</v>
      </c>
      <c r="I3334" s="2" t="s">
        <v>7647</v>
      </c>
      <c r="J3334" s="3" t="str">
        <f>HYPERLINK("https://www.boe.es/gazeta/dias/1814/07/05/pdfs/GMD-1814-94.pdf#page=5","Abrir facsímil")</f>
        <v>Abrir facsímil</v>
      </c>
      <c r="K3334" s="3" t="s">
        <v>64</v>
      </c>
    </row>
    <row r="3335" spans="1:11" ht="42" customHeight="1">
      <c r="A3335" s="2" t="s">
        <v>7648</v>
      </c>
      <c r="B3335" s="2" t="s">
        <v>7649</v>
      </c>
      <c r="C3335" s="2" t="s">
        <v>17</v>
      </c>
      <c r="D3335" s="2" t="s">
        <v>18</v>
      </c>
      <c r="E3335" s="5">
        <v>-31119</v>
      </c>
      <c r="F3335" s="3" t="s">
        <v>136</v>
      </c>
      <c r="G3335" s="3" t="s">
        <v>137</v>
      </c>
      <c r="H3335" s="2" t="s">
        <v>62</v>
      </c>
      <c r="I3335" s="2" t="s">
        <v>7650</v>
      </c>
      <c r="J3335" s="3" t="str">
        <f>HYPERLINK("https://www.boe.es/gazeta/dias/1814/10/18/pdfs/GMD-1814-140.pdf#page=9","Abrir facsímil")</f>
        <v>Abrir facsímil</v>
      </c>
      <c r="K3335" s="3" t="s">
        <v>64</v>
      </c>
    </row>
    <row r="3336" spans="1:11" ht="42" customHeight="1">
      <c r="A3336" s="2" t="s">
        <v>7651</v>
      </c>
      <c r="B3336" s="2" t="s">
        <v>7652</v>
      </c>
      <c r="C3336" s="2" t="s">
        <v>38</v>
      </c>
      <c r="D3336" s="2" t="s">
        <v>39</v>
      </c>
      <c r="E3336" s="5">
        <v>-31238</v>
      </c>
      <c r="F3336" s="3" t="s">
        <v>127</v>
      </c>
      <c r="G3336" s="3" t="s">
        <v>20</v>
      </c>
      <c r="H3336" s="2" t="s">
        <v>62</v>
      </c>
      <c r="I3336" s="2" t="s">
        <v>7653</v>
      </c>
      <c r="J3336" s="3" t="str">
        <f>HYPERLINK("https://www.boe.es/gazeta/dias/1814/06/21/pdfs/GMD-1814-88.pdf#page=7","Abrir facsímil")</f>
        <v>Abrir facsímil</v>
      </c>
      <c r="K3336" s="3" t="s">
        <v>64</v>
      </c>
    </row>
    <row r="3337" spans="1:11" ht="42" customHeight="1">
      <c r="A3337" s="2" t="s">
        <v>7654</v>
      </c>
      <c r="B3337" s="2" t="s">
        <v>7654</v>
      </c>
      <c r="C3337" s="2" t="s">
        <v>38</v>
      </c>
      <c r="D3337" s="2" t="s">
        <v>39</v>
      </c>
      <c r="E3337" s="5">
        <v>-31299</v>
      </c>
      <c r="F3337" s="3" t="s">
        <v>71</v>
      </c>
      <c r="G3337" s="3" t="s">
        <v>57</v>
      </c>
      <c r="H3337" s="2" t="s">
        <v>62</v>
      </c>
      <c r="I3337" s="2" t="s">
        <v>7655</v>
      </c>
      <c r="J3337" s="3" t="str">
        <f>HYPERLINK("https://www.boe.es/gazeta/dias/1814/04/21/pdfs/GRE-1814-57.pdf#page=6","Abrir facsímil")</f>
        <v>Abrir facsímil</v>
      </c>
      <c r="K3337" s="3" t="s">
        <v>64</v>
      </c>
    </row>
    <row r="3338" spans="1:11" ht="42" customHeight="1">
      <c r="A3338" s="2" t="s">
        <v>7656</v>
      </c>
      <c r="B3338" s="2" t="s">
        <v>7657</v>
      </c>
      <c r="C3338" s="2" t="s">
        <v>17</v>
      </c>
      <c r="D3338" s="2" t="s">
        <v>18</v>
      </c>
      <c r="E3338" s="5">
        <v>-31063</v>
      </c>
      <c r="F3338" s="3" t="s">
        <v>649</v>
      </c>
      <c r="G3338" s="3" t="s">
        <v>99</v>
      </c>
      <c r="H3338" s="2" t="s">
        <v>62</v>
      </c>
      <c r="I3338" s="2" t="s">
        <v>7658</v>
      </c>
      <c r="J3338" s="3" t="str">
        <f>HYPERLINK("https://www.boe.es/gazeta/dias/1814/12/13/pdfs/GMD-1814-164.pdf#page=5","Abrir facsímil")</f>
        <v>Abrir facsímil</v>
      </c>
      <c r="K3338" s="3" t="s">
        <v>64</v>
      </c>
    </row>
    <row r="3339" spans="1:11" ht="42" customHeight="1">
      <c r="A3339" s="2" t="s">
        <v>7659</v>
      </c>
      <c r="B3339" s="2" t="s">
        <v>7660</v>
      </c>
      <c r="C3339" s="2" t="s">
        <v>144</v>
      </c>
      <c r="D3339" s="2" t="s">
        <v>18</v>
      </c>
      <c r="E3339" s="5">
        <v>-31364</v>
      </c>
      <c r="F3339" s="3" t="s">
        <v>594</v>
      </c>
      <c r="G3339" s="3" t="s">
        <v>52</v>
      </c>
      <c r="H3339" s="2" t="s">
        <v>62</v>
      </c>
      <c r="I3339" s="2" t="s">
        <v>7661</v>
      </c>
      <c r="J3339" s="3" t="str">
        <f>HYPERLINK("https://www.boe.es/gazeta/dias/1814/02/15/pdfs/GRE-1814-21.pdf#page=8","Abrir facsímil")</f>
        <v>Abrir facsímil</v>
      </c>
      <c r="K3339" s="3" t="s">
        <v>64</v>
      </c>
    </row>
    <row r="3340" spans="1:11" ht="42" customHeight="1">
      <c r="A3340" s="2" t="s">
        <v>7662</v>
      </c>
      <c r="B3340" s="2" t="s">
        <v>7663</v>
      </c>
      <c r="C3340" s="2" t="s">
        <v>26</v>
      </c>
      <c r="D3340" s="2" t="s">
        <v>27</v>
      </c>
      <c r="E3340" s="5">
        <v>-31061</v>
      </c>
      <c r="F3340" s="3" t="s">
        <v>329</v>
      </c>
      <c r="G3340" s="3" t="s">
        <v>41</v>
      </c>
      <c r="H3340" s="2" t="s">
        <v>62</v>
      </c>
      <c r="I3340" s="2" t="s">
        <v>7664</v>
      </c>
      <c r="J3340" s="3" t="str">
        <f>HYPERLINK("https://www.boe.es/gazeta/dias/1814/12/15/pdfs/GMD-1814-165.pdf#page=4","Abrir facsímil")</f>
        <v>Abrir facsímil</v>
      </c>
      <c r="K3340" s="3" t="s">
        <v>64</v>
      </c>
    </row>
    <row r="3341" spans="1:11" ht="42" customHeight="1">
      <c r="A3341" s="2" t="s">
        <v>7665</v>
      </c>
      <c r="B3341" s="2" t="s">
        <v>7666</v>
      </c>
      <c r="C3341" s="2" t="s">
        <v>38</v>
      </c>
      <c r="D3341" s="2" t="s">
        <v>314</v>
      </c>
      <c r="E3341" s="5">
        <v>-31296</v>
      </c>
      <c r="F3341" s="3" t="s">
        <v>315</v>
      </c>
      <c r="G3341" s="3" t="s">
        <v>57</v>
      </c>
      <c r="H3341" s="2" t="s">
        <v>62</v>
      </c>
      <c r="I3341" s="2" t="s">
        <v>7667</v>
      </c>
      <c r="J3341" s="3" t="str">
        <f>HYPERLINK("https://www.boe.es/gazeta/dias/1814/04/24/pdfs/GRE-1814-60E.pdf#page=6","Abrir facsímil")</f>
        <v>Abrir facsímil</v>
      </c>
      <c r="K3341" s="3" t="s">
        <v>64</v>
      </c>
    </row>
    <row r="3342" spans="1:11" ht="42" customHeight="1">
      <c r="A3342" s="2" t="s">
        <v>7668</v>
      </c>
      <c r="B3342" s="2" t="s">
        <v>7669</v>
      </c>
      <c r="C3342" s="2" t="s">
        <v>38</v>
      </c>
      <c r="D3342" s="2" t="s">
        <v>39</v>
      </c>
      <c r="E3342" s="5">
        <v>-31404</v>
      </c>
      <c r="F3342" s="3" t="s">
        <v>630</v>
      </c>
      <c r="G3342" s="3" t="s">
        <v>1095</v>
      </c>
      <c r="H3342" s="2" t="s">
        <v>62</v>
      </c>
      <c r="I3342" s="2" t="s">
        <v>7670</v>
      </c>
      <c r="J3342" s="3" t="str">
        <f>HYPERLINK("https://www.boe.es/gazeta/dias/1814/01/06/pdfs/GRE-1814-3.pdf#page=7","Abrir facsímil")</f>
        <v>Abrir facsímil</v>
      </c>
      <c r="K3342" s="3" t="s">
        <v>64</v>
      </c>
    </row>
    <row r="3343" spans="1:11" ht="42" customHeight="1">
      <c r="A3343" s="2" t="s">
        <v>7671</v>
      </c>
      <c r="B3343" s="2" t="s">
        <v>7672</v>
      </c>
      <c r="C3343" s="2" t="s">
        <v>26</v>
      </c>
      <c r="D3343" s="2" t="s">
        <v>27</v>
      </c>
      <c r="E3343" s="5">
        <v>-31248</v>
      </c>
      <c r="F3343" s="3" t="s">
        <v>1123</v>
      </c>
      <c r="G3343" s="3" t="s">
        <v>2411</v>
      </c>
      <c r="H3343" s="2" t="s">
        <v>62</v>
      </c>
      <c r="I3343" s="2" t="s">
        <v>7673</v>
      </c>
      <c r="J3343" s="3" t="str">
        <f>HYPERLINK("https://www.boe.es/gazeta/dias/1814/06/11/pdfs/GMD-1814-84.pdf#page=6","Abrir facsímil")</f>
        <v>Abrir facsímil</v>
      </c>
      <c r="K3343" s="3" t="s">
        <v>64</v>
      </c>
    </row>
    <row r="3344" spans="1:11" ht="42" customHeight="1">
      <c r="A3344" s="2" t="s">
        <v>7674</v>
      </c>
      <c r="B3344" s="2" t="s">
        <v>7674</v>
      </c>
      <c r="C3344" s="2" t="s">
        <v>38</v>
      </c>
      <c r="D3344" s="2" t="s">
        <v>39</v>
      </c>
      <c r="E3344" s="5">
        <v>-31385</v>
      </c>
      <c r="F3344" s="3" t="s">
        <v>783</v>
      </c>
      <c r="G3344" s="3" t="s">
        <v>87</v>
      </c>
      <c r="H3344" s="2" t="s">
        <v>62</v>
      </c>
      <c r="I3344" s="2" t="s">
        <v>7675</v>
      </c>
      <c r="J3344" s="3" t="str">
        <f>HYPERLINK("https://www.boe.es/gazeta/dias/1814/01/25/pdfs/GRE-1814-12.pdf#page=2","Abrir facsímil")</f>
        <v>Abrir facsímil</v>
      </c>
      <c r="K3344" s="3" t="s">
        <v>64</v>
      </c>
    </row>
    <row r="3345" spans="1:11" ht="42" customHeight="1">
      <c r="A3345" s="2" t="s">
        <v>7674</v>
      </c>
      <c r="B3345" s="2" t="s">
        <v>7674</v>
      </c>
      <c r="C3345" s="2" t="s">
        <v>38</v>
      </c>
      <c r="D3345" s="2" t="s">
        <v>39</v>
      </c>
      <c r="E3345" s="5">
        <v>-31385</v>
      </c>
      <c r="F3345" s="3" t="s">
        <v>783</v>
      </c>
      <c r="G3345" s="3" t="s">
        <v>82</v>
      </c>
      <c r="H3345" s="2" t="s">
        <v>62</v>
      </c>
      <c r="I3345" s="2" t="s">
        <v>7676</v>
      </c>
      <c r="J3345" s="3" t="str">
        <f>HYPERLINK("https://www.boe.es/gazeta/dias/1814/01/25/pdfs/GRE-1814-12.pdf#page=3","Abrir facsímil")</f>
        <v>Abrir facsímil</v>
      </c>
      <c r="K3345" s="3" t="s">
        <v>64</v>
      </c>
    </row>
    <row r="3346" spans="1:11" ht="42" customHeight="1">
      <c r="A3346" s="2" t="s">
        <v>7677</v>
      </c>
      <c r="B3346" s="2" t="s">
        <v>7678</v>
      </c>
      <c r="C3346" s="2" t="s">
        <v>45</v>
      </c>
      <c r="D3346" s="2" t="s">
        <v>18</v>
      </c>
      <c r="E3346" s="5">
        <v>-31301</v>
      </c>
      <c r="F3346" s="3" t="s">
        <v>81</v>
      </c>
      <c r="G3346" s="3" t="s">
        <v>52</v>
      </c>
      <c r="H3346" s="2" t="s">
        <v>62</v>
      </c>
      <c r="I3346" s="2" t="s">
        <v>7679</v>
      </c>
      <c r="J3346" s="3" t="str">
        <f>HYPERLINK("https://www.boe.es/gazeta/dias/1814/04/19/pdfs/GRE-1814-56.pdf#page=8","Abrir facsímil")</f>
        <v>Abrir facsímil</v>
      </c>
      <c r="K3346" s="3" t="s">
        <v>64</v>
      </c>
    </row>
    <row r="3347" spans="1:11" ht="42" customHeight="1">
      <c r="A3347" s="2" t="s">
        <v>7680</v>
      </c>
      <c r="B3347" s="2" t="s">
        <v>7680</v>
      </c>
      <c r="C3347" s="2" t="s">
        <v>38</v>
      </c>
      <c r="D3347" s="2" t="s">
        <v>39</v>
      </c>
      <c r="E3347" s="5">
        <v>-31334</v>
      </c>
      <c r="F3347" s="3" t="s">
        <v>482</v>
      </c>
      <c r="G3347" s="3" t="s">
        <v>82</v>
      </c>
      <c r="H3347" s="2" t="s">
        <v>62</v>
      </c>
      <c r="I3347" s="2" t="s">
        <v>7681</v>
      </c>
      <c r="J3347" s="3" t="str">
        <f>HYPERLINK("https://www.boe.es/gazeta/dias/1814/03/17/pdfs/GRE-1814-37.pdf#page=3","Abrir facsímil")</f>
        <v>Abrir facsímil</v>
      </c>
      <c r="K3347" s="3" t="s">
        <v>64</v>
      </c>
    </row>
    <row r="3348" spans="1:11" ht="42" customHeight="1">
      <c r="A3348" s="2" t="s">
        <v>7680</v>
      </c>
      <c r="B3348" s="2" t="s">
        <v>7680</v>
      </c>
      <c r="C3348" s="2" t="s">
        <v>38</v>
      </c>
      <c r="D3348" s="2" t="s">
        <v>39</v>
      </c>
      <c r="E3348" s="5">
        <v>-31329</v>
      </c>
      <c r="F3348" s="3" t="s">
        <v>621</v>
      </c>
      <c r="G3348" s="3" t="s">
        <v>82</v>
      </c>
      <c r="H3348" s="2" t="s">
        <v>62</v>
      </c>
      <c r="I3348" s="2" t="s">
        <v>7682</v>
      </c>
      <c r="J3348" s="3" t="str">
        <f>HYPERLINK("https://www.boe.es/gazeta/dias/1814/03/22/pdfs/GRE-1814-39.pdf#page=3","Abrir facsímil")</f>
        <v>Abrir facsímil</v>
      </c>
      <c r="K3348" s="3" t="s">
        <v>64</v>
      </c>
    </row>
    <row r="3349" spans="1:11" ht="42" customHeight="1">
      <c r="A3349" s="2" t="s">
        <v>7680</v>
      </c>
      <c r="B3349" s="2" t="s">
        <v>7680</v>
      </c>
      <c r="C3349" s="2" t="s">
        <v>38</v>
      </c>
      <c r="D3349" s="2" t="s">
        <v>39</v>
      </c>
      <c r="E3349" s="5">
        <v>-31327</v>
      </c>
      <c r="F3349" s="3" t="s">
        <v>180</v>
      </c>
      <c r="G3349" s="3" t="s">
        <v>87</v>
      </c>
      <c r="H3349" s="2" t="s">
        <v>62</v>
      </c>
      <c r="I3349" s="2" t="s">
        <v>7683</v>
      </c>
      <c r="J3349" s="3" t="str">
        <f>HYPERLINK("https://www.boe.es/gazeta/dias/1814/03/24/pdfs/GRE-1814-41.pdf#page=2","Abrir facsímil")</f>
        <v>Abrir facsímil</v>
      </c>
      <c r="K3349" s="3" t="s">
        <v>64</v>
      </c>
    </row>
    <row r="3350" spans="1:11" ht="42" customHeight="1">
      <c r="A3350" s="2" t="s">
        <v>7680</v>
      </c>
      <c r="B3350" s="2" t="s">
        <v>7680</v>
      </c>
      <c r="C3350" s="2" t="s">
        <v>38</v>
      </c>
      <c r="D3350" s="2" t="s">
        <v>39</v>
      </c>
      <c r="E3350" s="5">
        <v>-31327</v>
      </c>
      <c r="F3350" s="3" t="s">
        <v>180</v>
      </c>
      <c r="G3350" s="3" t="s">
        <v>99</v>
      </c>
      <c r="H3350" s="2" t="s">
        <v>62</v>
      </c>
      <c r="I3350" s="2" t="s">
        <v>7684</v>
      </c>
      <c r="J3350" s="3" t="str">
        <f>HYPERLINK("https://www.boe.es/gazeta/dias/1814/03/24/pdfs/GRE-1814-41.pdf#page=5","Abrir facsímil")</f>
        <v>Abrir facsímil</v>
      </c>
      <c r="K3350" s="3" t="s">
        <v>64</v>
      </c>
    </row>
    <row r="3351" spans="1:11" ht="42" customHeight="1">
      <c r="A3351" s="2" t="s">
        <v>7680</v>
      </c>
      <c r="B3351" s="2" t="s">
        <v>7680</v>
      </c>
      <c r="C3351" s="2" t="s">
        <v>38</v>
      </c>
      <c r="D3351" s="2" t="s">
        <v>39</v>
      </c>
      <c r="E3351" s="5">
        <v>-31322</v>
      </c>
      <c r="F3351" s="3" t="s">
        <v>114</v>
      </c>
      <c r="G3351" s="3" t="s">
        <v>99</v>
      </c>
      <c r="H3351" s="2" t="s">
        <v>62</v>
      </c>
      <c r="I3351" s="2" t="s">
        <v>7685</v>
      </c>
      <c r="J3351" s="3" t="str">
        <f>HYPERLINK("https://www.boe.es/gazeta/dias/1814/03/29/pdfs/GRE-1814-44.pdf#page=5","Abrir facsímil")</f>
        <v>Abrir facsímil</v>
      </c>
      <c r="K3351" s="3" t="s">
        <v>64</v>
      </c>
    </row>
    <row r="3352" spans="1:11" ht="42" customHeight="1">
      <c r="A3352" s="2" t="s">
        <v>7680</v>
      </c>
      <c r="B3352" s="2" t="s">
        <v>7680</v>
      </c>
      <c r="C3352" s="2" t="s">
        <v>38</v>
      </c>
      <c r="D3352" s="2" t="s">
        <v>39</v>
      </c>
      <c r="E3352" s="5">
        <v>-31318</v>
      </c>
      <c r="F3352" s="3" t="s">
        <v>400</v>
      </c>
      <c r="G3352" s="3" t="s">
        <v>82</v>
      </c>
      <c r="H3352" s="2" t="s">
        <v>62</v>
      </c>
      <c r="I3352" s="2" t="s">
        <v>7686</v>
      </c>
      <c r="J3352" s="3" t="str">
        <f>HYPERLINK("https://www.boe.es/gazeta/dias/1814/04/02/pdfs/GRE-1814-47.pdf#page=3","Abrir facsímil")</f>
        <v>Abrir facsímil</v>
      </c>
      <c r="K3352" s="3" t="s">
        <v>64</v>
      </c>
    </row>
    <row r="3353" spans="1:11" ht="42" customHeight="1">
      <c r="A3353" s="2" t="s">
        <v>7680</v>
      </c>
      <c r="B3353" s="2" t="s">
        <v>7680</v>
      </c>
      <c r="C3353" s="2" t="s">
        <v>38</v>
      </c>
      <c r="D3353" s="2" t="s">
        <v>314</v>
      </c>
      <c r="E3353" s="5">
        <v>-31299</v>
      </c>
      <c r="F3353" s="3" t="s">
        <v>484</v>
      </c>
      <c r="G3353" s="3" t="s">
        <v>107</v>
      </c>
      <c r="H3353" s="2" t="s">
        <v>62</v>
      </c>
      <c r="I3353" s="2" t="s">
        <v>7687</v>
      </c>
      <c r="J3353" s="3" t="str">
        <f>HYPERLINK("https://www.boe.es/gazeta/dias/1814/04/21/pdfs/GRE-1814-58E.pdf#page=1","Abrir facsímil")</f>
        <v>Abrir facsímil</v>
      </c>
      <c r="K3353" s="3" t="s">
        <v>64</v>
      </c>
    </row>
    <row r="3354" spans="1:11" ht="42" customHeight="1">
      <c r="A3354" s="2" t="s">
        <v>7680</v>
      </c>
      <c r="B3354" s="2" t="s">
        <v>7680</v>
      </c>
      <c r="C3354" s="2" t="s">
        <v>105</v>
      </c>
      <c r="D3354" s="2" t="s">
        <v>18</v>
      </c>
      <c r="E3354" s="5">
        <v>-31297</v>
      </c>
      <c r="F3354" s="3" t="s">
        <v>737</v>
      </c>
      <c r="G3354" s="3" t="s">
        <v>2067</v>
      </c>
      <c r="H3354" s="2" t="s">
        <v>62</v>
      </c>
      <c r="I3354" s="2" t="s">
        <v>7688</v>
      </c>
      <c r="J3354" s="3" t="str">
        <f>HYPERLINK("https://www.boe.es/gazeta/dias/1814/04/23/pdfs/GRE-1814-59.pdf#page=3","Abrir facsímil")</f>
        <v>Abrir facsímil</v>
      </c>
      <c r="K3354" s="3" t="s">
        <v>64</v>
      </c>
    </row>
    <row r="3355" spans="1:11" ht="42" customHeight="1">
      <c r="A3355" s="2" t="s">
        <v>7680</v>
      </c>
      <c r="B3355" s="2" t="s">
        <v>7680</v>
      </c>
      <c r="C3355" s="2" t="s">
        <v>38</v>
      </c>
      <c r="D3355" s="2" t="s">
        <v>39</v>
      </c>
      <c r="E3355" s="5">
        <v>-31276</v>
      </c>
      <c r="F3355" s="3" t="s">
        <v>494</v>
      </c>
      <c r="G3355" s="3" t="s">
        <v>107</v>
      </c>
      <c r="H3355" s="2" t="s">
        <v>62</v>
      </c>
      <c r="I3355" s="2" t="s">
        <v>7689</v>
      </c>
      <c r="J3355" s="3" t="str">
        <f>HYPERLINK("https://www.boe.es/gazeta/dias/1814/05/14/pdfs/GMD-1814-71.pdf#page=1","Abrir facsímil")</f>
        <v>Abrir facsímil</v>
      </c>
      <c r="K3355" s="3" t="s">
        <v>64</v>
      </c>
    </row>
    <row r="3356" spans="1:11" ht="42" customHeight="1">
      <c r="A3356" s="2" t="s">
        <v>7680</v>
      </c>
      <c r="B3356" s="2" t="s">
        <v>7680</v>
      </c>
      <c r="C3356" s="2" t="s">
        <v>17</v>
      </c>
      <c r="D3356" s="2" t="s">
        <v>18</v>
      </c>
      <c r="E3356" s="5">
        <v>-31271</v>
      </c>
      <c r="F3356" s="3" t="s">
        <v>243</v>
      </c>
      <c r="G3356" s="3" t="s">
        <v>87</v>
      </c>
      <c r="H3356" s="2" t="s">
        <v>62</v>
      </c>
      <c r="I3356" s="2" t="s">
        <v>7690</v>
      </c>
      <c r="J3356" s="3" t="str">
        <f>HYPERLINK("https://www.boe.es/gazeta/dias/1814/05/19/pdfs/GMD-1814-74.pdf#page=2","Abrir facsímil")</f>
        <v>Abrir facsímil</v>
      </c>
      <c r="K3356" s="3" t="s">
        <v>64</v>
      </c>
    </row>
    <row r="3357" spans="1:11" ht="42" customHeight="1">
      <c r="A3357" s="2" t="s">
        <v>7691</v>
      </c>
      <c r="B3357" s="2" t="s">
        <v>7692</v>
      </c>
      <c r="C3357" s="2" t="s">
        <v>38</v>
      </c>
      <c r="D3357" s="2" t="s">
        <v>314</v>
      </c>
      <c r="E3357" s="5">
        <v>-31296</v>
      </c>
      <c r="F3357" s="3" t="s">
        <v>315</v>
      </c>
      <c r="G3357" s="3" t="s">
        <v>20</v>
      </c>
      <c r="H3357" s="2" t="s">
        <v>62</v>
      </c>
      <c r="I3357" s="2" t="s">
        <v>7693</v>
      </c>
      <c r="J3357" s="3" t="str">
        <f>HYPERLINK("https://www.boe.es/gazeta/dias/1814/04/24/pdfs/GRE-1814-60E.pdf#page=7","Abrir facsímil")</f>
        <v>Abrir facsímil</v>
      </c>
      <c r="K3357" s="3" t="s">
        <v>64</v>
      </c>
    </row>
    <row r="3358" spans="1:11" ht="42" customHeight="1">
      <c r="A3358" s="2" t="s">
        <v>7694</v>
      </c>
      <c r="B3358" s="2" t="s">
        <v>7694</v>
      </c>
      <c r="C3358" s="2" t="s">
        <v>38</v>
      </c>
      <c r="D3358" s="2" t="s">
        <v>39</v>
      </c>
      <c r="E3358" s="5">
        <v>-31364</v>
      </c>
      <c r="F3358" s="3" t="s">
        <v>594</v>
      </c>
      <c r="G3358" s="3" t="s">
        <v>82</v>
      </c>
      <c r="H3358" s="2" t="s">
        <v>62</v>
      </c>
      <c r="I3358" s="2" t="s">
        <v>7695</v>
      </c>
      <c r="J3358" s="3" t="str">
        <f>HYPERLINK("https://www.boe.es/gazeta/dias/1814/02/15/pdfs/GRE-1814-21.pdf#page=3","Abrir facsímil")</f>
        <v>Abrir facsímil</v>
      </c>
      <c r="K3358" s="3" t="s">
        <v>64</v>
      </c>
    </row>
    <row r="3359" spans="1:11" ht="42" customHeight="1">
      <c r="A3359" s="2" t="s">
        <v>7696</v>
      </c>
      <c r="B3359" s="2" t="s">
        <v>7697</v>
      </c>
      <c r="C3359" s="2" t="s">
        <v>26</v>
      </c>
      <c r="D3359" s="2" t="s">
        <v>27</v>
      </c>
      <c r="E3359" s="5">
        <v>-31061</v>
      </c>
      <c r="F3359" s="3" t="s">
        <v>329</v>
      </c>
      <c r="G3359" s="3" t="s">
        <v>873</v>
      </c>
      <c r="H3359" s="2" t="s">
        <v>62</v>
      </c>
      <c r="I3359" s="2" t="s">
        <v>7698</v>
      </c>
      <c r="J3359" s="3" t="str">
        <f>HYPERLINK("https://www.boe.es/gazeta/dias/1814/12/15/pdfs/GMD-1814-165.pdf#page=6","Abrir facsímil")</f>
        <v>Abrir facsímil</v>
      </c>
      <c r="K3359" s="3" t="s">
        <v>64</v>
      </c>
    </row>
    <row r="3360" spans="1:11" ht="42" customHeight="1">
      <c r="A3360" s="2" t="s">
        <v>7699</v>
      </c>
      <c r="B3360" s="2" t="s">
        <v>7700</v>
      </c>
      <c r="C3360" s="2" t="s">
        <v>26</v>
      </c>
      <c r="D3360" s="2" t="s">
        <v>27</v>
      </c>
      <c r="E3360" s="5">
        <v>-31182</v>
      </c>
      <c r="F3360" s="3" t="s">
        <v>19</v>
      </c>
      <c r="G3360" s="3" t="s">
        <v>20</v>
      </c>
      <c r="H3360" s="2" t="s">
        <v>62</v>
      </c>
      <c r="I3360" s="2" t="s">
        <v>7701</v>
      </c>
      <c r="J3360" s="3" t="str">
        <f>HYPERLINK("https://www.boe.es/gazeta/dias/1814/08/16/pdfs/GMD-1814-112.pdf#page=7","Abrir facsímil")</f>
        <v>Abrir facsímil</v>
      </c>
      <c r="K3360" s="3" t="s">
        <v>64</v>
      </c>
    </row>
    <row r="3361" spans="1:11" ht="42" customHeight="1">
      <c r="A3361" s="2" t="s">
        <v>7702</v>
      </c>
      <c r="B3361" s="2" t="s">
        <v>7702</v>
      </c>
      <c r="C3361" s="2" t="s">
        <v>26</v>
      </c>
      <c r="D3361" s="2" t="s">
        <v>27</v>
      </c>
      <c r="E3361" s="5">
        <v>-31063</v>
      </c>
      <c r="F3361" s="3" t="s">
        <v>649</v>
      </c>
      <c r="G3361" s="3" t="s">
        <v>52</v>
      </c>
      <c r="H3361" s="2" t="s">
        <v>62</v>
      </c>
      <c r="I3361" s="2" t="s">
        <v>7703</v>
      </c>
      <c r="J3361" s="3" t="str">
        <f>HYPERLINK("https://www.boe.es/gazeta/dias/1814/12/13/pdfs/GMD-1814-164.pdf#page=8","Abrir facsímil")</f>
        <v>Abrir facsímil</v>
      </c>
      <c r="K3361" s="3" t="s">
        <v>64</v>
      </c>
    </row>
    <row r="3362" spans="1:11" ht="42" customHeight="1">
      <c r="A3362" s="2" t="s">
        <v>7704</v>
      </c>
      <c r="B3362" s="2" t="s">
        <v>7705</v>
      </c>
      <c r="C3362" s="2" t="s">
        <v>26</v>
      </c>
      <c r="D3362" s="2" t="s">
        <v>27</v>
      </c>
      <c r="E3362" s="5">
        <v>-31112</v>
      </c>
      <c r="F3362" s="3" t="s">
        <v>707</v>
      </c>
      <c r="G3362" s="3" t="s">
        <v>99</v>
      </c>
      <c r="H3362" s="2" t="s">
        <v>62</v>
      </c>
      <c r="I3362" s="2" t="s">
        <v>7706</v>
      </c>
      <c r="J3362" s="3" t="str">
        <f>HYPERLINK("https://www.boe.es/gazeta/dias/1814/10/25/pdfs/GMD-1814-143.pdf#page=5","Abrir facsímil")</f>
        <v>Abrir facsímil</v>
      </c>
      <c r="K3362" s="3" t="s">
        <v>64</v>
      </c>
    </row>
    <row r="3363" spans="1:11" ht="42" customHeight="1">
      <c r="A3363" s="2" t="s">
        <v>7707</v>
      </c>
      <c r="B3363" s="2" t="s">
        <v>7708</v>
      </c>
      <c r="C3363" s="2" t="s">
        <v>45</v>
      </c>
      <c r="D3363" s="2" t="s">
        <v>18</v>
      </c>
      <c r="E3363" s="5">
        <v>-31115</v>
      </c>
      <c r="F3363" s="3" t="s">
        <v>805</v>
      </c>
      <c r="G3363" s="3" t="s">
        <v>99</v>
      </c>
      <c r="H3363" s="2" t="s">
        <v>62</v>
      </c>
      <c r="I3363" s="2" t="s">
        <v>7709</v>
      </c>
      <c r="J3363" s="3" t="str">
        <f>HYPERLINK("https://www.boe.es/gazeta/dias/1814/10/22/pdfs/GMD-1814-142.pdf#page=5","Abrir facsímil")</f>
        <v>Abrir facsímil</v>
      </c>
      <c r="K3363" s="3" t="s">
        <v>64</v>
      </c>
    </row>
    <row r="3364" spans="1:11" ht="42" customHeight="1">
      <c r="A3364" s="2" t="s">
        <v>7710</v>
      </c>
      <c r="B3364" s="2" t="s">
        <v>7711</v>
      </c>
      <c r="C3364" s="2" t="s">
        <v>26</v>
      </c>
      <c r="D3364" s="2" t="s">
        <v>27</v>
      </c>
      <c r="E3364" s="5">
        <v>-31091</v>
      </c>
      <c r="F3364" s="3" t="s">
        <v>1156</v>
      </c>
      <c r="G3364" s="3" t="s">
        <v>20</v>
      </c>
      <c r="H3364" s="2" t="s">
        <v>62</v>
      </c>
      <c r="I3364" s="2" t="s">
        <v>7712</v>
      </c>
      <c r="J3364" s="3" t="str">
        <f>HYPERLINK("https://www.boe.es/gazeta/dias/1814/11/15/pdfs/GMD-1814-152.pdf#page=7","Abrir facsímil")</f>
        <v>Abrir facsímil</v>
      </c>
      <c r="K3364" s="3" t="s">
        <v>64</v>
      </c>
    </row>
    <row r="3365" spans="1:11" ht="42" customHeight="1">
      <c r="A3365" s="2" t="s">
        <v>7713</v>
      </c>
      <c r="B3365" s="2" t="s">
        <v>7714</v>
      </c>
      <c r="C3365" s="2" t="s">
        <v>105</v>
      </c>
      <c r="D3365" s="2" t="s">
        <v>18</v>
      </c>
      <c r="E3365" s="5">
        <v>-31320</v>
      </c>
      <c r="F3365" s="3" t="s">
        <v>40</v>
      </c>
      <c r="G3365" s="3" t="s">
        <v>52</v>
      </c>
      <c r="H3365" s="2" t="s">
        <v>62</v>
      </c>
      <c r="I3365" s="2" t="s">
        <v>7715</v>
      </c>
      <c r="J3365" s="3" t="str">
        <f>HYPERLINK("https://www.boe.es/gazeta/dias/1814/03/31/pdfs/GRE-1814-46.pdf#page=8","Abrir facsímil")</f>
        <v>Abrir facsímil</v>
      </c>
      <c r="K3365" s="3" t="s">
        <v>64</v>
      </c>
    </row>
    <row r="3366" spans="1:11" ht="42" customHeight="1">
      <c r="A3366" s="2" t="s">
        <v>7713</v>
      </c>
      <c r="B3366" s="2" t="s">
        <v>7714</v>
      </c>
      <c r="C3366" s="2" t="s">
        <v>26</v>
      </c>
      <c r="D3366" s="2" t="s">
        <v>27</v>
      </c>
      <c r="E3366" s="5">
        <v>-31206</v>
      </c>
      <c r="F3366" s="3" t="s">
        <v>1196</v>
      </c>
      <c r="G3366" s="3" t="s">
        <v>20</v>
      </c>
      <c r="H3366" s="2" t="s">
        <v>62</v>
      </c>
      <c r="I3366" s="2" t="s">
        <v>7716</v>
      </c>
      <c r="J3366" s="3" t="str">
        <f>HYPERLINK("https://www.boe.es/gazeta/dias/1814/07/23/pdfs/GMD-1814-102.pdf#page=7","Abrir facsímil")</f>
        <v>Abrir facsímil</v>
      </c>
      <c r="K3366" s="3" t="s">
        <v>64</v>
      </c>
    </row>
    <row r="3367" spans="1:11" ht="42" customHeight="1">
      <c r="A3367" s="2" t="s">
        <v>7713</v>
      </c>
      <c r="B3367" s="2" t="s">
        <v>7714</v>
      </c>
      <c r="C3367" s="2" t="s">
        <v>26</v>
      </c>
      <c r="D3367" s="2" t="s">
        <v>27</v>
      </c>
      <c r="E3367" s="5">
        <v>-31196</v>
      </c>
      <c r="F3367" s="3" t="s">
        <v>828</v>
      </c>
      <c r="G3367" s="3" t="s">
        <v>2207</v>
      </c>
      <c r="H3367" s="2" t="s">
        <v>62</v>
      </c>
      <c r="I3367" s="2" t="s">
        <v>7717</v>
      </c>
      <c r="J3367" s="3" t="str">
        <f>HYPERLINK("https://www.boe.es/gazeta/dias/1814/08/02/pdfs/GMD-1814-106.pdf#page=5","Abrir facsímil")</f>
        <v>Abrir facsímil</v>
      </c>
      <c r="K3367" s="3" t="s">
        <v>64</v>
      </c>
    </row>
    <row r="3368" spans="1:11" ht="42" customHeight="1">
      <c r="A3368" s="2" t="s">
        <v>7713</v>
      </c>
      <c r="B3368" s="2" t="s">
        <v>7714</v>
      </c>
      <c r="C3368" s="2" t="s">
        <v>26</v>
      </c>
      <c r="D3368" s="2" t="s">
        <v>27</v>
      </c>
      <c r="E3368" s="5">
        <v>-31180</v>
      </c>
      <c r="F3368" s="3" t="s">
        <v>520</v>
      </c>
      <c r="G3368" s="3" t="s">
        <v>20</v>
      </c>
      <c r="H3368" s="2" t="s">
        <v>62</v>
      </c>
      <c r="I3368" s="2" t="s">
        <v>7718</v>
      </c>
      <c r="J3368" s="3" t="str">
        <f>HYPERLINK("https://www.boe.es/gazeta/dias/1814/08/18/pdfs/GMD-1814-113.pdf#page=7","Abrir facsímil")</f>
        <v>Abrir facsímil</v>
      </c>
      <c r="K3368" s="3" t="s">
        <v>64</v>
      </c>
    </row>
    <row r="3369" spans="1:11" ht="42" customHeight="1">
      <c r="A3369" s="2" t="s">
        <v>7719</v>
      </c>
      <c r="B3369" s="2" t="s">
        <v>7719</v>
      </c>
      <c r="C3369" s="2" t="s">
        <v>32</v>
      </c>
      <c r="D3369" s="2" t="s">
        <v>18</v>
      </c>
      <c r="E3369" s="5">
        <v>-31124</v>
      </c>
      <c r="F3369" s="3" t="s">
        <v>383</v>
      </c>
      <c r="G3369" s="3" t="s">
        <v>322</v>
      </c>
      <c r="H3369" s="2" t="s">
        <v>62</v>
      </c>
      <c r="I3369" s="2" t="s">
        <v>7720</v>
      </c>
      <c r="J3369" s="3" t="str">
        <f>HYPERLINK("https://www.boe.es/gazeta/dias/1814/10/13/pdfs/GMD-1814-138.pdf#page=12","Abrir facsímil")</f>
        <v>Abrir facsímil</v>
      </c>
      <c r="K3369" s="3" t="s">
        <v>64</v>
      </c>
    </row>
    <row r="3370" spans="1:11" ht="42" customHeight="1">
      <c r="A3370" s="2" t="s">
        <v>7721</v>
      </c>
      <c r="B3370" s="2" t="s">
        <v>7722</v>
      </c>
      <c r="C3370" s="2" t="s">
        <v>38</v>
      </c>
      <c r="D3370" s="2" t="s">
        <v>39</v>
      </c>
      <c r="E3370" s="5">
        <v>-31353</v>
      </c>
      <c r="F3370" s="3" t="s">
        <v>247</v>
      </c>
      <c r="G3370" s="3" t="s">
        <v>57</v>
      </c>
      <c r="H3370" s="2" t="s">
        <v>62</v>
      </c>
      <c r="I3370" s="2" t="s">
        <v>7723</v>
      </c>
      <c r="J3370" s="3" t="str">
        <f>HYPERLINK("https://www.boe.es/gazeta/dias/1814/02/26/pdfs/GRE-1814-27.pdf#page=6","Abrir facsímil")</f>
        <v>Abrir facsímil</v>
      </c>
      <c r="K3370" s="3" t="s">
        <v>64</v>
      </c>
    </row>
    <row r="3371" spans="1:11" ht="42" customHeight="1">
      <c r="A3371" s="2" t="s">
        <v>7724</v>
      </c>
      <c r="B3371" s="2" t="s">
        <v>7725</v>
      </c>
      <c r="C3371" s="2" t="s">
        <v>144</v>
      </c>
      <c r="D3371" s="2" t="s">
        <v>18</v>
      </c>
      <c r="E3371" s="5">
        <v>-31320</v>
      </c>
      <c r="F3371" s="3" t="s">
        <v>40</v>
      </c>
      <c r="G3371" s="3" t="s">
        <v>52</v>
      </c>
      <c r="H3371" s="2" t="s">
        <v>62</v>
      </c>
      <c r="I3371" s="2" t="s">
        <v>7726</v>
      </c>
      <c r="J3371" s="3" t="str">
        <f>HYPERLINK("https://www.boe.es/gazeta/dias/1814/03/31/pdfs/GRE-1814-46.pdf#page=8","Abrir facsímil")</f>
        <v>Abrir facsímil</v>
      </c>
      <c r="K3371" s="3" t="s">
        <v>64</v>
      </c>
    </row>
    <row r="3372" spans="1:11" ht="42" customHeight="1">
      <c r="A3372" s="2" t="s">
        <v>7727</v>
      </c>
      <c r="B3372" s="2" t="s">
        <v>7728</v>
      </c>
      <c r="C3372" s="2" t="s">
        <v>45</v>
      </c>
      <c r="D3372" s="2" t="s">
        <v>18</v>
      </c>
      <c r="E3372" s="5">
        <v>-31131</v>
      </c>
      <c r="F3372" s="3" t="s">
        <v>132</v>
      </c>
      <c r="G3372" s="3" t="s">
        <v>2188</v>
      </c>
      <c r="H3372" s="2" t="s">
        <v>62</v>
      </c>
      <c r="I3372" s="2" t="s">
        <v>7729</v>
      </c>
      <c r="J3372" s="3" t="str">
        <f>HYPERLINK("https://www.boe.es/gazeta/dias/1814/10/06/pdfs/GMD-1814-135.pdf#page=6","Abrir facsímil")</f>
        <v>Abrir facsímil</v>
      </c>
      <c r="K3372" s="3" t="s">
        <v>64</v>
      </c>
    </row>
    <row r="3373" spans="1:11" ht="42" customHeight="1">
      <c r="A3373" s="2" t="s">
        <v>7730</v>
      </c>
      <c r="B3373" s="2" t="s">
        <v>7731</v>
      </c>
      <c r="C3373" s="2" t="s">
        <v>38</v>
      </c>
      <c r="D3373" s="2" t="s">
        <v>39</v>
      </c>
      <c r="E3373" s="5">
        <v>-31119</v>
      </c>
      <c r="F3373" s="3" t="s">
        <v>136</v>
      </c>
      <c r="G3373" s="3" t="s">
        <v>704</v>
      </c>
      <c r="H3373" s="2" t="s">
        <v>62</v>
      </c>
      <c r="I3373" s="2" t="s">
        <v>7732</v>
      </c>
      <c r="J3373" s="3" t="str">
        <f>HYPERLINK("https://www.boe.es/gazeta/dias/1814/10/18/pdfs/GMD-1814-140.pdf#page=10","Abrir facsímil")</f>
        <v>Abrir facsímil</v>
      </c>
      <c r="K3373" s="3" t="s">
        <v>64</v>
      </c>
    </row>
    <row r="3374" spans="1:11" ht="42" customHeight="1">
      <c r="A3374" s="2" t="s">
        <v>7733</v>
      </c>
      <c r="B3374" s="2" t="s">
        <v>7734</v>
      </c>
      <c r="C3374" s="2" t="s">
        <v>38</v>
      </c>
      <c r="D3374" s="2" t="s">
        <v>39</v>
      </c>
      <c r="E3374" s="5">
        <v>-31381</v>
      </c>
      <c r="F3374" s="3" t="s">
        <v>989</v>
      </c>
      <c r="G3374" s="3" t="s">
        <v>20</v>
      </c>
      <c r="H3374" s="2" t="s">
        <v>62</v>
      </c>
      <c r="I3374" s="2" t="s">
        <v>7735</v>
      </c>
      <c r="J3374" s="3" t="str">
        <f>HYPERLINK("https://www.boe.es/gazeta/dias/1814/01/29/pdfs/GRE-1814-14.pdf#page=7","Abrir facsímil")</f>
        <v>Abrir facsímil</v>
      </c>
      <c r="K3374" s="3" t="s">
        <v>64</v>
      </c>
    </row>
    <row r="3375" spans="1:11" ht="42" customHeight="1">
      <c r="A3375" s="2" t="s">
        <v>7736</v>
      </c>
      <c r="B3375" s="2" t="s">
        <v>7737</v>
      </c>
      <c r="C3375" s="2" t="s">
        <v>38</v>
      </c>
      <c r="D3375" s="2" t="s">
        <v>39</v>
      </c>
      <c r="E3375" s="5">
        <v>-31381</v>
      </c>
      <c r="F3375" s="3" t="s">
        <v>989</v>
      </c>
      <c r="G3375" s="3" t="s">
        <v>52</v>
      </c>
      <c r="H3375" s="2" t="s">
        <v>62</v>
      </c>
      <c r="I3375" s="2" t="s">
        <v>7738</v>
      </c>
      <c r="J3375" s="3" t="str">
        <f>HYPERLINK("https://www.boe.es/gazeta/dias/1814/01/29/pdfs/GRE-1814-14.pdf#page=8","Abrir facsímil")</f>
        <v>Abrir facsímil</v>
      </c>
      <c r="K3375" s="3" t="s">
        <v>64</v>
      </c>
    </row>
    <row r="3376" spans="1:11" ht="42" customHeight="1">
      <c r="A3376" s="2" t="s">
        <v>7733</v>
      </c>
      <c r="B3376" s="2" t="s">
        <v>7734</v>
      </c>
      <c r="C3376" s="2" t="s">
        <v>38</v>
      </c>
      <c r="D3376" s="2" t="s">
        <v>39</v>
      </c>
      <c r="E3376" s="5">
        <v>-31369</v>
      </c>
      <c r="F3376" s="3" t="s">
        <v>695</v>
      </c>
      <c r="G3376" s="3" t="s">
        <v>3737</v>
      </c>
      <c r="H3376" s="2" t="s">
        <v>62</v>
      </c>
      <c r="I3376" s="2" t="s">
        <v>7739</v>
      </c>
      <c r="J3376" s="3" t="str">
        <f>HYPERLINK("https://www.boe.es/gazeta/dias/1814/02/10/pdfs/GRE-1814-19.pdf#page=6","Abrir facsímil")</f>
        <v>Abrir facsímil</v>
      </c>
      <c r="K3376" s="3" t="s">
        <v>64</v>
      </c>
    </row>
    <row r="3377" spans="1:11" ht="42" customHeight="1">
      <c r="A3377" s="2" t="s">
        <v>7733</v>
      </c>
      <c r="B3377" s="2" t="s">
        <v>7734</v>
      </c>
      <c r="C3377" s="2" t="s">
        <v>38</v>
      </c>
      <c r="D3377" s="2" t="s">
        <v>39</v>
      </c>
      <c r="E3377" s="5">
        <v>-31339</v>
      </c>
      <c r="F3377" s="3" t="s">
        <v>641</v>
      </c>
      <c r="G3377" s="3" t="s">
        <v>99</v>
      </c>
      <c r="H3377" s="2" t="s">
        <v>62</v>
      </c>
      <c r="I3377" s="2" t="s">
        <v>7740</v>
      </c>
      <c r="J3377" s="3" t="str">
        <f>HYPERLINK("https://www.boe.es/gazeta/dias/1814/03/12/pdfs/GRE-1814-35.pdf#page=5","Abrir facsímil")</f>
        <v>Abrir facsímil</v>
      </c>
      <c r="K3377" s="3" t="s">
        <v>64</v>
      </c>
    </row>
    <row r="3378" spans="1:11" ht="42" customHeight="1">
      <c r="A3378" s="2" t="s">
        <v>7733</v>
      </c>
      <c r="B3378" s="2" t="s">
        <v>7734</v>
      </c>
      <c r="C3378" s="2" t="s">
        <v>38</v>
      </c>
      <c r="D3378" s="2" t="s">
        <v>39</v>
      </c>
      <c r="E3378" s="5">
        <v>-31332</v>
      </c>
      <c r="F3378" s="3" t="s">
        <v>343</v>
      </c>
      <c r="G3378" s="3" t="s">
        <v>87</v>
      </c>
      <c r="H3378" s="2" t="s">
        <v>62</v>
      </c>
      <c r="I3378" s="2" t="s">
        <v>7741</v>
      </c>
      <c r="J3378" s="3" t="str">
        <f>HYPERLINK("https://www.boe.es/gazeta/dias/1814/03/19/pdfs/GRE-1814-38.pdf#page=2","Abrir facsímil")</f>
        <v>Abrir facsímil</v>
      </c>
      <c r="K3378" s="3" t="s">
        <v>64</v>
      </c>
    </row>
    <row r="3379" spans="1:11" ht="42" customHeight="1">
      <c r="A3379" s="2" t="s">
        <v>7733</v>
      </c>
      <c r="B3379" s="2" t="s">
        <v>7734</v>
      </c>
      <c r="C3379" s="2" t="s">
        <v>38</v>
      </c>
      <c r="D3379" s="2" t="s">
        <v>39</v>
      </c>
      <c r="E3379" s="5">
        <v>-31325</v>
      </c>
      <c r="F3379" s="3" t="s">
        <v>67</v>
      </c>
      <c r="G3379" s="3" t="s">
        <v>52</v>
      </c>
      <c r="H3379" s="2" t="s">
        <v>62</v>
      </c>
      <c r="I3379" s="2" t="s">
        <v>7742</v>
      </c>
      <c r="J3379" s="3" t="str">
        <f>HYPERLINK("https://www.boe.es/gazeta/dias/1814/03/26/pdfs/GRE-1814-43.pdf#page=8","Abrir facsímil")</f>
        <v>Abrir facsímil</v>
      </c>
      <c r="K3379" s="3" t="s">
        <v>64</v>
      </c>
    </row>
    <row r="3380" spans="1:11" ht="42" customHeight="1">
      <c r="A3380" s="2" t="s">
        <v>7733</v>
      </c>
      <c r="B3380" s="2" t="s">
        <v>7734</v>
      </c>
      <c r="C3380" s="2" t="s">
        <v>38</v>
      </c>
      <c r="D3380" s="2" t="s">
        <v>39</v>
      </c>
      <c r="E3380" s="5">
        <v>-31273</v>
      </c>
      <c r="F3380" s="3" t="s">
        <v>2108</v>
      </c>
      <c r="G3380" s="3" t="s">
        <v>99</v>
      </c>
      <c r="H3380" s="2" t="s">
        <v>62</v>
      </c>
      <c r="I3380" s="2" t="s">
        <v>7743</v>
      </c>
      <c r="J3380" s="3" t="str">
        <f>HYPERLINK("https://www.boe.es/gazeta/dias/1814/05/17/pdfs/GMD-1814-72.pdf#page=5","Abrir facsímil")</f>
        <v>Abrir facsímil</v>
      </c>
      <c r="K3380" s="3" t="s">
        <v>64</v>
      </c>
    </row>
    <row r="3381" spans="1:11" ht="42" customHeight="1">
      <c r="A3381" s="2" t="s">
        <v>7733</v>
      </c>
      <c r="B3381" s="2" t="s">
        <v>7734</v>
      </c>
      <c r="C3381" s="2" t="s">
        <v>38</v>
      </c>
      <c r="D3381" s="2" t="s">
        <v>39</v>
      </c>
      <c r="E3381" s="5">
        <v>-31150</v>
      </c>
      <c r="F3381" s="3" t="s">
        <v>106</v>
      </c>
      <c r="G3381" s="3" t="s">
        <v>52</v>
      </c>
      <c r="H3381" s="2" t="s">
        <v>62</v>
      </c>
      <c r="I3381" s="2" t="s">
        <v>7744</v>
      </c>
      <c r="J3381" s="3" t="str">
        <f>HYPERLINK("https://www.boe.es/gazeta/dias/1814/09/17/pdfs/GMD-1814-127.pdf#page=8","Abrir facsímil")</f>
        <v>Abrir facsímil</v>
      </c>
      <c r="K3381" s="3" t="s">
        <v>64</v>
      </c>
    </row>
    <row r="3382" spans="1:11" ht="42" customHeight="1">
      <c r="A3382" s="2" t="s">
        <v>7733</v>
      </c>
      <c r="B3382" s="2" t="s">
        <v>7734</v>
      </c>
      <c r="C3382" s="2" t="s">
        <v>17</v>
      </c>
      <c r="D3382" s="2" t="s">
        <v>18</v>
      </c>
      <c r="E3382" s="5">
        <v>-31143</v>
      </c>
      <c r="F3382" s="3" t="s">
        <v>787</v>
      </c>
      <c r="G3382" s="3" t="s">
        <v>52</v>
      </c>
      <c r="H3382" s="2" t="s">
        <v>62</v>
      </c>
      <c r="I3382" s="2" t="s">
        <v>7745</v>
      </c>
      <c r="J3382" s="3" t="str">
        <f>HYPERLINK("https://www.boe.es/gazeta/dias/1814/09/24/pdfs/GMD-1814-130.pdf#page=8","Abrir facsímil")</f>
        <v>Abrir facsímil</v>
      </c>
      <c r="K3382" s="3" t="s">
        <v>64</v>
      </c>
    </row>
    <row r="3383" spans="1:11" ht="42" customHeight="1">
      <c r="A3383" s="2" t="s">
        <v>7733</v>
      </c>
      <c r="B3383" s="2" t="s">
        <v>7734</v>
      </c>
      <c r="C3383" s="2" t="s">
        <v>26</v>
      </c>
      <c r="D3383" s="2" t="s">
        <v>27</v>
      </c>
      <c r="E3383" s="5">
        <v>-31117</v>
      </c>
      <c r="F3383" s="3" t="s">
        <v>172</v>
      </c>
      <c r="G3383" s="3" t="s">
        <v>3857</v>
      </c>
      <c r="H3383" s="2" t="s">
        <v>62</v>
      </c>
      <c r="I3383" s="2" t="s">
        <v>7746</v>
      </c>
      <c r="J3383" s="3" t="str">
        <f>HYPERLINK("https://www.boe.es/gazeta/dias/1814/10/20/pdfs/GMD-1814-141.pdf#page=6","Abrir facsímil")</f>
        <v>Abrir facsímil</v>
      </c>
      <c r="K3383" s="3" t="s">
        <v>64</v>
      </c>
    </row>
    <row r="3384" spans="1:11" ht="42" customHeight="1">
      <c r="A3384" s="2" t="s">
        <v>7733</v>
      </c>
      <c r="B3384" s="2" t="s">
        <v>7734</v>
      </c>
      <c r="C3384" s="2" t="s">
        <v>38</v>
      </c>
      <c r="D3384" s="2" t="s">
        <v>39</v>
      </c>
      <c r="E3384" s="5">
        <v>-31066</v>
      </c>
      <c r="F3384" s="3" t="s">
        <v>1323</v>
      </c>
      <c r="G3384" s="3" t="s">
        <v>20</v>
      </c>
      <c r="H3384" s="2" t="s">
        <v>62</v>
      </c>
      <c r="I3384" s="2" t="s">
        <v>7747</v>
      </c>
      <c r="J3384" s="3" t="str">
        <f>HYPERLINK("https://www.boe.es/gazeta/dias/1814/12/10/pdfs/GMD-1814-163.pdf#page=7","Abrir facsímil")</f>
        <v>Abrir facsímil</v>
      </c>
      <c r="K3384" s="3" t="s">
        <v>64</v>
      </c>
    </row>
    <row r="3385" spans="1:11" ht="42" customHeight="1">
      <c r="A3385" s="2" t="s">
        <v>7748</v>
      </c>
      <c r="B3385" s="2" t="s">
        <v>7749</v>
      </c>
      <c r="C3385" s="2" t="s">
        <v>26</v>
      </c>
      <c r="D3385" s="2" t="s">
        <v>27</v>
      </c>
      <c r="E3385" s="5">
        <v>-31250</v>
      </c>
      <c r="F3385" s="3" t="s">
        <v>177</v>
      </c>
      <c r="G3385" s="3" t="s">
        <v>99</v>
      </c>
      <c r="H3385" s="2" t="s">
        <v>62</v>
      </c>
      <c r="I3385" s="2" t="s">
        <v>7750</v>
      </c>
      <c r="J3385" s="3" t="str">
        <f>HYPERLINK("https://www.boe.es/gazeta/dias/1814/06/09/pdfs/GMD-1814-83.pdf#page=5","Abrir facsímil")</f>
        <v>Abrir facsímil</v>
      </c>
      <c r="K3385" s="3" t="s">
        <v>64</v>
      </c>
    </row>
    <row r="3386" spans="1:11" ht="42" customHeight="1">
      <c r="A3386" s="2" t="s">
        <v>7751</v>
      </c>
      <c r="B3386" s="2" t="s">
        <v>7752</v>
      </c>
      <c r="C3386" s="2" t="s">
        <v>26</v>
      </c>
      <c r="D3386" s="2" t="s">
        <v>27</v>
      </c>
      <c r="E3386" s="5">
        <v>-31250</v>
      </c>
      <c r="F3386" s="3" t="s">
        <v>177</v>
      </c>
      <c r="G3386" s="3" t="s">
        <v>99</v>
      </c>
      <c r="H3386" s="2" t="s">
        <v>62</v>
      </c>
      <c r="I3386" s="2" t="s">
        <v>7753</v>
      </c>
      <c r="J3386" s="3" t="str">
        <f>HYPERLINK("https://www.boe.es/gazeta/dias/1814/06/09/pdfs/GMD-1814-83.pdf#page=5","Abrir facsímil")</f>
        <v>Abrir facsímil</v>
      </c>
      <c r="K3386" s="3" t="s">
        <v>64</v>
      </c>
    </row>
    <row r="3387" spans="1:11" ht="42" customHeight="1">
      <c r="A3387" s="2" t="s">
        <v>7754</v>
      </c>
      <c r="B3387" s="2" t="s">
        <v>7755</v>
      </c>
      <c r="C3387" s="2" t="s">
        <v>38</v>
      </c>
      <c r="D3387" s="2" t="s">
        <v>39</v>
      </c>
      <c r="E3387" s="5">
        <v>-31164</v>
      </c>
      <c r="F3387" s="3" t="s">
        <v>1423</v>
      </c>
      <c r="G3387" s="3" t="s">
        <v>99</v>
      </c>
      <c r="H3387" s="2" t="s">
        <v>62</v>
      </c>
      <c r="I3387" s="2" t="s">
        <v>7756</v>
      </c>
      <c r="J3387" s="3" t="str">
        <f>HYPERLINK("https://www.boe.es/gazeta/dias/1814/09/03/pdfs/GMD-1814-121.pdf#page=5","Abrir facsímil")</f>
        <v>Abrir facsímil</v>
      </c>
      <c r="K3387" s="3" t="s">
        <v>64</v>
      </c>
    </row>
    <row r="3388" spans="1:11" ht="42" customHeight="1">
      <c r="A3388" s="2" t="s">
        <v>7757</v>
      </c>
      <c r="B3388" s="2" t="s">
        <v>7758</v>
      </c>
      <c r="C3388" s="2" t="s">
        <v>38</v>
      </c>
      <c r="D3388" s="2" t="s">
        <v>314</v>
      </c>
      <c r="E3388" s="5">
        <v>-31296</v>
      </c>
      <c r="F3388" s="3" t="s">
        <v>315</v>
      </c>
      <c r="G3388" s="3" t="s">
        <v>52</v>
      </c>
      <c r="H3388" s="2" t="s">
        <v>62</v>
      </c>
      <c r="I3388" s="2" t="s">
        <v>7759</v>
      </c>
      <c r="J3388" s="3" t="str">
        <f>HYPERLINK("https://www.boe.es/gazeta/dias/1814/04/24/pdfs/GRE-1814-60E.pdf#page=8","Abrir facsímil")</f>
        <v>Abrir facsímil</v>
      </c>
      <c r="K3388" s="3" t="s">
        <v>64</v>
      </c>
    </row>
    <row r="3389" spans="1:11" ht="42" customHeight="1">
      <c r="A3389" s="2" t="s">
        <v>7760</v>
      </c>
      <c r="B3389" s="2" t="s">
        <v>7761</v>
      </c>
      <c r="C3389" s="2" t="s">
        <v>38</v>
      </c>
      <c r="D3389" s="2" t="s">
        <v>39</v>
      </c>
      <c r="E3389" s="5">
        <v>-31210</v>
      </c>
      <c r="F3389" s="3" t="s">
        <v>141</v>
      </c>
      <c r="G3389" s="3" t="s">
        <v>99</v>
      </c>
      <c r="H3389" s="2" t="s">
        <v>62</v>
      </c>
      <c r="I3389" s="2" t="s">
        <v>7762</v>
      </c>
      <c r="J3389" s="3" t="str">
        <f>HYPERLINK("https://www.boe.es/gazeta/dias/1814/07/19/pdfs/GMD-1814-100.pdf#page=5","Abrir facsímil")</f>
        <v>Abrir facsímil</v>
      </c>
      <c r="K3389" s="3" t="s">
        <v>64</v>
      </c>
    </row>
    <row r="3390" spans="1:11" ht="42" customHeight="1">
      <c r="A3390" s="2" t="s">
        <v>7763</v>
      </c>
      <c r="B3390" s="2" t="s">
        <v>7764</v>
      </c>
      <c r="C3390" s="2" t="s">
        <v>38</v>
      </c>
      <c r="D3390" s="2" t="s">
        <v>39</v>
      </c>
      <c r="E3390" s="5">
        <v>-31252</v>
      </c>
      <c r="F3390" s="3" t="s">
        <v>364</v>
      </c>
      <c r="G3390" s="3" t="s">
        <v>2569</v>
      </c>
      <c r="H3390" s="2" t="s">
        <v>62</v>
      </c>
      <c r="I3390" s="2" t="s">
        <v>7765</v>
      </c>
      <c r="J3390" s="3" t="str">
        <f>HYPERLINK("https://www.boe.es/gazeta/dias/1814/06/07/pdfs/GMD-1814-82.pdf#page=4","Abrir facsímil")</f>
        <v>Abrir facsímil</v>
      </c>
      <c r="K3390" s="3" t="s">
        <v>64</v>
      </c>
    </row>
    <row r="3391" spans="1:11" ht="42" customHeight="1">
      <c r="A3391" s="2" t="s">
        <v>7763</v>
      </c>
      <c r="B3391" s="2" t="s">
        <v>7764</v>
      </c>
      <c r="C3391" s="2" t="s">
        <v>17</v>
      </c>
      <c r="D3391" s="2" t="s">
        <v>18</v>
      </c>
      <c r="E3391" s="5">
        <v>-31250</v>
      </c>
      <c r="F3391" s="3" t="s">
        <v>177</v>
      </c>
      <c r="G3391" s="3" t="s">
        <v>52</v>
      </c>
      <c r="H3391" s="2" t="s">
        <v>62</v>
      </c>
      <c r="I3391" s="2" t="s">
        <v>7766</v>
      </c>
      <c r="J3391" s="3" t="str">
        <f>HYPERLINK("https://www.boe.es/gazeta/dias/1814/06/09/pdfs/GMD-1814-83.pdf#page=8","Abrir facsímil")</f>
        <v>Abrir facsímil</v>
      </c>
      <c r="K3391" s="3" t="s">
        <v>64</v>
      </c>
    </row>
    <row r="3392" spans="1:11" ht="42" customHeight="1">
      <c r="A3392" s="2" t="s">
        <v>7767</v>
      </c>
      <c r="B3392" s="2" t="s">
        <v>7768</v>
      </c>
      <c r="C3392" s="2" t="s">
        <v>26</v>
      </c>
      <c r="D3392" s="2" t="s">
        <v>27</v>
      </c>
      <c r="E3392" s="5">
        <v>-31199</v>
      </c>
      <c r="F3392" s="3" t="s">
        <v>453</v>
      </c>
      <c r="G3392" s="3" t="s">
        <v>20</v>
      </c>
      <c r="H3392" s="2" t="s">
        <v>62</v>
      </c>
      <c r="I3392" s="2" t="s">
        <v>7769</v>
      </c>
      <c r="J3392" s="3" t="str">
        <f>HYPERLINK("https://www.boe.es/gazeta/dias/1814/07/30/pdfs/GMD-1814-105.pdf#page=7","Abrir facsímil")</f>
        <v>Abrir facsímil</v>
      </c>
      <c r="K3392" s="3" t="s">
        <v>64</v>
      </c>
    </row>
    <row r="3393" spans="1:11" ht="42" customHeight="1">
      <c r="A3393" s="2" t="s">
        <v>7770</v>
      </c>
      <c r="B3393" s="2" t="s">
        <v>7771</v>
      </c>
      <c r="C3393" s="2" t="s">
        <v>17</v>
      </c>
      <c r="D3393" s="2" t="s">
        <v>18</v>
      </c>
      <c r="E3393" s="5">
        <v>-31234</v>
      </c>
      <c r="F3393" s="3" t="s">
        <v>462</v>
      </c>
      <c r="G3393" s="3" t="s">
        <v>99</v>
      </c>
      <c r="H3393" s="2" t="s">
        <v>62</v>
      </c>
      <c r="I3393" s="2" t="s">
        <v>7772</v>
      </c>
      <c r="J3393" s="3" t="str">
        <f>HYPERLINK("https://www.boe.es/gazeta/dias/1814/06/25/pdfs/GMD-1814-90.pdf#page=5","Abrir facsímil")</f>
        <v>Abrir facsímil</v>
      </c>
      <c r="K3393" s="3" t="s">
        <v>64</v>
      </c>
    </row>
    <row r="3394" spans="1:11" ht="42" customHeight="1">
      <c r="A3394" s="2" t="s">
        <v>7770</v>
      </c>
      <c r="B3394" s="2" t="s">
        <v>7771</v>
      </c>
      <c r="C3394" s="2" t="s">
        <v>26</v>
      </c>
      <c r="D3394" s="2" t="s">
        <v>27</v>
      </c>
      <c r="E3394" s="5">
        <v>-31131</v>
      </c>
      <c r="F3394" s="3" t="s">
        <v>132</v>
      </c>
      <c r="G3394" s="3" t="s">
        <v>41</v>
      </c>
      <c r="H3394" s="2" t="s">
        <v>62</v>
      </c>
      <c r="I3394" s="2" t="s">
        <v>7773</v>
      </c>
      <c r="J3394" s="3" t="str">
        <f>HYPERLINK("https://www.boe.es/gazeta/dias/1814/10/06/pdfs/GMD-1814-135.pdf#page=4","Abrir facsímil")</f>
        <v>Abrir facsímil</v>
      </c>
      <c r="K3394" s="3" t="s">
        <v>64</v>
      </c>
    </row>
    <row r="3395" spans="1:11" ht="42" customHeight="1">
      <c r="A3395" s="2" t="s">
        <v>7770</v>
      </c>
      <c r="B3395" s="2" t="s">
        <v>7771</v>
      </c>
      <c r="C3395" s="2" t="s">
        <v>45</v>
      </c>
      <c r="D3395" s="2" t="s">
        <v>18</v>
      </c>
      <c r="E3395" s="5">
        <v>-31059</v>
      </c>
      <c r="F3395" s="3" t="s">
        <v>263</v>
      </c>
      <c r="G3395" s="3" t="s">
        <v>264</v>
      </c>
      <c r="H3395" s="2" t="s">
        <v>62</v>
      </c>
      <c r="I3395" s="2" t="s">
        <v>7774</v>
      </c>
      <c r="J3395" s="3" t="str">
        <f>HYPERLINK("https://www.boe.es/gazeta/dias/1814/12/17/pdfs/GMD-1814-167.pdf#page=7","Abrir facsímil")</f>
        <v>Abrir facsímil</v>
      </c>
      <c r="K3395" s="3" t="s">
        <v>64</v>
      </c>
    </row>
    <row r="3396" spans="1:11" ht="42" customHeight="1">
      <c r="A3396" s="2" t="s">
        <v>7775</v>
      </c>
      <c r="B3396" s="2" t="s">
        <v>7776</v>
      </c>
      <c r="C3396" s="2" t="s">
        <v>38</v>
      </c>
      <c r="D3396" s="2" t="s">
        <v>39</v>
      </c>
      <c r="E3396" s="5">
        <v>-31252</v>
      </c>
      <c r="F3396" s="3" t="s">
        <v>364</v>
      </c>
      <c r="G3396" s="3" t="s">
        <v>1575</v>
      </c>
      <c r="H3396" s="2" t="s">
        <v>62</v>
      </c>
      <c r="I3396" s="2" t="s">
        <v>7777</v>
      </c>
      <c r="J3396" s="3" t="str">
        <f>HYPERLINK("https://www.boe.es/gazeta/dias/1814/06/07/pdfs/GMD-1814-82.pdf#page=2","Abrir facsímil")</f>
        <v>Abrir facsímil</v>
      </c>
      <c r="K3396" s="3" t="s">
        <v>64</v>
      </c>
    </row>
    <row r="3397" spans="1:11" ht="42" customHeight="1">
      <c r="A3397" s="2" t="s">
        <v>7778</v>
      </c>
      <c r="B3397" s="2" t="s">
        <v>7779</v>
      </c>
      <c r="C3397" s="2" t="s">
        <v>38</v>
      </c>
      <c r="D3397" s="2" t="s">
        <v>39</v>
      </c>
      <c r="E3397" s="5">
        <v>-31385</v>
      </c>
      <c r="F3397" s="3" t="s">
        <v>783</v>
      </c>
      <c r="G3397" s="3" t="s">
        <v>2135</v>
      </c>
      <c r="H3397" s="2" t="s">
        <v>62</v>
      </c>
      <c r="I3397" s="2" t="s">
        <v>7780</v>
      </c>
      <c r="J3397" s="3" t="str">
        <f>HYPERLINK("https://www.boe.es/gazeta/dias/1814/01/25/pdfs/GRE-1814-12.pdf#page=5","Abrir facsímil")</f>
        <v>Abrir facsímil</v>
      </c>
      <c r="K3397" s="3" t="s">
        <v>64</v>
      </c>
    </row>
    <row r="3398" spans="1:11" ht="42" customHeight="1">
      <c r="A3398" s="2" t="s">
        <v>7778</v>
      </c>
      <c r="B3398" s="2" t="s">
        <v>7779</v>
      </c>
      <c r="C3398" s="2" t="s">
        <v>38</v>
      </c>
      <c r="D3398" s="2" t="s">
        <v>39</v>
      </c>
      <c r="E3398" s="5">
        <v>-31052</v>
      </c>
      <c r="F3398" s="3" t="s">
        <v>1407</v>
      </c>
      <c r="G3398" s="3" t="s">
        <v>52</v>
      </c>
      <c r="H3398" s="2" t="s">
        <v>62</v>
      </c>
      <c r="I3398" s="2" t="s">
        <v>7781</v>
      </c>
      <c r="J3398" s="3" t="str">
        <f>HYPERLINK("https://www.boe.es/gazeta/dias/1814/12/24/pdfs/GMD-1814-170.pdf#page=8","Abrir facsímil")</f>
        <v>Abrir facsímil</v>
      </c>
      <c r="K3398" s="3" t="s">
        <v>64</v>
      </c>
    </row>
    <row r="3399" spans="1:11" ht="42" customHeight="1">
      <c r="A3399" s="2" t="s">
        <v>7782</v>
      </c>
      <c r="B3399" s="2" t="s">
        <v>7783</v>
      </c>
      <c r="C3399" s="2" t="s">
        <v>38</v>
      </c>
      <c r="D3399" s="2" t="s">
        <v>39</v>
      </c>
      <c r="E3399" s="5">
        <v>-31210</v>
      </c>
      <c r="F3399" s="3" t="s">
        <v>141</v>
      </c>
      <c r="G3399" s="3" t="s">
        <v>99</v>
      </c>
      <c r="H3399" s="2" t="s">
        <v>62</v>
      </c>
      <c r="I3399" s="2" t="s">
        <v>7784</v>
      </c>
      <c r="J3399" s="3" t="str">
        <f>HYPERLINK("https://www.boe.es/gazeta/dias/1814/07/19/pdfs/GMD-1814-100.pdf#page=5","Abrir facsímil")</f>
        <v>Abrir facsímil</v>
      </c>
      <c r="K3399" s="3" t="s">
        <v>64</v>
      </c>
    </row>
    <row r="3400" spans="1:11" ht="42" customHeight="1">
      <c r="A3400" s="2" t="s">
        <v>7785</v>
      </c>
      <c r="B3400" s="2" t="s">
        <v>7786</v>
      </c>
      <c r="C3400" s="2" t="s">
        <v>144</v>
      </c>
      <c r="D3400" s="2" t="s">
        <v>18</v>
      </c>
      <c r="E3400" s="5">
        <v>-31383</v>
      </c>
      <c r="F3400" s="3" t="s">
        <v>715</v>
      </c>
      <c r="G3400" s="3" t="s">
        <v>20</v>
      </c>
      <c r="H3400" s="2" t="s">
        <v>21</v>
      </c>
      <c r="I3400" s="2" t="s">
        <v>7787</v>
      </c>
      <c r="J3400" s="3" t="str">
        <f>HYPERLINK("https://www.boe.es/gazeta/dias/1814/01/27/pdfs/GRE-1814-13.pdf#page=7","Abrir facsímil")</f>
        <v>Abrir facsímil</v>
      </c>
      <c r="K3400" s="3" t="s">
        <v>23</v>
      </c>
    </row>
    <row r="3401" spans="1:11" ht="42" customHeight="1">
      <c r="A3401" s="2" t="s">
        <v>7788</v>
      </c>
      <c r="B3401" s="2" t="s">
        <v>7789</v>
      </c>
      <c r="C3401" s="2" t="s">
        <v>38</v>
      </c>
      <c r="D3401" s="2" t="s">
        <v>39</v>
      </c>
      <c r="E3401" s="5">
        <v>-31355</v>
      </c>
      <c r="F3401" s="3" t="s">
        <v>50</v>
      </c>
      <c r="G3401" s="3" t="s">
        <v>20</v>
      </c>
      <c r="H3401" s="2" t="s">
        <v>62</v>
      </c>
      <c r="I3401" s="2" t="s">
        <v>7790</v>
      </c>
      <c r="J3401" s="3" t="str">
        <f>HYPERLINK("https://www.boe.es/gazeta/dias/1814/02/24/pdfs/GRE-1814-26.pdf#page=7","Abrir facsímil")</f>
        <v>Abrir facsímil</v>
      </c>
      <c r="K3401" s="3" t="s">
        <v>64</v>
      </c>
    </row>
    <row r="3402" spans="1:11" ht="42" customHeight="1">
      <c r="A3402" s="2" t="s">
        <v>7788</v>
      </c>
      <c r="B3402" s="2" t="s">
        <v>7789</v>
      </c>
      <c r="C3402" s="2" t="s">
        <v>17</v>
      </c>
      <c r="D3402" s="2" t="s">
        <v>314</v>
      </c>
      <c r="E3402" s="5">
        <v>-31296</v>
      </c>
      <c r="F3402" s="3" t="s">
        <v>315</v>
      </c>
      <c r="G3402" s="3" t="s">
        <v>52</v>
      </c>
      <c r="H3402" s="2" t="s">
        <v>62</v>
      </c>
      <c r="I3402" s="2" t="s">
        <v>7791</v>
      </c>
      <c r="J3402" s="3" t="str">
        <f>HYPERLINK("https://www.boe.es/gazeta/dias/1814/04/24/pdfs/GRE-1814-60E.pdf#page=8","Abrir facsímil")</f>
        <v>Abrir facsímil</v>
      </c>
      <c r="K3402" s="3" t="s">
        <v>64</v>
      </c>
    </row>
    <row r="3403" spans="1:11" ht="42" customHeight="1">
      <c r="A3403" s="2" t="s">
        <v>7792</v>
      </c>
      <c r="B3403" s="2" t="s">
        <v>7793</v>
      </c>
      <c r="C3403" s="2" t="s">
        <v>45</v>
      </c>
      <c r="D3403" s="2" t="s">
        <v>18</v>
      </c>
      <c r="E3403" s="5">
        <v>-31077</v>
      </c>
      <c r="F3403" s="3" t="s">
        <v>414</v>
      </c>
      <c r="G3403" s="3" t="s">
        <v>20</v>
      </c>
      <c r="H3403" s="2" t="s">
        <v>21</v>
      </c>
      <c r="I3403" s="2" t="s">
        <v>7794</v>
      </c>
      <c r="J3403" s="3" t="str">
        <f>HYPERLINK("https://www.boe.es/gazeta/dias/1814/11/29/pdfs/GMD-1814-158.pdf#page=7","Abrir facsímil")</f>
        <v>Abrir facsímil</v>
      </c>
      <c r="K3403" s="3" t="s">
        <v>23</v>
      </c>
    </row>
    <row r="3404" spans="1:11" ht="42" customHeight="1">
      <c r="A3404" s="2" t="s">
        <v>7795</v>
      </c>
      <c r="B3404" s="2" t="s">
        <v>7796</v>
      </c>
      <c r="C3404" s="2" t="s">
        <v>38</v>
      </c>
      <c r="D3404" s="2" t="s">
        <v>39</v>
      </c>
      <c r="E3404" s="5">
        <v>-31077</v>
      </c>
      <c r="F3404" s="3" t="s">
        <v>414</v>
      </c>
      <c r="G3404" s="3" t="s">
        <v>52</v>
      </c>
      <c r="H3404" s="2" t="s">
        <v>62</v>
      </c>
      <c r="I3404" s="2" t="s">
        <v>7797</v>
      </c>
      <c r="J3404" s="3" t="str">
        <f>HYPERLINK("https://www.boe.es/gazeta/dias/1814/11/29/pdfs/GMD-1814-158.pdf#page=8","Abrir facsímil")</f>
        <v>Abrir facsímil</v>
      </c>
      <c r="K3404" s="3" t="s">
        <v>64</v>
      </c>
    </row>
    <row r="3405" spans="1:11" ht="42" customHeight="1">
      <c r="A3405" s="2" t="s">
        <v>7798</v>
      </c>
      <c r="B3405" s="2" t="s">
        <v>7799</v>
      </c>
      <c r="C3405" s="2" t="s">
        <v>105</v>
      </c>
      <c r="D3405" s="2" t="s">
        <v>18</v>
      </c>
      <c r="E3405" s="5">
        <v>-31383</v>
      </c>
      <c r="F3405" s="3" t="s">
        <v>715</v>
      </c>
      <c r="G3405" s="3" t="s">
        <v>57</v>
      </c>
      <c r="H3405" s="2" t="s">
        <v>62</v>
      </c>
      <c r="I3405" s="2" t="s">
        <v>7800</v>
      </c>
      <c r="J3405" s="3" t="str">
        <f>HYPERLINK("https://www.boe.es/gazeta/dias/1814/01/27/pdfs/GRE-1814-13.pdf#page=6","Abrir facsímil")</f>
        <v>Abrir facsímil</v>
      </c>
      <c r="K3405" s="3" t="s">
        <v>64</v>
      </c>
    </row>
    <row r="3406" spans="1:11" ht="42" customHeight="1">
      <c r="A3406" s="2" t="s">
        <v>7801</v>
      </c>
      <c r="B3406" s="2" t="s">
        <v>7802</v>
      </c>
      <c r="C3406" s="2" t="s">
        <v>38</v>
      </c>
      <c r="D3406" s="2" t="s">
        <v>39</v>
      </c>
      <c r="E3406" s="5">
        <v>-31077</v>
      </c>
      <c r="F3406" s="3" t="s">
        <v>414</v>
      </c>
      <c r="G3406" s="3" t="s">
        <v>52</v>
      </c>
      <c r="H3406" s="2" t="s">
        <v>62</v>
      </c>
      <c r="I3406" s="2" t="s">
        <v>7803</v>
      </c>
      <c r="J3406" s="3" t="str">
        <f>HYPERLINK("https://www.boe.es/gazeta/dias/1814/11/29/pdfs/GMD-1814-158.pdf#page=8","Abrir facsímil")</f>
        <v>Abrir facsímil</v>
      </c>
      <c r="K3406" s="3" t="s">
        <v>64</v>
      </c>
    </row>
    <row r="3407" spans="1:11" ht="42" customHeight="1">
      <c r="A3407" s="2" t="s">
        <v>7804</v>
      </c>
      <c r="B3407" s="2" t="s">
        <v>7805</v>
      </c>
      <c r="C3407" s="2" t="s">
        <v>45</v>
      </c>
      <c r="D3407" s="2" t="s">
        <v>18</v>
      </c>
      <c r="E3407" s="5">
        <v>-31131</v>
      </c>
      <c r="F3407" s="3" t="s">
        <v>132</v>
      </c>
      <c r="G3407" s="3" t="s">
        <v>20</v>
      </c>
      <c r="H3407" s="2" t="s">
        <v>62</v>
      </c>
      <c r="I3407" s="2" t="s">
        <v>7806</v>
      </c>
      <c r="J3407" s="3" t="str">
        <f>HYPERLINK("https://www.boe.es/gazeta/dias/1814/10/06/pdfs/GMD-1814-135.pdf#page=7","Abrir facsímil")</f>
        <v>Abrir facsímil</v>
      </c>
      <c r="K3407" s="3" t="s">
        <v>64</v>
      </c>
    </row>
    <row r="3408" spans="1:11" ht="42" customHeight="1">
      <c r="A3408" s="2" t="s">
        <v>7807</v>
      </c>
      <c r="B3408" s="2" t="s">
        <v>7808</v>
      </c>
      <c r="C3408" s="2" t="s">
        <v>17</v>
      </c>
      <c r="D3408" s="2" t="s">
        <v>18</v>
      </c>
      <c r="E3408" s="5">
        <v>-31248</v>
      </c>
      <c r="F3408" s="3" t="s">
        <v>1123</v>
      </c>
      <c r="G3408" s="3" t="s">
        <v>20</v>
      </c>
      <c r="H3408" s="2" t="s">
        <v>62</v>
      </c>
      <c r="I3408" s="2" t="s">
        <v>7809</v>
      </c>
      <c r="J3408" s="3" t="str">
        <f>HYPERLINK("https://www.boe.es/gazeta/dias/1814/06/11/pdfs/GMD-1814-84.pdf#page=7","Abrir facsímil")</f>
        <v>Abrir facsímil</v>
      </c>
      <c r="K3408" s="3" t="s">
        <v>64</v>
      </c>
    </row>
    <row r="3409" spans="1:11" ht="42" customHeight="1">
      <c r="A3409" s="2" t="s">
        <v>7810</v>
      </c>
      <c r="B3409" s="2" t="s">
        <v>7811</v>
      </c>
      <c r="C3409" s="2" t="s">
        <v>105</v>
      </c>
      <c r="D3409" s="2" t="s">
        <v>18</v>
      </c>
      <c r="E3409" s="5">
        <v>-31049</v>
      </c>
      <c r="F3409" s="3" t="s">
        <v>542</v>
      </c>
      <c r="G3409" s="3" t="s">
        <v>3979</v>
      </c>
      <c r="H3409" s="2" t="s">
        <v>62</v>
      </c>
      <c r="I3409" s="2" t="s">
        <v>7812</v>
      </c>
      <c r="J3409" s="3" t="str">
        <f>HYPERLINK("https://www.boe.es/gazeta/dias/1814/12/27/pdfs/GMD-1814-171.pdf#page=8","Abrir facsímil")</f>
        <v>Abrir facsímil</v>
      </c>
      <c r="K3409" s="3" t="s">
        <v>64</v>
      </c>
    </row>
    <row r="3410" spans="1:11" ht="42" customHeight="1">
      <c r="A3410" s="2" t="s">
        <v>7813</v>
      </c>
      <c r="B3410" s="2" t="s">
        <v>7814</v>
      </c>
      <c r="C3410" s="2" t="s">
        <v>38</v>
      </c>
      <c r="D3410" s="2" t="s">
        <v>39</v>
      </c>
      <c r="E3410" s="5">
        <v>-31185</v>
      </c>
      <c r="F3410" s="3" t="s">
        <v>1238</v>
      </c>
      <c r="G3410" s="3" t="s">
        <v>52</v>
      </c>
      <c r="H3410" s="2" t="s">
        <v>62</v>
      </c>
      <c r="I3410" s="2" t="s">
        <v>7815</v>
      </c>
      <c r="J3410" s="3" t="str">
        <f>HYPERLINK("https://www.boe.es/gazeta/dias/1814/08/13/pdfs/GMD-1814-111.pdf#page=8","Abrir facsímil")</f>
        <v>Abrir facsímil</v>
      </c>
      <c r="K3410" s="3" t="s">
        <v>64</v>
      </c>
    </row>
    <row r="3411" spans="1:11" ht="42" customHeight="1">
      <c r="A3411" s="2" t="s">
        <v>7816</v>
      </c>
      <c r="B3411" s="2" t="s">
        <v>7817</v>
      </c>
      <c r="C3411" s="2" t="s">
        <v>144</v>
      </c>
      <c r="D3411" s="2" t="s">
        <v>18</v>
      </c>
      <c r="E3411" s="5">
        <v>-31122</v>
      </c>
      <c r="F3411" s="3" t="s">
        <v>28</v>
      </c>
      <c r="G3411" s="3" t="s">
        <v>20</v>
      </c>
      <c r="H3411" s="2" t="s">
        <v>62</v>
      </c>
      <c r="I3411" s="2" t="s">
        <v>7818</v>
      </c>
      <c r="J3411" s="3" t="str">
        <f>HYPERLINK("https://www.boe.es/gazeta/dias/1814/10/15/pdfs/GMD-1814-139.pdf#page=7","Abrir facsímil")</f>
        <v>Abrir facsímil</v>
      </c>
      <c r="K3411" s="3" t="s">
        <v>64</v>
      </c>
    </row>
    <row r="3412" spans="1:11" ht="42" customHeight="1">
      <c r="A3412" s="2" t="s">
        <v>7819</v>
      </c>
      <c r="B3412" s="2" t="s">
        <v>7820</v>
      </c>
      <c r="C3412" s="2" t="s">
        <v>26</v>
      </c>
      <c r="D3412" s="2" t="s">
        <v>27</v>
      </c>
      <c r="E3412" s="5">
        <v>-31278</v>
      </c>
      <c r="F3412" s="3" t="s">
        <v>773</v>
      </c>
      <c r="G3412" s="3" t="s">
        <v>774</v>
      </c>
      <c r="H3412" s="2" t="s">
        <v>62</v>
      </c>
      <c r="I3412" s="2" t="s">
        <v>7821</v>
      </c>
      <c r="J3412" s="3" t="str">
        <f>HYPERLINK("https://www.boe.es/gazeta/dias/1814/05/12/pdfs/GMD-1814-69.pdf#page=8","Abrir facsímil")</f>
        <v>Abrir facsímil</v>
      </c>
      <c r="K3412" s="3" t="s">
        <v>64</v>
      </c>
    </row>
    <row r="3413" spans="1:11" ht="42" customHeight="1">
      <c r="A3413" s="2" t="s">
        <v>7822</v>
      </c>
      <c r="B3413" s="2" t="s">
        <v>7822</v>
      </c>
      <c r="C3413" s="2" t="s">
        <v>38</v>
      </c>
      <c r="D3413" s="2" t="s">
        <v>39</v>
      </c>
      <c r="E3413" s="5">
        <v>-31264</v>
      </c>
      <c r="F3413" s="3" t="s">
        <v>396</v>
      </c>
      <c r="G3413" s="3" t="s">
        <v>57</v>
      </c>
      <c r="H3413" s="2" t="s">
        <v>62</v>
      </c>
      <c r="I3413" s="2" t="s">
        <v>7823</v>
      </c>
      <c r="J3413" s="3" t="str">
        <f>HYPERLINK("https://www.boe.es/gazeta/dias/1814/05/26/pdfs/GMD-1814-77.pdf#page=6","Abrir facsímil")</f>
        <v>Abrir facsímil</v>
      </c>
      <c r="K3413" s="3" t="s">
        <v>64</v>
      </c>
    </row>
    <row r="3414" spans="1:11" ht="42" customHeight="1">
      <c r="A3414" s="2" t="s">
        <v>7824</v>
      </c>
      <c r="B3414" s="2" t="s">
        <v>7825</v>
      </c>
      <c r="C3414" s="2" t="s">
        <v>38</v>
      </c>
      <c r="D3414" s="2" t="s">
        <v>39</v>
      </c>
      <c r="E3414" s="5">
        <v>-31227</v>
      </c>
      <c r="F3414" s="3" t="s">
        <v>102</v>
      </c>
      <c r="G3414" s="3" t="s">
        <v>52</v>
      </c>
      <c r="H3414" s="2" t="s">
        <v>62</v>
      </c>
      <c r="I3414" s="2" t="s">
        <v>7826</v>
      </c>
      <c r="J3414" s="3" t="str">
        <f>HYPERLINK("https://www.boe.es/gazeta/dias/1814/07/02/pdfs/GMD-1814-93.pdf#page=8","Abrir facsímil")</f>
        <v>Abrir facsímil</v>
      </c>
      <c r="K3414" s="3" t="s">
        <v>64</v>
      </c>
    </row>
    <row r="3415" spans="1:11" ht="42" customHeight="1">
      <c r="A3415" s="2" t="s">
        <v>7827</v>
      </c>
      <c r="B3415" s="2" t="s">
        <v>7827</v>
      </c>
      <c r="C3415" s="2" t="s">
        <v>17</v>
      </c>
      <c r="D3415" s="2" t="s">
        <v>18</v>
      </c>
      <c r="E3415" s="5">
        <v>-31110</v>
      </c>
      <c r="F3415" s="3" t="s">
        <v>149</v>
      </c>
      <c r="G3415" s="3" t="s">
        <v>20</v>
      </c>
      <c r="H3415" s="2" t="s">
        <v>62</v>
      </c>
      <c r="I3415" s="2" t="s">
        <v>7828</v>
      </c>
      <c r="J3415" s="3" t="str">
        <f>HYPERLINK("https://www.boe.es/gazeta/dias/1814/10/27/pdfs/GMD-1814-144.pdf#page=7","Abrir facsímil")</f>
        <v>Abrir facsímil</v>
      </c>
      <c r="K3415" s="3" t="s">
        <v>64</v>
      </c>
    </row>
    <row r="3416" spans="1:11" ht="42" customHeight="1">
      <c r="A3416" s="2" t="s">
        <v>7829</v>
      </c>
      <c r="B3416" s="2" t="s">
        <v>7830</v>
      </c>
      <c r="C3416" s="2" t="s">
        <v>38</v>
      </c>
      <c r="D3416" s="2" t="s">
        <v>39</v>
      </c>
      <c r="E3416" s="5">
        <v>-31075</v>
      </c>
      <c r="F3416" s="3" t="s">
        <v>537</v>
      </c>
      <c r="G3416" s="3" t="s">
        <v>52</v>
      </c>
      <c r="H3416" s="2" t="s">
        <v>62</v>
      </c>
      <c r="I3416" s="2" t="s">
        <v>7831</v>
      </c>
      <c r="J3416" s="3" t="str">
        <f>HYPERLINK("https://www.boe.es/gazeta/dias/1814/12/01/pdfs/GMD-1814-159.pdf#page=8","Abrir facsímil")</f>
        <v>Abrir facsímil</v>
      </c>
      <c r="K3416" s="3" t="s">
        <v>64</v>
      </c>
    </row>
    <row r="3417" spans="1:11" ht="42" customHeight="1">
      <c r="A3417" s="2" t="s">
        <v>7832</v>
      </c>
      <c r="B3417" s="2" t="s">
        <v>7833</v>
      </c>
      <c r="C3417" s="2" t="s">
        <v>38</v>
      </c>
      <c r="D3417" s="2" t="s">
        <v>39</v>
      </c>
      <c r="E3417" s="5">
        <v>-31371</v>
      </c>
      <c r="F3417" s="3" t="s">
        <v>1017</v>
      </c>
      <c r="G3417" s="3" t="s">
        <v>82</v>
      </c>
      <c r="H3417" s="2" t="s">
        <v>62</v>
      </c>
      <c r="I3417" s="2" t="s">
        <v>7834</v>
      </c>
      <c r="J3417" s="3" t="str">
        <f>HYPERLINK("https://www.boe.es/gazeta/dias/1814/02/08/pdfs/GRE-1814-18.pdf#page=3","Abrir facsímil")</f>
        <v>Abrir facsímil</v>
      </c>
      <c r="K3417" s="3" t="s">
        <v>64</v>
      </c>
    </row>
    <row r="3418" spans="1:11" ht="42" customHeight="1">
      <c r="A3418" s="2" t="s">
        <v>7835</v>
      </c>
      <c r="B3418" s="2" t="s">
        <v>7835</v>
      </c>
      <c r="C3418" s="2" t="s">
        <v>38</v>
      </c>
      <c r="D3418" s="2" t="s">
        <v>39</v>
      </c>
      <c r="E3418" s="5">
        <v>-31094</v>
      </c>
      <c r="F3418" s="3" t="s">
        <v>761</v>
      </c>
      <c r="G3418" s="3" t="s">
        <v>52</v>
      </c>
      <c r="H3418" s="2" t="s">
        <v>62</v>
      </c>
      <c r="I3418" s="2" t="s">
        <v>7836</v>
      </c>
      <c r="J3418" s="3" t="str">
        <f>HYPERLINK("https://www.boe.es/gazeta/dias/1814/11/12/pdfs/GMD-1814-151.pdf#page=8","Abrir facsímil")</f>
        <v>Abrir facsímil</v>
      </c>
      <c r="K3418" s="3" t="s">
        <v>64</v>
      </c>
    </row>
    <row r="3419" spans="1:11" ht="42" customHeight="1">
      <c r="A3419" s="2" t="s">
        <v>7837</v>
      </c>
      <c r="B3419" s="2" t="s">
        <v>7838</v>
      </c>
      <c r="C3419" s="2" t="s">
        <v>38</v>
      </c>
      <c r="D3419" s="2" t="s">
        <v>39</v>
      </c>
      <c r="E3419" s="5">
        <v>-31192</v>
      </c>
      <c r="F3419" s="3" t="s">
        <v>388</v>
      </c>
      <c r="G3419" s="3" t="s">
        <v>20</v>
      </c>
      <c r="H3419" s="2" t="s">
        <v>62</v>
      </c>
      <c r="I3419" s="2" t="s">
        <v>7839</v>
      </c>
      <c r="J3419" s="3" t="str">
        <f>HYPERLINK("https://www.boe.es/gazeta/dias/1814/08/06/pdfs/GMD-1814-108.pdf#page=7","Abrir facsímil")</f>
        <v>Abrir facsímil</v>
      </c>
      <c r="K3419" s="3" t="s">
        <v>64</v>
      </c>
    </row>
    <row r="3420" spans="1:11" ht="42" customHeight="1">
      <c r="A3420" s="2" t="s">
        <v>7840</v>
      </c>
      <c r="B3420" s="2" t="s">
        <v>7841</v>
      </c>
      <c r="C3420" s="2" t="s">
        <v>26</v>
      </c>
      <c r="D3420" s="2" t="s">
        <v>27</v>
      </c>
      <c r="E3420" s="5">
        <v>-31243</v>
      </c>
      <c r="F3420" s="3" t="s">
        <v>500</v>
      </c>
      <c r="G3420" s="3" t="s">
        <v>20</v>
      </c>
      <c r="H3420" s="2" t="s">
        <v>62</v>
      </c>
      <c r="I3420" s="2" t="s">
        <v>7842</v>
      </c>
      <c r="J3420" s="3" t="str">
        <f>HYPERLINK("https://www.boe.es/gazeta/dias/1814/06/16/pdfs/GMD-1814-86.pdf#page=7","Abrir facsímil")</f>
        <v>Abrir facsímil</v>
      </c>
      <c r="K3420" s="3" t="s">
        <v>64</v>
      </c>
    </row>
    <row r="3421" spans="1:11" ht="42" customHeight="1">
      <c r="A3421" s="2" t="s">
        <v>7843</v>
      </c>
      <c r="B3421" s="2" t="s">
        <v>7843</v>
      </c>
      <c r="C3421" s="2" t="s">
        <v>38</v>
      </c>
      <c r="D3421" s="2" t="s">
        <v>39</v>
      </c>
      <c r="E3421" s="5">
        <v>-31325</v>
      </c>
      <c r="F3421" s="3" t="s">
        <v>67</v>
      </c>
      <c r="G3421" s="3" t="s">
        <v>99</v>
      </c>
      <c r="H3421" s="2" t="s">
        <v>62</v>
      </c>
      <c r="I3421" s="2" t="s">
        <v>7844</v>
      </c>
      <c r="J3421" s="3" t="str">
        <f>HYPERLINK("https://www.boe.es/gazeta/dias/1814/03/26/pdfs/GRE-1814-43.pdf#page=5","Abrir facsímil")</f>
        <v>Abrir facsímil</v>
      </c>
      <c r="K3421" s="3" t="s">
        <v>64</v>
      </c>
    </row>
    <row r="3422" spans="1:11" ht="42" customHeight="1">
      <c r="A3422" s="2" t="s">
        <v>7845</v>
      </c>
      <c r="B3422" s="2" t="s">
        <v>7845</v>
      </c>
      <c r="C3422" s="2" t="s">
        <v>38</v>
      </c>
      <c r="D3422" s="2" t="s">
        <v>39</v>
      </c>
      <c r="E3422" s="5">
        <v>-31294</v>
      </c>
      <c r="F3422" s="3" t="s">
        <v>680</v>
      </c>
      <c r="G3422" s="3" t="s">
        <v>82</v>
      </c>
      <c r="H3422" s="2" t="s">
        <v>62</v>
      </c>
      <c r="I3422" s="2" t="s">
        <v>7846</v>
      </c>
      <c r="J3422" s="3" t="str">
        <f>HYPERLINK("https://www.boe.es/gazeta/dias/1814/04/26/pdfs/GRE-1814-61.pdf#page=3","Abrir facsímil")</f>
        <v>Abrir facsímil</v>
      </c>
      <c r="K3422" s="3" t="s">
        <v>64</v>
      </c>
    </row>
    <row r="3423" spans="1:11" ht="42" customHeight="1">
      <c r="A3423" s="2" t="s">
        <v>7847</v>
      </c>
      <c r="B3423" s="2" t="s">
        <v>7847</v>
      </c>
      <c r="C3423" s="2" t="s">
        <v>17</v>
      </c>
      <c r="D3423" s="2" t="s">
        <v>18</v>
      </c>
      <c r="E3423" s="5">
        <v>-31192</v>
      </c>
      <c r="F3423" s="3" t="s">
        <v>388</v>
      </c>
      <c r="G3423" s="3" t="s">
        <v>87</v>
      </c>
      <c r="H3423" s="2" t="s">
        <v>62</v>
      </c>
      <c r="I3423" s="2" t="s">
        <v>7848</v>
      </c>
      <c r="J3423" s="3" t="str">
        <f>HYPERLINK("https://www.boe.es/gazeta/dias/1814/08/06/pdfs/GMD-1814-108.pdf#page=2","Abrir facsímil")</f>
        <v>Abrir facsímil</v>
      </c>
      <c r="K3423" s="3" t="s">
        <v>64</v>
      </c>
    </row>
    <row r="3424" spans="1:11" ht="42" customHeight="1">
      <c r="A3424" s="2" t="s">
        <v>7849</v>
      </c>
      <c r="B3424" s="2" t="s">
        <v>7849</v>
      </c>
      <c r="C3424" s="2" t="s">
        <v>38</v>
      </c>
      <c r="D3424" s="2" t="s">
        <v>39</v>
      </c>
      <c r="E3424" s="5">
        <v>-31236</v>
      </c>
      <c r="F3424" s="3" t="s">
        <v>33</v>
      </c>
      <c r="G3424" s="3" t="s">
        <v>41</v>
      </c>
      <c r="H3424" s="2" t="s">
        <v>62</v>
      </c>
      <c r="I3424" s="2" t="s">
        <v>7850</v>
      </c>
      <c r="J3424" s="3" t="str">
        <f>HYPERLINK("https://www.boe.es/gazeta/dias/1814/06/23/pdfs/GMD-1814-89.pdf#page=4","Abrir facsímil")</f>
        <v>Abrir facsímil</v>
      </c>
      <c r="K3424" s="3" t="s">
        <v>64</v>
      </c>
    </row>
    <row r="3425" spans="1:11" ht="42" customHeight="1">
      <c r="A3425" s="2" t="s">
        <v>7851</v>
      </c>
      <c r="B3425" s="2" t="s">
        <v>7852</v>
      </c>
      <c r="C3425" s="2" t="s">
        <v>26</v>
      </c>
      <c r="D3425" s="2" t="s">
        <v>27</v>
      </c>
      <c r="E3425" s="5">
        <v>-31143</v>
      </c>
      <c r="F3425" s="3" t="s">
        <v>787</v>
      </c>
      <c r="G3425" s="3" t="s">
        <v>20</v>
      </c>
      <c r="H3425" s="2" t="s">
        <v>62</v>
      </c>
      <c r="I3425" s="2" t="s">
        <v>7853</v>
      </c>
      <c r="J3425" s="3" t="str">
        <f>HYPERLINK("https://www.boe.es/gazeta/dias/1814/09/24/pdfs/GMD-1814-130.pdf#page=7","Abrir facsímil")</f>
        <v>Abrir facsímil</v>
      </c>
      <c r="K3425" s="3" t="s">
        <v>64</v>
      </c>
    </row>
    <row r="3426" spans="1:11" ht="42" customHeight="1">
      <c r="A3426" s="2" t="s">
        <v>7854</v>
      </c>
      <c r="B3426" s="2" t="s">
        <v>7855</v>
      </c>
      <c r="C3426" s="2" t="s">
        <v>26</v>
      </c>
      <c r="D3426" s="2" t="s">
        <v>27</v>
      </c>
      <c r="E3426" s="5">
        <v>-31077</v>
      </c>
      <c r="F3426" s="3" t="s">
        <v>414</v>
      </c>
      <c r="G3426" s="3" t="s">
        <v>52</v>
      </c>
      <c r="H3426" s="2" t="s">
        <v>62</v>
      </c>
      <c r="I3426" s="2" t="s">
        <v>7856</v>
      </c>
      <c r="J3426" s="3" t="str">
        <f>HYPERLINK("https://www.boe.es/gazeta/dias/1814/11/29/pdfs/GMD-1814-158.pdf#page=8","Abrir facsímil")</f>
        <v>Abrir facsímil</v>
      </c>
      <c r="K3426" s="3" t="s">
        <v>64</v>
      </c>
    </row>
    <row r="3427" spans="1:11" ht="42" customHeight="1">
      <c r="A3427" s="2" t="s">
        <v>7857</v>
      </c>
      <c r="B3427" s="2" t="s">
        <v>7857</v>
      </c>
      <c r="C3427" s="2" t="s">
        <v>38</v>
      </c>
      <c r="D3427" s="2" t="s">
        <v>39</v>
      </c>
      <c r="E3427" s="5">
        <v>-31287</v>
      </c>
      <c r="F3427" s="3" t="s">
        <v>491</v>
      </c>
      <c r="G3427" s="3" t="s">
        <v>57</v>
      </c>
      <c r="H3427" s="2" t="s">
        <v>62</v>
      </c>
      <c r="I3427" s="2" t="s">
        <v>7858</v>
      </c>
      <c r="J3427" s="3" t="str">
        <f>HYPERLINK("https://www.boe.es/gazeta/dias/1814/05/03/pdfs/GRE-1814-65.pdf#page=6","Abrir facsímil")</f>
        <v>Abrir facsímil</v>
      </c>
      <c r="K3427" s="3" t="s">
        <v>64</v>
      </c>
    </row>
    <row r="3428" spans="1:11" ht="42" customHeight="1">
      <c r="A3428" s="2" t="s">
        <v>7859</v>
      </c>
      <c r="B3428" s="2" t="s">
        <v>7859</v>
      </c>
      <c r="C3428" s="2" t="s">
        <v>38</v>
      </c>
      <c r="D3428" s="2" t="s">
        <v>39</v>
      </c>
      <c r="E3428" s="5">
        <v>-31059</v>
      </c>
      <c r="F3428" s="3" t="s">
        <v>263</v>
      </c>
      <c r="G3428" s="3" t="s">
        <v>711</v>
      </c>
      <c r="H3428" s="2" t="s">
        <v>62</v>
      </c>
      <c r="I3428" s="2" t="s">
        <v>7860</v>
      </c>
      <c r="J3428" s="3" t="str">
        <f>HYPERLINK("https://www.boe.es/gazeta/dias/1814/12/17/pdfs/GMD-1814-167.pdf#page=4","Abrir facsímil")</f>
        <v>Abrir facsímil</v>
      </c>
      <c r="K3428" s="3" t="s">
        <v>64</v>
      </c>
    </row>
    <row r="3429" spans="1:11" ht="42" customHeight="1">
      <c r="A3429" s="2" t="s">
        <v>7861</v>
      </c>
      <c r="B3429" s="2" t="s">
        <v>7862</v>
      </c>
      <c r="C3429" s="2" t="s">
        <v>38</v>
      </c>
      <c r="D3429" s="2" t="s">
        <v>39</v>
      </c>
      <c r="E3429" s="5">
        <v>-31364</v>
      </c>
      <c r="F3429" s="3" t="s">
        <v>594</v>
      </c>
      <c r="G3429" s="3" t="s">
        <v>57</v>
      </c>
      <c r="H3429" s="2" t="s">
        <v>62</v>
      </c>
      <c r="I3429" s="2" t="s">
        <v>7863</v>
      </c>
      <c r="J3429" s="3" t="str">
        <f>HYPERLINK("https://www.boe.es/gazeta/dias/1814/02/15/pdfs/GRE-1814-21.pdf#page=6","Abrir facsímil")</f>
        <v>Abrir facsímil</v>
      </c>
      <c r="K3429" s="3" t="s">
        <v>64</v>
      </c>
    </row>
    <row r="3430" spans="1:11" ht="42" customHeight="1">
      <c r="A3430" s="2" t="s">
        <v>7864</v>
      </c>
      <c r="B3430" s="2" t="s">
        <v>7865</v>
      </c>
      <c r="C3430" s="2" t="s">
        <v>38</v>
      </c>
      <c r="D3430" s="2" t="s">
        <v>39</v>
      </c>
      <c r="E3430" s="5">
        <v>-31185</v>
      </c>
      <c r="F3430" s="3" t="s">
        <v>1238</v>
      </c>
      <c r="G3430" s="3" t="s">
        <v>3166</v>
      </c>
      <c r="H3430" s="2" t="s">
        <v>62</v>
      </c>
      <c r="I3430" s="2" t="s">
        <v>7866</v>
      </c>
      <c r="J3430" s="3" t="str">
        <f>HYPERLINK("https://www.boe.es/gazeta/dias/1814/08/13/pdfs/GMD-1814-111.pdf#page=7","Abrir facsímil")</f>
        <v>Abrir facsímil</v>
      </c>
      <c r="K3430" s="3" t="s">
        <v>64</v>
      </c>
    </row>
    <row r="3431" spans="1:11" ht="42" customHeight="1">
      <c r="A3431" s="2" t="s">
        <v>7867</v>
      </c>
      <c r="B3431" s="2" t="s">
        <v>7868</v>
      </c>
      <c r="C3431" s="2" t="s">
        <v>32</v>
      </c>
      <c r="D3431" s="2" t="s">
        <v>18</v>
      </c>
      <c r="E3431" s="5">
        <v>-31122</v>
      </c>
      <c r="F3431" s="3" t="s">
        <v>28</v>
      </c>
      <c r="G3431" s="3" t="s">
        <v>52</v>
      </c>
      <c r="H3431" s="2" t="s">
        <v>62</v>
      </c>
      <c r="I3431" s="2" t="s">
        <v>7869</v>
      </c>
      <c r="J3431" s="3" t="str">
        <f>HYPERLINK("https://www.boe.es/gazeta/dias/1814/10/15/pdfs/GMD-1814-139.pdf#page=8","Abrir facsímil")</f>
        <v>Abrir facsímil</v>
      </c>
      <c r="K3431" s="3" t="s">
        <v>64</v>
      </c>
    </row>
    <row r="3432" spans="1:11" ht="42" customHeight="1">
      <c r="A3432" s="2" t="s">
        <v>7870</v>
      </c>
      <c r="B3432" s="2" t="s">
        <v>7871</v>
      </c>
      <c r="C3432" s="2" t="s">
        <v>38</v>
      </c>
      <c r="D3432" s="2" t="s">
        <v>39</v>
      </c>
      <c r="E3432" s="5">
        <v>-31388</v>
      </c>
      <c r="F3432" s="3" t="s">
        <v>1299</v>
      </c>
      <c r="G3432" s="3" t="s">
        <v>5761</v>
      </c>
      <c r="H3432" s="2" t="s">
        <v>62</v>
      </c>
      <c r="I3432" s="2" t="s">
        <v>7872</v>
      </c>
      <c r="J3432" s="3" t="str">
        <f>HYPERLINK("https://www.boe.es/gazeta/dias/1814/01/22/pdfs/GRE-1814-11.pdf#page=6","Abrir facsímil")</f>
        <v>Abrir facsímil</v>
      </c>
      <c r="K3432" s="3" t="s">
        <v>64</v>
      </c>
    </row>
    <row r="3433" spans="1:11" ht="42" customHeight="1">
      <c r="A3433" s="2" t="s">
        <v>7873</v>
      </c>
      <c r="B3433" s="2" t="s">
        <v>7874</v>
      </c>
      <c r="C3433" s="2" t="s">
        <v>38</v>
      </c>
      <c r="D3433" s="2" t="s">
        <v>39</v>
      </c>
      <c r="E3433" s="5">
        <v>-31140</v>
      </c>
      <c r="F3433" s="3" t="s">
        <v>525</v>
      </c>
      <c r="G3433" s="3" t="s">
        <v>57</v>
      </c>
      <c r="H3433" s="2" t="s">
        <v>62</v>
      </c>
      <c r="I3433" s="2" t="s">
        <v>7875</v>
      </c>
      <c r="J3433" s="3" t="str">
        <f>HYPERLINK("https://www.boe.es/gazeta/dias/1814/09/27/pdfs/GMD-1814-131.pdf#page=6","Abrir facsímil")</f>
        <v>Abrir facsímil</v>
      </c>
      <c r="K3433" s="3" t="s">
        <v>64</v>
      </c>
    </row>
    <row r="3434" spans="1:11" ht="42" customHeight="1">
      <c r="A3434" s="2" t="s">
        <v>7876</v>
      </c>
      <c r="B3434" s="2" t="s">
        <v>7877</v>
      </c>
      <c r="C3434" s="2" t="s">
        <v>45</v>
      </c>
      <c r="D3434" s="2" t="s">
        <v>18</v>
      </c>
      <c r="E3434" s="5">
        <v>-31227</v>
      </c>
      <c r="F3434" s="3" t="s">
        <v>102</v>
      </c>
      <c r="G3434" s="3" t="s">
        <v>82</v>
      </c>
      <c r="H3434" s="2" t="s">
        <v>62</v>
      </c>
      <c r="I3434" s="2" t="s">
        <v>7878</v>
      </c>
      <c r="J3434" s="3" t="str">
        <f>HYPERLINK("https://www.boe.es/gazeta/dias/1814/07/02/pdfs/GMD-1814-93.pdf#page=3","Abrir facsímil")</f>
        <v>Abrir facsímil</v>
      </c>
      <c r="K3434" s="3" t="s">
        <v>64</v>
      </c>
    </row>
    <row r="3435" spans="1:11" ht="42" customHeight="1">
      <c r="A3435" s="2" t="s">
        <v>7879</v>
      </c>
      <c r="B3435" s="2" t="s">
        <v>7880</v>
      </c>
      <c r="C3435" s="2" t="s">
        <v>38</v>
      </c>
      <c r="D3435" s="2" t="s">
        <v>39</v>
      </c>
      <c r="E3435" s="5">
        <v>-31236</v>
      </c>
      <c r="F3435" s="3" t="s">
        <v>33</v>
      </c>
      <c r="G3435" s="3" t="s">
        <v>82</v>
      </c>
      <c r="H3435" s="2" t="s">
        <v>62</v>
      </c>
      <c r="I3435" s="2" t="s">
        <v>7881</v>
      </c>
      <c r="J3435" s="3" t="str">
        <f>HYPERLINK("https://www.boe.es/gazeta/dias/1814/06/23/pdfs/GMD-1814-89.pdf#page=3","Abrir facsímil")</f>
        <v>Abrir facsímil</v>
      </c>
      <c r="K3435" s="3" t="s">
        <v>64</v>
      </c>
    </row>
    <row r="3436" spans="1:11" ht="42" customHeight="1">
      <c r="A3436" s="2" t="s">
        <v>7882</v>
      </c>
      <c r="B3436" s="2" t="s">
        <v>7883</v>
      </c>
      <c r="C3436" s="2" t="s">
        <v>38</v>
      </c>
      <c r="D3436" s="2" t="s">
        <v>314</v>
      </c>
      <c r="E3436" s="5">
        <v>-31296</v>
      </c>
      <c r="F3436" s="3" t="s">
        <v>315</v>
      </c>
      <c r="G3436" s="3" t="s">
        <v>52</v>
      </c>
      <c r="H3436" s="2" t="s">
        <v>62</v>
      </c>
      <c r="I3436" s="2" t="s">
        <v>7884</v>
      </c>
      <c r="J3436" s="3" t="str">
        <f>HYPERLINK("https://www.boe.es/gazeta/dias/1814/04/24/pdfs/GRE-1814-60E.pdf#page=8","Abrir facsímil")</f>
        <v>Abrir facsímil</v>
      </c>
      <c r="K3436" s="3" t="s">
        <v>64</v>
      </c>
    </row>
    <row r="3437" spans="1:11" ht="42" customHeight="1">
      <c r="A3437" s="2" t="s">
        <v>7885</v>
      </c>
      <c r="B3437" s="2" t="s">
        <v>7886</v>
      </c>
      <c r="C3437" s="2" t="s">
        <v>38</v>
      </c>
      <c r="D3437" s="2" t="s">
        <v>39</v>
      </c>
      <c r="E3437" s="5">
        <v>-31329</v>
      </c>
      <c r="F3437" s="3" t="s">
        <v>621</v>
      </c>
      <c r="G3437" s="3" t="s">
        <v>2755</v>
      </c>
      <c r="H3437" s="2" t="s">
        <v>62</v>
      </c>
      <c r="I3437" s="2" t="s">
        <v>7887</v>
      </c>
      <c r="J3437" s="3" t="str">
        <f>HYPERLINK("https://www.boe.es/gazeta/dias/1814/03/22/pdfs/GRE-1814-39.pdf#page=8","Abrir facsímil")</f>
        <v>Abrir facsímil</v>
      </c>
      <c r="K3437" s="3" t="s">
        <v>64</v>
      </c>
    </row>
    <row r="3438" spans="1:11" ht="42" customHeight="1">
      <c r="A3438" s="2" t="s">
        <v>7888</v>
      </c>
      <c r="B3438" s="2" t="s">
        <v>7889</v>
      </c>
      <c r="C3438" s="2" t="s">
        <v>38</v>
      </c>
      <c r="D3438" s="2" t="s">
        <v>39</v>
      </c>
      <c r="E3438" s="5">
        <v>-31306</v>
      </c>
      <c r="F3438" s="3" t="s">
        <v>670</v>
      </c>
      <c r="G3438" s="3" t="s">
        <v>82</v>
      </c>
      <c r="H3438" s="2" t="s">
        <v>21</v>
      </c>
      <c r="I3438" s="2" t="s">
        <v>7890</v>
      </c>
      <c r="J3438" s="3" t="str">
        <f>HYPERLINK("https://www.boe.es/gazeta/dias/1814/04/14/pdfs/GRE-1814-53.pdf#page=3","Abrir facsímil")</f>
        <v>Abrir facsímil</v>
      </c>
      <c r="K3438" s="3" t="s">
        <v>23</v>
      </c>
    </row>
    <row r="3439" spans="1:11" ht="42" customHeight="1">
      <c r="A3439" s="2" t="s">
        <v>7891</v>
      </c>
      <c r="B3439" s="2" t="s">
        <v>7892</v>
      </c>
      <c r="C3439" s="2" t="s">
        <v>38</v>
      </c>
      <c r="D3439" s="2" t="s">
        <v>39</v>
      </c>
      <c r="E3439" s="5">
        <v>-31080</v>
      </c>
      <c r="F3439" s="3" t="s">
        <v>286</v>
      </c>
      <c r="G3439" s="3" t="s">
        <v>677</v>
      </c>
      <c r="H3439" s="2" t="s">
        <v>62</v>
      </c>
      <c r="I3439" s="2" t="s">
        <v>7893</v>
      </c>
      <c r="J3439" s="3" t="str">
        <f>HYPERLINK("https://www.boe.es/gazeta/dias/1814/11/26/pdfs/GMD-1814-157.pdf#page=7","Abrir facsímil")</f>
        <v>Abrir facsímil</v>
      </c>
      <c r="K3439" s="3" t="s">
        <v>64</v>
      </c>
    </row>
    <row r="3440" spans="1:11" ht="42" customHeight="1">
      <c r="A3440" s="2" t="s">
        <v>7894</v>
      </c>
      <c r="B3440" s="2" t="s">
        <v>7895</v>
      </c>
      <c r="C3440" s="2" t="s">
        <v>26</v>
      </c>
      <c r="D3440" s="2" t="s">
        <v>27</v>
      </c>
      <c r="E3440" s="5">
        <v>-31145</v>
      </c>
      <c r="F3440" s="3" t="s">
        <v>523</v>
      </c>
      <c r="G3440" s="3" t="s">
        <v>20</v>
      </c>
      <c r="H3440" s="2" t="s">
        <v>21</v>
      </c>
      <c r="I3440" s="2" t="s">
        <v>7896</v>
      </c>
      <c r="J3440" s="3" t="str">
        <f>HYPERLINK("https://www.boe.es/gazeta/dias/1814/09/22/pdfs/GMD-1814-129.pdf#page=7","Abrir facsímil")</f>
        <v>Abrir facsímil</v>
      </c>
      <c r="K3440" s="3" t="s">
        <v>23</v>
      </c>
    </row>
    <row r="3441" spans="1:11" ht="42" customHeight="1">
      <c r="A3441" s="2" t="s">
        <v>7897</v>
      </c>
      <c r="B3441" s="2" t="s">
        <v>7897</v>
      </c>
      <c r="C3441" s="2" t="s">
        <v>26</v>
      </c>
      <c r="D3441" s="2" t="s">
        <v>27</v>
      </c>
      <c r="E3441" s="5">
        <v>-31222</v>
      </c>
      <c r="F3441" s="3" t="s">
        <v>153</v>
      </c>
      <c r="G3441" s="3" t="s">
        <v>82</v>
      </c>
      <c r="H3441" s="2" t="s">
        <v>62</v>
      </c>
      <c r="I3441" s="2" t="s">
        <v>7898</v>
      </c>
      <c r="J3441" s="3" t="str">
        <f>HYPERLINK("https://www.boe.es/gazeta/dias/1814/07/07/pdfs/GMD-1814-95.pdf#page=3","Abrir facsímil")</f>
        <v>Abrir facsímil</v>
      </c>
      <c r="K3441" s="3" t="s">
        <v>64</v>
      </c>
    </row>
    <row r="3442" spans="1:11" ht="42" customHeight="1">
      <c r="A3442" s="2" t="s">
        <v>7899</v>
      </c>
      <c r="B3442" s="2" t="s">
        <v>7899</v>
      </c>
      <c r="C3442" s="2" t="s">
        <v>38</v>
      </c>
      <c r="D3442" s="2" t="s">
        <v>39</v>
      </c>
      <c r="E3442" s="5">
        <v>-31381</v>
      </c>
      <c r="F3442" s="3" t="s">
        <v>989</v>
      </c>
      <c r="G3442" s="3" t="s">
        <v>20</v>
      </c>
      <c r="H3442" s="2" t="s">
        <v>62</v>
      </c>
      <c r="I3442" s="2" t="s">
        <v>7900</v>
      </c>
      <c r="J3442" s="3" t="str">
        <f>HYPERLINK("https://www.boe.es/gazeta/dias/1814/01/29/pdfs/GRE-1814-14.pdf#page=7","Abrir facsímil")</f>
        <v>Abrir facsímil</v>
      </c>
      <c r="K3442" s="3" t="s">
        <v>64</v>
      </c>
    </row>
    <row r="3443" spans="1:11" ht="42" customHeight="1">
      <c r="A3443" s="2" t="s">
        <v>7901</v>
      </c>
      <c r="B3443" s="2" t="s">
        <v>7902</v>
      </c>
      <c r="C3443" s="2" t="s">
        <v>32</v>
      </c>
      <c r="D3443" s="2" t="s">
        <v>18</v>
      </c>
      <c r="E3443" s="5">
        <v>-31124</v>
      </c>
      <c r="F3443" s="3" t="s">
        <v>383</v>
      </c>
      <c r="G3443" s="3" t="s">
        <v>322</v>
      </c>
      <c r="H3443" s="2" t="s">
        <v>21</v>
      </c>
      <c r="I3443" s="2" t="s">
        <v>7903</v>
      </c>
      <c r="J3443" s="3" t="str">
        <f>HYPERLINK("https://www.boe.es/gazeta/dias/1814/10/13/pdfs/GMD-1814-138.pdf#page=12","Abrir facsímil")</f>
        <v>Abrir facsímil</v>
      </c>
      <c r="K3443" s="3" t="s">
        <v>23</v>
      </c>
    </row>
    <row r="3444" spans="1:11" ht="42" customHeight="1">
      <c r="A3444" s="2" t="s">
        <v>7904</v>
      </c>
      <c r="B3444" s="2" t="s">
        <v>7905</v>
      </c>
      <c r="C3444" s="2" t="s">
        <v>26</v>
      </c>
      <c r="D3444" s="2" t="s">
        <v>27</v>
      </c>
      <c r="E3444" s="5">
        <v>-31066</v>
      </c>
      <c r="F3444" s="3" t="s">
        <v>1323</v>
      </c>
      <c r="G3444" s="3" t="s">
        <v>99</v>
      </c>
      <c r="H3444" s="2" t="s">
        <v>62</v>
      </c>
      <c r="I3444" s="2" t="s">
        <v>7906</v>
      </c>
      <c r="J3444" s="3" t="str">
        <f>HYPERLINK("https://www.boe.es/gazeta/dias/1814/12/10/pdfs/GMD-1814-163.pdf#page=5","Abrir facsímil")</f>
        <v>Abrir facsímil</v>
      </c>
      <c r="K3444" s="3" t="s">
        <v>64</v>
      </c>
    </row>
    <row r="3445" spans="1:11" ht="42" customHeight="1">
      <c r="A3445" s="2" t="s">
        <v>7907</v>
      </c>
      <c r="B3445" s="2" t="s">
        <v>7908</v>
      </c>
      <c r="C3445" s="2" t="s">
        <v>38</v>
      </c>
      <c r="D3445" s="2" t="s">
        <v>39</v>
      </c>
      <c r="E3445" s="5">
        <v>-31308</v>
      </c>
      <c r="F3445" s="3" t="s">
        <v>210</v>
      </c>
      <c r="G3445" s="3" t="s">
        <v>20</v>
      </c>
      <c r="H3445" s="2" t="s">
        <v>62</v>
      </c>
      <c r="I3445" s="2" t="s">
        <v>7909</v>
      </c>
      <c r="J3445" s="3" t="str">
        <f>HYPERLINK("https://www.boe.es/gazeta/dias/1814/04/12/pdfs/GRE-1814-52.pdf#page=7","Abrir facsímil")</f>
        <v>Abrir facsímil</v>
      </c>
      <c r="K3445" s="3" t="s">
        <v>64</v>
      </c>
    </row>
    <row r="3446" spans="1:11" ht="42" customHeight="1">
      <c r="A3446" s="2" t="s">
        <v>7910</v>
      </c>
      <c r="B3446" s="2" t="s">
        <v>7911</v>
      </c>
      <c r="C3446" s="2" t="s">
        <v>38</v>
      </c>
      <c r="D3446" s="2" t="s">
        <v>39</v>
      </c>
      <c r="E3446" s="5">
        <v>-31087</v>
      </c>
      <c r="F3446" s="3" t="s">
        <v>118</v>
      </c>
      <c r="G3446" s="3" t="s">
        <v>52</v>
      </c>
      <c r="H3446" s="2" t="s">
        <v>62</v>
      </c>
      <c r="I3446" s="2" t="s">
        <v>7912</v>
      </c>
      <c r="J3446" s="3" t="str">
        <f>HYPERLINK("https://www.boe.es/gazeta/dias/1814/11/19/pdfs/GMD-1814-154.pdf#page=8","Abrir facsímil")</f>
        <v>Abrir facsímil</v>
      </c>
      <c r="K3446" s="3" t="s">
        <v>64</v>
      </c>
    </row>
    <row r="3447" spans="1:11" ht="42" customHeight="1">
      <c r="A3447" s="2" t="s">
        <v>7913</v>
      </c>
      <c r="B3447" s="2" t="s">
        <v>7914</v>
      </c>
      <c r="C3447" s="2" t="s">
        <v>38</v>
      </c>
      <c r="D3447" s="2" t="s">
        <v>39</v>
      </c>
      <c r="E3447" s="5">
        <v>-31220</v>
      </c>
      <c r="F3447" s="3" t="s">
        <v>122</v>
      </c>
      <c r="G3447" s="3" t="s">
        <v>82</v>
      </c>
      <c r="H3447" s="2" t="s">
        <v>21</v>
      </c>
      <c r="I3447" s="2" t="s">
        <v>7915</v>
      </c>
      <c r="J3447" s="3" t="str">
        <f>HYPERLINK("https://www.boe.es/gazeta/dias/1814/07/09/pdfs/GMD-1814-96.pdf#page=3","Abrir facsímil")</f>
        <v>Abrir facsímil</v>
      </c>
      <c r="K3447" s="3" t="s">
        <v>23</v>
      </c>
    </row>
    <row r="3448" spans="1:11" ht="42" customHeight="1">
      <c r="A3448" s="2" t="s">
        <v>7916</v>
      </c>
      <c r="B3448" s="2" t="s">
        <v>7917</v>
      </c>
      <c r="C3448" s="2" t="s">
        <v>38</v>
      </c>
      <c r="D3448" s="2" t="s">
        <v>39</v>
      </c>
      <c r="E3448" s="5">
        <v>-31192</v>
      </c>
      <c r="F3448" s="3" t="s">
        <v>388</v>
      </c>
      <c r="G3448" s="3" t="s">
        <v>20</v>
      </c>
      <c r="H3448" s="2" t="s">
        <v>21</v>
      </c>
      <c r="I3448" s="2" t="s">
        <v>7918</v>
      </c>
      <c r="J3448" s="3" t="str">
        <f>HYPERLINK("https://www.boe.es/gazeta/dias/1814/08/06/pdfs/GMD-1814-108.pdf#page=7","Abrir facsímil")</f>
        <v>Abrir facsímil</v>
      </c>
      <c r="K3448" s="3" t="s">
        <v>23</v>
      </c>
    </row>
    <row r="3449" spans="1:11" ht="42" customHeight="1">
      <c r="A3449" s="2" t="s">
        <v>7919</v>
      </c>
      <c r="B3449" s="2" t="s">
        <v>7920</v>
      </c>
      <c r="C3449" s="2" t="s">
        <v>38</v>
      </c>
      <c r="D3449" s="2" t="s">
        <v>39</v>
      </c>
      <c r="E3449" s="5">
        <v>-31152</v>
      </c>
      <c r="F3449" s="3" t="s">
        <v>199</v>
      </c>
      <c r="G3449" s="3" t="s">
        <v>52</v>
      </c>
      <c r="H3449" s="2" t="s">
        <v>62</v>
      </c>
      <c r="I3449" s="2" t="s">
        <v>7921</v>
      </c>
      <c r="J3449" s="3" t="str">
        <f>HYPERLINK("https://www.boe.es/gazeta/dias/1814/09/15/pdfs/GMD-1814-126.pdf#page=8","Abrir facsímil")</f>
        <v>Abrir facsímil</v>
      </c>
      <c r="K3449" s="3" t="s">
        <v>64</v>
      </c>
    </row>
    <row r="3450" spans="1:11" ht="42" customHeight="1">
      <c r="A3450" s="2" t="s">
        <v>7922</v>
      </c>
      <c r="B3450" s="2" t="s">
        <v>7923</v>
      </c>
      <c r="C3450" s="2" t="s">
        <v>45</v>
      </c>
      <c r="D3450" s="2" t="s">
        <v>18</v>
      </c>
      <c r="E3450" s="5">
        <v>-31138</v>
      </c>
      <c r="F3450" s="3" t="s">
        <v>1363</v>
      </c>
      <c r="G3450" s="3" t="s">
        <v>1364</v>
      </c>
      <c r="H3450" s="2" t="s">
        <v>62</v>
      </c>
      <c r="I3450" s="2" t="s">
        <v>7924</v>
      </c>
      <c r="J3450" s="3" t="str">
        <f>HYPERLINK("https://www.boe.es/gazeta/dias/1814/09/29/pdfs/GMD-1814-132.pdf#page=7","Abrir facsímil")</f>
        <v>Abrir facsímil</v>
      </c>
      <c r="K3450" s="3" t="s">
        <v>64</v>
      </c>
    </row>
    <row r="3451" spans="1:11" ht="42" customHeight="1">
      <c r="A3451" s="2" t="s">
        <v>7925</v>
      </c>
      <c r="B3451" s="2" t="s">
        <v>7926</v>
      </c>
      <c r="C3451" s="2" t="s">
        <v>38</v>
      </c>
      <c r="D3451" s="2" t="s">
        <v>39</v>
      </c>
      <c r="E3451" s="5">
        <v>-31054</v>
      </c>
      <c r="F3451" s="3" t="s">
        <v>952</v>
      </c>
      <c r="G3451" s="3" t="s">
        <v>20</v>
      </c>
      <c r="H3451" s="2" t="s">
        <v>62</v>
      </c>
      <c r="I3451" s="2" t="s">
        <v>7927</v>
      </c>
      <c r="J3451" s="3" t="str">
        <f>HYPERLINK("https://www.boe.es/gazeta/dias/1814/12/22/pdfs/GMD-1814-169.pdf#page=7","Abrir facsímil")</f>
        <v>Abrir facsímil</v>
      </c>
      <c r="K3451" s="3" t="s">
        <v>64</v>
      </c>
    </row>
    <row r="3452" spans="1:11" ht="42" customHeight="1">
      <c r="A3452" s="2" t="s">
        <v>7928</v>
      </c>
      <c r="B3452" s="2" t="s">
        <v>7929</v>
      </c>
      <c r="C3452" s="2" t="s">
        <v>17</v>
      </c>
      <c r="D3452" s="2" t="s">
        <v>18</v>
      </c>
      <c r="E3452" s="5">
        <v>-31154</v>
      </c>
      <c r="F3452" s="3" t="s">
        <v>688</v>
      </c>
      <c r="G3452" s="3" t="s">
        <v>831</v>
      </c>
      <c r="H3452" s="2" t="s">
        <v>62</v>
      </c>
      <c r="I3452" s="2" t="s">
        <v>7930</v>
      </c>
      <c r="J3452" s="3" t="str">
        <f>HYPERLINK("https://www.boe.es/gazeta/dias/1814/09/13/pdfs/GMD-1814-125.pdf#page=3","Abrir facsímil")</f>
        <v>Abrir facsímil</v>
      </c>
      <c r="K3452" s="3" t="s">
        <v>64</v>
      </c>
    </row>
    <row r="3453" spans="1:11" ht="42" customHeight="1">
      <c r="A3453" s="2" t="s">
        <v>7931</v>
      </c>
      <c r="B3453" s="2" t="s">
        <v>7932</v>
      </c>
      <c r="C3453" s="2" t="s">
        <v>38</v>
      </c>
      <c r="D3453" s="2" t="s">
        <v>39</v>
      </c>
      <c r="E3453" s="5">
        <v>-31292</v>
      </c>
      <c r="F3453" s="3" t="s">
        <v>557</v>
      </c>
      <c r="G3453" s="3" t="s">
        <v>3894</v>
      </c>
      <c r="H3453" s="2" t="s">
        <v>62</v>
      </c>
      <c r="I3453" s="2" t="s">
        <v>7933</v>
      </c>
      <c r="J3453" s="3" t="str">
        <f>HYPERLINK("https://www.boe.es/gazeta/dias/1814/04/28/pdfs/GRE-1814-63.pdf#page=5","Abrir facsímil")</f>
        <v>Abrir facsímil</v>
      </c>
      <c r="K3453" s="3" t="s">
        <v>64</v>
      </c>
    </row>
    <row r="3454" spans="1:11" ht="42" customHeight="1">
      <c r="A3454" s="2" t="s">
        <v>7934</v>
      </c>
      <c r="B3454" s="2" t="s">
        <v>7935</v>
      </c>
      <c r="C3454" s="2" t="s">
        <v>38</v>
      </c>
      <c r="D3454" s="2" t="s">
        <v>39</v>
      </c>
      <c r="E3454" s="5">
        <v>-31182</v>
      </c>
      <c r="F3454" s="3" t="s">
        <v>19</v>
      </c>
      <c r="G3454" s="3" t="s">
        <v>57</v>
      </c>
      <c r="H3454" s="2" t="s">
        <v>62</v>
      </c>
      <c r="I3454" s="2" t="s">
        <v>7936</v>
      </c>
      <c r="J3454" s="3" t="str">
        <f>HYPERLINK("https://www.boe.es/gazeta/dias/1814/08/16/pdfs/GMD-1814-112.pdf#page=6","Abrir facsímil")</f>
        <v>Abrir facsímil</v>
      </c>
      <c r="K3454" s="3" t="s">
        <v>64</v>
      </c>
    </row>
    <row r="3455" spans="1:11" ht="42" customHeight="1">
      <c r="A3455" s="2" t="s">
        <v>7937</v>
      </c>
      <c r="B3455" s="2" t="s">
        <v>7938</v>
      </c>
      <c r="C3455" s="2" t="s">
        <v>38</v>
      </c>
      <c r="D3455" s="2" t="s">
        <v>39</v>
      </c>
      <c r="E3455" s="5">
        <v>-31252</v>
      </c>
      <c r="F3455" s="3" t="s">
        <v>364</v>
      </c>
      <c r="G3455" s="3" t="s">
        <v>1437</v>
      </c>
      <c r="H3455" s="2" t="s">
        <v>62</v>
      </c>
      <c r="I3455" s="2" t="s">
        <v>7939</v>
      </c>
      <c r="J3455" s="3" t="str">
        <f>HYPERLINK("https://www.boe.es/gazeta/dias/1814/06/07/pdfs/GMD-1814-82.pdf#page=11","Abrir facsímil")</f>
        <v>Abrir facsímil</v>
      </c>
      <c r="K3455" s="3" t="s">
        <v>64</v>
      </c>
    </row>
    <row r="3456" spans="1:11" ht="42" customHeight="1">
      <c r="A3456" s="2" t="s">
        <v>7940</v>
      </c>
      <c r="B3456" s="2" t="s">
        <v>7941</v>
      </c>
      <c r="C3456" s="2" t="s">
        <v>38</v>
      </c>
      <c r="D3456" s="2" t="s">
        <v>39</v>
      </c>
      <c r="E3456" s="5">
        <v>-31171</v>
      </c>
      <c r="F3456" s="3" t="s">
        <v>157</v>
      </c>
      <c r="G3456" s="3" t="s">
        <v>57</v>
      </c>
      <c r="H3456" s="2" t="s">
        <v>62</v>
      </c>
      <c r="I3456" s="2" t="s">
        <v>7942</v>
      </c>
      <c r="J3456" s="3" t="str">
        <f>HYPERLINK("https://www.boe.es/gazeta/dias/1814/08/27/pdfs/GMD-1814-117.pdf#page=6","Abrir facsímil")</f>
        <v>Abrir facsímil</v>
      </c>
      <c r="K3456" s="3" t="s">
        <v>64</v>
      </c>
    </row>
    <row r="3457" spans="1:11" ht="42" customHeight="1">
      <c r="A3457" s="2" t="s">
        <v>7943</v>
      </c>
      <c r="B3457" s="2" t="s">
        <v>7944</v>
      </c>
      <c r="C3457" s="2" t="s">
        <v>26</v>
      </c>
      <c r="D3457" s="2" t="s">
        <v>27</v>
      </c>
      <c r="E3457" s="5">
        <v>-31360</v>
      </c>
      <c r="F3457" s="3" t="s">
        <v>480</v>
      </c>
      <c r="G3457" s="3" t="s">
        <v>52</v>
      </c>
      <c r="H3457" s="2" t="s">
        <v>62</v>
      </c>
      <c r="I3457" s="2" t="s">
        <v>7945</v>
      </c>
      <c r="J3457" s="3" t="str">
        <f>HYPERLINK("https://www.boe.es/gazeta/dias/1814/02/19/pdfs/GRE-1814-23.pdf#page=8","Abrir facsímil")</f>
        <v>Abrir facsímil</v>
      </c>
      <c r="K3457" s="3" t="s">
        <v>64</v>
      </c>
    </row>
    <row r="3458" spans="1:11" ht="42" customHeight="1">
      <c r="A3458" s="2" t="s">
        <v>7946</v>
      </c>
      <c r="B3458" s="2" t="s">
        <v>7947</v>
      </c>
      <c r="C3458" s="2" t="s">
        <v>26</v>
      </c>
      <c r="D3458" s="2" t="s">
        <v>27</v>
      </c>
      <c r="E3458" s="5">
        <v>-31145</v>
      </c>
      <c r="F3458" s="3" t="s">
        <v>523</v>
      </c>
      <c r="G3458" s="3" t="s">
        <v>20</v>
      </c>
      <c r="H3458" s="2" t="s">
        <v>62</v>
      </c>
      <c r="I3458" s="2" t="s">
        <v>7948</v>
      </c>
      <c r="J3458" s="3" t="str">
        <f>HYPERLINK("https://www.boe.es/gazeta/dias/1814/09/22/pdfs/GMD-1814-129.pdf#page=7","Abrir facsímil")</f>
        <v>Abrir facsímil</v>
      </c>
      <c r="K3458" s="3" t="s">
        <v>64</v>
      </c>
    </row>
    <row r="3459" spans="1:11" ht="42" customHeight="1">
      <c r="A3459" s="2" t="s">
        <v>7949</v>
      </c>
      <c r="B3459" s="2" t="s">
        <v>7950</v>
      </c>
      <c r="C3459" s="2" t="s">
        <v>32</v>
      </c>
      <c r="D3459" s="2" t="s">
        <v>18</v>
      </c>
      <c r="E3459" s="5">
        <v>-31059</v>
      </c>
      <c r="F3459" s="3" t="s">
        <v>263</v>
      </c>
      <c r="G3459" s="3" t="s">
        <v>7951</v>
      </c>
      <c r="H3459" s="2" t="s">
        <v>21</v>
      </c>
      <c r="I3459" s="2" t="s">
        <v>7952</v>
      </c>
      <c r="J3459" s="3" t="str">
        <f>HYPERLINK("https://www.boe.es/gazeta/dias/1814/12/17/pdfs/GMD-1814-167.pdf#page=5","Abrir facsímil")</f>
        <v>Abrir facsímil</v>
      </c>
      <c r="K3459" s="3" t="s">
        <v>23</v>
      </c>
    </row>
    <row r="3460" spans="1:11" ht="42" customHeight="1">
      <c r="A3460" s="2" t="s">
        <v>7953</v>
      </c>
      <c r="B3460" s="2" t="s">
        <v>7954</v>
      </c>
      <c r="C3460" s="2" t="s">
        <v>38</v>
      </c>
      <c r="D3460" s="2" t="s">
        <v>314</v>
      </c>
      <c r="E3460" s="5">
        <v>-31296</v>
      </c>
      <c r="F3460" s="3" t="s">
        <v>315</v>
      </c>
      <c r="G3460" s="3" t="s">
        <v>99</v>
      </c>
      <c r="H3460" s="2" t="s">
        <v>62</v>
      </c>
      <c r="I3460" s="2" t="s">
        <v>7955</v>
      </c>
      <c r="J3460" s="3" t="str">
        <f>HYPERLINK("https://www.boe.es/gazeta/dias/1814/04/24/pdfs/GRE-1814-60E.pdf#page=5","Abrir facsímil")</f>
        <v>Abrir facsímil</v>
      </c>
      <c r="K3460" s="3" t="s">
        <v>64</v>
      </c>
    </row>
    <row r="3461" spans="1:11" ht="42" customHeight="1">
      <c r="A3461" s="2" t="s">
        <v>7953</v>
      </c>
      <c r="B3461" s="2" t="s">
        <v>7954</v>
      </c>
      <c r="C3461" s="2" t="s">
        <v>38</v>
      </c>
      <c r="D3461" s="2" t="s">
        <v>314</v>
      </c>
      <c r="E3461" s="5">
        <v>-31296</v>
      </c>
      <c r="F3461" s="3" t="s">
        <v>315</v>
      </c>
      <c r="G3461" s="3" t="s">
        <v>20</v>
      </c>
      <c r="H3461" s="2" t="s">
        <v>62</v>
      </c>
      <c r="I3461" s="2" t="s">
        <v>7956</v>
      </c>
      <c r="J3461" s="3" t="str">
        <f>HYPERLINK("https://www.boe.es/gazeta/dias/1814/04/24/pdfs/GRE-1814-60E.pdf#page=7","Abrir facsímil")</f>
        <v>Abrir facsímil</v>
      </c>
      <c r="K3461" s="3" t="s">
        <v>64</v>
      </c>
    </row>
    <row r="3462" spans="1:11" ht="42" customHeight="1">
      <c r="A3462" s="2" t="s">
        <v>7957</v>
      </c>
      <c r="B3462" s="2" t="s">
        <v>7958</v>
      </c>
      <c r="C3462" s="2" t="s">
        <v>38</v>
      </c>
      <c r="D3462" s="2" t="s">
        <v>39</v>
      </c>
      <c r="E3462" s="5">
        <v>-31143</v>
      </c>
      <c r="F3462" s="3" t="s">
        <v>787</v>
      </c>
      <c r="G3462" s="3" t="s">
        <v>20</v>
      </c>
      <c r="H3462" s="2" t="s">
        <v>62</v>
      </c>
      <c r="I3462" s="2" t="s">
        <v>7959</v>
      </c>
      <c r="J3462" s="3" t="str">
        <f>HYPERLINK("https://www.boe.es/gazeta/dias/1814/09/24/pdfs/GMD-1814-130.pdf#page=7","Abrir facsímil")</f>
        <v>Abrir facsímil</v>
      </c>
      <c r="K3462" s="3" t="s">
        <v>64</v>
      </c>
    </row>
    <row r="3463" spans="1:11" ht="42" customHeight="1">
      <c r="A3463" s="2" t="s">
        <v>7960</v>
      </c>
      <c r="B3463" s="2" t="s">
        <v>7961</v>
      </c>
      <c r="C3463" s="2" t="s">
        <v>32</v>
      </c>
      <c r="D3463" s="2" t="s">
        <v>18</v>
      </c>
      <c r="E3463" s="5">
        <v>-31252</v>
      </c>
      <c r="F3463" s="3" t="s">
        <v>364</v>
      </c>
      <c r="G3463" s="3" t="s">
        <v>365</v>
      </c>
      <c r="H3463" s="2" t="s">
        <v>62</v>
      </c>
      <c r="I3463" s="2" t="s">
        <v>7962</v>
      </c>
      <c r="J3463" s="3" t="str">
        <f>HYPERLINK("https://www.boe.es/gazeta/dias/1814/06/07/pdfs/GMD-1814-82.pdf#page=8","Abrir facsímil")</f>
        <v>Abrir facsímil</v>
      </c>
      <c r="K3463" s="3" t="s">
        <v>64</v>
      </c>
    </row>
    <row r="3464" spans="1:11" ht="42" customHeight="1">
      <c r="A3464" s="2" t="s">
        <v>7963</v>
      </c>
      <c r="B3464" s="2" t="s">
        <v>7964</v>
      </c>
      <c r="C3464" s="2" t="s">
        <v>38</v>
      </c>
      <c r="D3464" s="2" t="s">
        <v>39</v>
      </c>
      <c r="E3464" s="5">
        <v>-31178</v>
      </c>
      <c r="F3464" s="3" t="s">
        <v>1390</v>
      </c>
      <c r="G3464" s="3" t="s">
        <v>52</v>
      </c>
      <c r="H3464" s="2" t="s">
        <v>21</v>
      </c>
      <c r="I3464" s="2" t="s">
        <v>7965</v>
      </c>
      <c r="J3464" s="3" t="str">
        <f>HYPERLINK("https://www.boe.es/gazeta/dias/1814/08/20/pdfs/GMD-1814-114.pdf#page=8","Abrir facsímil")</f>
        <v>Abrir facsímil</v>
      </c>
      <c r="K3464" s="3" t="s">
        <v>23</v>
      </c>
    </row>
    <row r="3465" spans="1:11" ht="42" customHeight="1">
      <c r="A3465" s="2" t="s">
        <v>7966</v>
      </c>
      <c r="B3465" s="2" t="s">
        <v>7967</v>
      </c>
      <c r="C3465" s="2" t="s">
        <v>17</v>
      </c>
      <c r="D3465" s="2" t="s">
        <v>18</v>
      </c>
      <c r="E3465" s="5">
        <v>-31189</v>
      </c>
      <c r="F3465" s="3" t="s">
        <v>379</v>
      </c>
      <c r="G3465" s="3" t="s">
        <v>99</v>
      </c>
      <c r="H3465" s="2" t="s">
        <v>21</v>
      </c>
      <c r="I3465" s="2" t="s">
        <v>7968</v>
      </c>
      <c r="J3465" s="3" t="str">
        <f>HYPERLINK("https://www.boe.es/gazeta/dias/1814/08/09/pdfs/GMD-1814-109.pdf#page=5","Abrir facsímil")</f>
        <v>Abrir facsímil</v>
      </c>
      <c r="K3465" s="3" t="s">
        <v>23</v>
      </c>
    </row>
    <row r="3466" spans="1:11" ht="42" customHeight="1">
      <c r="A3466" s="2" t="s">
        <v>7969</v>
      </c>
      <c r="B3466" s="2" t="s">
        <v>7970</v>
      </c>
      <c r="C3466" s="2" t="s">
        <v>38</v>
      </c>
      <c r="D3466" s="2" t="s">
        <v>39</v>
      </c>
      <c r="E3466" s="5">
        <v>-31089</v>
      </c>
      <c r="F3466" s="3" t="s">
        <v>531</v>
      </c>
      <c r="G3466" s="3" t="s">
        <v>20</v>
      </c>
      <c r="H3466" s="2" t="s">
        <v>62</v>
      </c>
      <c r="I3466" s="2" t="s">
        <v>7971</v>
      </c>
      <c r="J3466" s="3" t="str">
        <f>HYPERLINK("https://www.boe.es/gazeta/dias/1814/11/17/pdfs/GMD-1814-153.pdf#page=7","Abrir facsímil")</f>
        <v>Abrir facsímil</v>
      </c>
      <c r="K3466" s="3" t="s">
        <v>64</v>
      </c>
    </row>
    <row r="3467" spans="1:11" ht="42" customHeight="1">
      <c r="A3467" s="2" t="s">
        <v>7972</v>
      </c>
      <c r="B3467" s="2" t="s">
        <v>7973</v>
      </c>
      <c r="C3467" s="2" t="s">
        <v>38</v>
      </c>
      <c r="D3467" s="2" t="s">
        <v>39</v>
      </c>
      <c r="E3467" s="5">
        <v>-31227</v>
      </c>
      <c r="F3467" s="3" t="s">
        <v>102</v>
      </c>
      <c r="G3467" s="3" t="s">
        <v>99</v>
      </c>
      <c r="H3467" s="2" t="s">
        <v>62</v>
      </c>
      <c r="I3467" s="2" t="s">
        <v>7974</v>
      </c>
      <c r="J3467" s="3" t="str">
        <f>HYPERLINK("https://www.boe.es/gazeta/dias/1814/07/02/pdfs/GMD-1814-93.pdf#page=5","Abrir facsímil")</f>
        <v>Abrir facsímil</v>
      </c>
      <c r="K3467" s="3" t="s">
        <v>64</v>
      </c>
    </row>
    <row r="3468" spans="1:11" ht="42" customHeight="1">
      <c r="A3468" s="2" t="s">
        <v>7975</v>
      </c>
      <c r="B3468" s="2" t="s">
        <v>7976</v>
      </c>
      <c r="C3468" s="2" t="s">
        <v>26</v>
      </c>
      <c r="D3468" s="2" t="s">
        <v>27</v>
      </c>
      <c r="E3468" s="5">
        <v>-31049</v>
      </c>
      <c r="F3468" s="3" t="s">
        <v>542</v>
      </c>
      <c r="G3468" s="3" t="s">
        <v>20</v>
      </c>
      <c r="H3468" s="2" t="s">
        <v>62</v>
      </c>
      <c r="I3468" s="2" t="s">
        <v>7977</v>
      </c>
      <c r="J3468" s="3" t="str">
        <f>HYPERLINK("https://www.boe.es/gazeta/dias/1814/12/27/pdfs/GMD-1814-171.pdf#page=7","Abrir facsímil")</f>
        <v>Abrir facsímil</v>
      </c>
      <c r="K3468" s="3" t="s">
        <v>64</v>
      </c>
    </row>
    <row r="3469" spans="1:11" ht="42" customHeight="1">
      <c r="A3469" s="2" t="s">
        <v>7978</v>
      </c>
      <c r="B3469" s="2" t="s">
        <v>7978</v>
      </c>
      <c r="C3469" s="2" t="s">
        <v>38</v>
      </c>
      <c r="D3469" s="2" t="s">
        <v>39</v>
      </c>
      <c r="E3469" s="5">
        <v>-31164</v>
      </c>
      <c r="F3469" s="3" t="s">
        <v>1423</v>
      </c>
      <c r="G3469" s="3" t="s">
        <v>87</v>
      </c>
      <c r="H3469" s="2" t="s">
        <v>62</v>
      </c>
      <c r="I3469" s="2" t="s">
        <v>7979</v>
      </c>
      <c r="J3469" s="3" t="str">
        <f>HYPERLINK("https://www.boe.es/gazeta/dias/1814/09/03/pdfs/GMD-1814-121.pdf#page=2","Abrir facsímil")</f>
        <v>Abrir facsímil</v>
      </c>
      <c r="K3469" s="3" t="s">
        <v>64</v>
      </c>
    </row>
    <row r="3470" spans="1:11" ht="42" customHeight="1">
      <c r="A3470" s="2" t="s">
        <v>7980</v>
      </c>
      <c r="B3470" s="2" t="s">
        <v>7981</v>
      </c>
      <c r="C3470" s="2" t="s">
        <v>26</v>
      </c>
      <c r="D3470" s="2" t="s">
        <v>27</v>
      </c>
      <c r="E3470" s="5">
        <v>-31075</v>
      </c>
      <c r="F3470" s="3" t="s">
        <v>537</v>
      </c>
      <c r="G3470" s="3" t="s">
        <v>20</v>
      </c>
      <c r="H3470" s="2" t="s">
        <v>62</v>
      </c>
      <c r="I3470" s="2" t="s">
        <v>7982</v>
      </c>
      <c r="J3470" s="3" t="str">
        <f>HYPERLINK("https://www.boe.es/gazeta/dias/1814/12/01/pdfs/GMD-1814-159.pdf#page=7","Abrir facsímil")</f>
        <v>Abrir facsímil</v>
      </c>
      <c r="K3470" s="3" t="s">
        <v>64</v>
      </c>
    </row>
    <row r="3471" spans="1:11" ht="42" customHeight="1">
      <c r="A3471" s="2" t="s">
        <v>7983</v>
      </c>
      <c r="B3471" s="2" t="s">
        <v>7984</v>
      </c>
      <c r="C3471" s="2" t="s">
        <v>38</v>
      </c>
      <c r="D3471" s="2" t="s">
        <v>39</v>
      </c>
      <c r="E3471" s="5">
        <v>-31196</v>
      </c>
      <c r="F3471" s="3" t="s">
        <v>828</v>
      </c>
      <c r="G3471" s="3" t="s">
        <v>52</v>
      </c>
      <c r="H3471" s="2" t="s">
        <v>62</v>
      </c>
      <c r="I3471" s="2" t="s">
        <v>7985</v>
      </c>
      <c r="J3471" s="3" t="str">
        <f>HYPERLINK("https://www.boe.es/gazeta/dias/1814/08/02/pdfs/GMD-1814-106.pdf#page=8","Abrir facsímil")</f>
        <v>Abrir facsímil</v>
      </c>
      <c r="K3471" s="3" t="s">
        <v>64</v>
      </c>
    </row>
    <row r="3472" spans="1:11" ht="42" customHeight="1">
      <c r="A3472" s="2" t="s">
        <v>7986</v>
      </c>
      <c r="B3472" s="2" t="s">
        <v>7986</v>
      </c>
      <c r="C3472" s="2" t="s">
        <v>38</v>
      </c>
      <c r="D3472" s="2" t="s">
        <v>39</v>
      </c>
      <c r="E3472" s="5">
        <v>-31406</v>
      </c>
      <c r="F3472" s="3" t="s">
        <v>1718</v>
      </c>
      <c r="G3472" s="3" t="s">
        <v>107</v>
      </c>
      <c r="H3472" s="2" t="s">
        <v>62</v>
      </c>
      <c r="I3472" s="2" t="s">
        <v>7987</v>
      </c>
      <c r="J3472" s="3" t="str">
        <f>HYPERLINK("https://www.boe.es/gazeta/dias/1814/01/04/pdfs/GRE-1814-2.pdf#page=1","Abrir facsímil")</f>
        <v>Abrir facsímil</v>
      </c>
      <c r="K3472" s="3" t="s">
        <v>64</v>
      </c>
    </row>
    <row r="3473" spans="1:11" ht="42" customHeight="1">
      <c r="A3473" s="2" t="s">
        <v>7988</v>
      </c>
      <c r="B3473" s="2" t="s">
        <v>7989</v>
      </c>
      <c r="C3473" s="2" t="s">
        <v>45</v>
      </c>
      <c r="D3473" s="2" t="s">
        <v>18</v>
      </c>
      <c r="E3473" s="5">
        <v>-31129</v>
      </c>
      <c r="F3473" s="3" t="s">
        <v>418</v>
      </c>
      <c r="G3473" s="3" t="s">
        <v>20</v>
      </c>
      <c r="H3473" s="2" t="s">
        <v>62</v>
      </c>
      <c r="I3473" s="2" t="s">
        <v>7990</v>
      </c>
      <c r="J3473" s="3" t="str">
        <f>HYPERLINK("https://www.boe.es/gazeta/dias/1814/10/08/pdfs/GMD-1814-136.pdf#page=7","Abrir facsímil")</f>
        <v>Abrir facsímil</v>
      </c>
      <c r="K3473" s="3" t="s">
        <v>64</v>
      </c>
    </row>
    <row r="3474" spans="1:11" ht="42" customHeight="1">
      <c r="A3474" s="2" t="s">
        <v>7991</v>
      </c>
      <c r="B3474" s="2" t="s">
        <v>7992</v>
      </c>
      <c r="C3474" s="2" t="s">
        <v>38</v>
      </c>
      <c r="D3474" s="2" t="s">
        <v>39</v>
      </c>
      <c r="E3474" s="5">
        <v>-31325</v>
      </c>
      <c r="F3474" s="3" t="s">
        <v>67</v>
      </c>
      <c r="G3474" s="3" t="s">
        <v>20</v>
      </c>
      <c r="H3474" s="2" t="s">
        <v>62</v>
      </c>
      <c r="I3474" s="2" t="s">
        <v>7993</v>
      </c>
      <c r="J3474" s="3" t="str">
        <f>HYPERLINK("https://www.boe.es/gazeta/dias/1814/03/26/pdfs/GRE-1814-43.pdf#page=7","Abrir facsímil")</f>
        <v>Abrir facsímil</v>
      </c>
      <c r="K3474" s="3" t="s">
        <v>64</v>
      </c>
    </row>
    <row r="3475" spans="1:11" ht="42" customHeight="1">
      <c r="A3475" s="2" t="s">
        <v>7994</v>
      </c>
      <c r="B3475" s="2" t="s">
        <v>7995</v>
      </c>
      <c r="C3475" s="2" t="s">
        <v>26</v>
      </c>
      <c r="D3475" s="2" t="s">
        <v>27</v>
      </c>
      <c r="E3475" s="5">
        <v>-31052</v>
      </c>
      <c r="F3475" s="3" t="s">
        <v>1407</v>
      </c>
      <c r="G3475" s="3" t="s">
        <v>82</v>
      </c>
      <c r="H3475" s="2" t="s">
        <v>62</v>
      </c>
      <c r="I3475" s="2" t="s">
        <v>7996</v>
      </c>
      <c r="J3475" s="3" t="str">
        <f>HYPERLINK("https://www.boe.es/gazeta/dias/1814/12/24/pdfs/GMD-1814-170.pdf#page=3","Abrir facsímil")</f>
        <v>Abrir facsímil</v>
      </c>
      <c r="K3475" s="3" t="s">
        <v>64</v>
      </c>
    </row>
    <row r="3476" spans="1:11" ht="42" customHeight="1">
      <c r="A3476" s="2" t="s">
        <v>7997</v>
      </c>
      <c r="B3476" s="2" t="s">
        <v>7998</v>
      </c>
      <c r="C3476" s="2" t="s">
        <v>38</v>
      </c>
      <c r="D3476" s="2" t="s">
        <v>39</v>
      </c>
      <c r="E3476" s="5">
        <v>-31404</v>
      </c>
      <c r="F3476" s="3" t="s">
        <v>630</v>
      </c>
      <c r="G3476" s="3" t="s">
        <v>1095</v>
      </c>
      <c r="H3476" s="2" t="s">
        <v>62</v>
      </c>
      <c r="I3476" s="2" t="s">
        <v>7999</v>
      </c>
      <c r="J3476" s="3" t="str">
        <f>HYPERLINK("https://www.boe.es/gazeta/dias/1814/01/06/pdfs/GRE-1814-3.pdf#page=7","Abrir facsímil")</f>
        <v>Abrir facsímil</v>
      </c>
      <c r="K3476" s="3" t="s">
        <v>64</v>
      </c>
    </row>
    <row r="3477" spans="1:11" ht="42" customHeight="1">
      <c r="A3477" s="2" t="s">
        <v>8000</v>
      </c>
      <c r="B3477" s="2" t="s">
        <v>8000</v>
      </c>
      <c r="C3477" s="2" t="s">
        <v>38</v>
      </c>
      <c r="D3477" s="2" t="s">
        <v>39</v>
      </c>
      <c r="E3477" s="5">
        <v>-31152</v>
      </c>
      <c r="F3477" s="3" t="s">
        <v>199</v>
      </c>
      <c r="G3477" s="3" t="s">
        <v>41</v>
      </c>
      <c r="H3477" s="2" t="s">
        <v>62</v>
      </c>
      <c r="I3477" s="2" t="s">
        <v>8001</v>
      </c>
      <c r="J3477" s="3" t="str">
        <f>HYPERLINK("https://www.boe.es/gazeta/dias/1814/09/15/pdfs/GMD-1814-126.pdf#page=4","Abrir facsímil")</f>
        <v>Abrir facsímil</v>
      </c>
      <c r="K3477" s="3" t="s">
        <v>64</v>
      </c>
    </row>
    <row r="3478" spans="1:11" ht="42" customHeight="1">
      <c r="A3478" s="2" t="s">
        <v>8002</v>
      </c>
      <c r="B3478" s="2" t="s">
        <v>8002</v>
      </c>
      <c r="C3478" s="2" t="s">
        <v>38</v>
      </c>
      <c r="D3478" s="2" t="s">
        <v>39</v>
      </c>
      <c r="E3478" s="5">
        <v>-31292</v>
      </c>
      <c r="F3478" s="3" t="s">
        <v>557</v>
      </c>
      <c r="G3478" s="3" t="s">
        <v>1678</v>
      </c>
      <c r="H3478" s="2" t="s">
        <v>62</v>
      </c>
      <c r="I3478" s="2" t="s">
        <v>8003</v>
      </c>
      <c r="J3478" s="3" t="str">
        <f>HYPERLINK("https://www.boe.es/gazeta/dias/1814/04/28/pdfs/GRE-1814-63.pdf#page=3","Abrir facsímil")</f>
        <v>Abrir facsímil</v>
      </c>
      <c r="K3478" s="3" t="s">
        <v>64</v>
      </c>
    </row>
    <row r="3479" spans="1:11" ht="42" customHeight="1">
      <c r="A3479" s="2" t="s">
        <v>8004</v>
      </c>
      <c r="B3479" s="2" t="s">
        <v>8005</v>
      </c>
      <c r="C3479" s="2" t="s">
        <v>38</v>
      </c>
      <c r="D3479" s="2" t="s">
        <v>39</v>
      </c>
      <c r="E3479" s="5">
        <v>-31308</v>
      </c>
      <c r="F3479" s="3" t="s">
        <v>210</v>
      </c>
      <c r="G3479" s="3" t="s">
        <v>20</v>
      </c>
      <c r="H3479" s="2" t="s">
        <v>62</v>
      </c>
      <c r="I3479" s="2" t="s">
        <v>8006</v>
      </c>
      <c r="J3479" s="3" t="str">
        <f>HYPERLINK("https://www.boe.es/gazeta/dias/1814/04/12/pdfs/GRE-1814-52.pdf#page=7","Abrir facsímil")</f>
        <v>Abrir facsímil</v>
      </c>
      <c r="K3479" s="3" t="s">
        <v>64</v>
      </c>
    </row>
    <row r="3480" spans="1:11" ht="42" customHeight="1">
      <c r="A3480" s="2" t="s">
        <v>8007</v>
      </c>
      <c r="B3480" s="2" t="s">
        <v>8007</v>
      </c>
      <c r="C3480" s="2" t="s">
        <v>38</v>
      </c>
      <c r="D3480" s="2" t="s">
        <v>39</v>
      </c>
      <c r="E3480" s="5">
        <v>-31325</v>
      </c>
      <c r="F3480" s="3" t="s">
        <v>67</v>
      </c>
      <c r="G3480" s="3" t="s">
        <v>99</v>
      </c>
      <c r="H3480" s="2" t="s">
        <v>62</v>
      </c>
      <c r="I3480" s="2" t="s">
        <v>8008</v>
      </c>
      <c r="J3480" s="3" t="str">
        <f>HYPERLINK("https://www.boe.es/gazeta/dias/1814/03/26/pdfs/GRE-1814-43.pdf#page=5","Abrir facsímil")</f>
        <v>Abrir facsímil</v>
      </c>
      <c r="K3480" s="3" t="s">
        <v>64</v>
      </c>
    </row>
    <row r="3481" spans="1:11" ht="42" customHeight="1">
      <c r="A3481" s="2" t="s">
        <v>8009</v>
      </c>
      <c r="B3481" s="2" t="s">
        <v>8010</v>
      </c>
      <c r="C3481" s="2" t="s">
        <v>32</v>
      </c>
      <c r="D3481" s="2" t="s">
        <v>18</v>
      </c>
      <c r="E3481" s="5">
        <v>-31066</v>
      </c>
      <c r="F3481" s="3" t="s">
        <v>1323</v>
      </c>
      <c r="G3481" s="3" t="s">
        <v>52</v>
      </c>
      <c r="H3481" s="2" t="s">
        <v>21</v>
      </c>
      <c r="I3481" s="2" t="s">
        <v>8011</v>
      </c>
      <c r="J3481" s="3" t="str">
        <f>HYPERLINK("https://www.boe.es/gazeta/dias/1814/12/10/pdfs/GMD-1814-163.pdf#page=8","Abrir facsímil")</f>
        <v>Abrir facsímil</v>
      </c>
      <c r="K3481" s="3" t="s">
        <v>23</v>
      </c>
    </row>
    <row r="3482" spans="1:11" ht="42" customHeight="1">
      <c r="A3482" s="2" t="s">
        <v>8012</v>
      </c>
      <c r="B3482" s="2" t="s">
        <v>8013</v>
      </c>
      <c r="C3482" s="2" t="s">
        <v>17</v>
      </c>
      <c r="D3482" s="2" t="s">
        <v>18</v>
      </c>
      <c r="E3482" s="5">
        <v>-31068</v>
      </c>
      <c r="F3482" s="3" t="s">
        <v>548</v>
      </c>
      <c r="G3482" s="3" t="s">
        <v>20</v>
      </c>
      <c r="H3482" s="2" t="s">
        <v>62</v>
      </c>
      <c r="I3482" s="2" t="s">
        <v>8014</v>
      </c>
      <c r="J3482" s="3" t="str">
        <f>HYPERLINK("https://www.boe.es/gazeta/dias/1814/12/08/pdfs/GMD-1814-162.pdf#page=7","Abrir facsímil")</f>
        <v>Abrir facsímil</v>
      </c>
      <c r="K3482" s="3" t="s">
        <v>64</v>
      </c>
    </row>
    <row r="3483" spans="1:11" ht="42" customHeight="1">
      <c r="A3483" s="2" t="s">
        <v>8015</v>
      </c>
      <c r="B3483" s="2" t="s">
        <v>8016</v>
      </c>
      <c r="C3483" s="2" t="s">
        <v>17</v>
      </c>
      <c r="D3483" s="2" t="s">
        <v>18</v>
      </c>
      <c r="E3483" s="5">
        <v>-31196</v>
      </c>
      <c r="F3483" s="3" t="s">
        <v>828</v>
      </c>
      <c r="G3483" s="3" t="s">
        <v>2207</v>
      </c>
      <c r="H3483" s="2" t="s">
        <v>62</v>
      </c>
      <c r="I3483" s="2" t="s">
        <v>8017</v>
      </c>
      <c r="J3483" s="3" t="str">
        <f>HYPERLINK("https://www.boe.es/gazeta/dias/1814/08/02/pdfs/GMD-1814-106.pdf#page=5","Abrir facsímil")</f>
        <v>Abrir facsímil</v>
      </c>
      <c r="K3483" s="3" t="s">
        <v>64</v>
      </c>
    </row>
    <row r="3484" spans="1:11" ht="42" customHeight="1">
      <c r="A3484" s="2" t="s">
        <v>8018</v>
      </c>
      <c r="B3484" s="2" t="s">
        <v>8018</v>
      </c>
      <c r="C3484" s="2" t="s">
        <v>26</v>
      </c>
      <c r="D3484" s="2" t="s">
        <v>27</v>
      </c>
      <c r="E3484" s="5">
        <v>-31063</v>
      </c>
      <c r="F3484" s="3" t="s">
        <v>649</v>
      </c>
      <c r="G3484" s="3" t="s">
        <v>82</v>
      </c>
      <c r="H3484" s="2" t="s">
        <v>62</v>
      </c>
      <c r="I3484" s="2" t="s">
        <v>8019</v>
      </c>
      <c r="J3484" s="3" t="str">
        <f>HYPERLINK("https://www.boe.es/gazeta/dias/1814/12/13/pdfs/GMD-1814-164.pdf#page=3","Abrir facsímil")</f>
        <v>Abrir facsímil</v>
      </c>
      <c r="K3484" s="3" t="s">
        <v>64</v>
      </c>
    </row>
    <row r="3485" spans="1:11" ht="42" customHeight="1">
      <c r="A3485" s="2" t="s">
        <v>8020</v>
      </c>
      <c r="B3485" s="2" t="s">
        <v>8021</v>
      </c>
      <c r="C3485" s="2" t="s">
        <v>38</v>
      </c>
      <c r="D3485" s="2" t="s">
        <v>39</v>
      </c>
      <c r="E3485" s="5">
        <v>-31206</v>
      </c>
      <c r="F3485" s="3" t="s">
        <v>1196</v>
      </c>
      <c r="G3485" s="3" t="s">
        <v>52</v>
      </c>
      <c r="H3485" s="2" t="s">
        <v>62</v>
      </c>
      <c r="I3485" s="2" t="s">
        <v>8022</v>
      </c>
      <c r="J3485" s="3" t="str">
        <f>HYPERLINK("https://www.boe.es/gazeta/dias/1814/07/23/pdfs/GMD-1814-102.pdf#page=8","Abrir facsímil")</f>
        <v>Abrir facsímil</v>
      </c>
      <c r="K3485" s="3" t="s">
        <v>64</v>
      </c>
    </row>
    <row r="3486" spans="1:11" ht="42" customHeight="1">
      <c r="A3486" s="2" t="s">
        <v>8023</v>
      </c>
      <c r="B3486" s="2" t="s">
        <v>8023</v>
      </c>
      <c r="C3486" s="2" t="s">
        <v>38</v>
      </c>
      <c r="D3486" s="2" t="s">
        <v>39</v>
      </c>
      <c r="E3486" s="5">
        <v>-31227</v>
      </c>
      <c r="F3486" s="3" t="s">
        <v>102</v>
      </c>
      <c r="G3486" s="3" t="s">
        <v>103</v>
      </c>
      <c r="H3486" s="2" t="s">
        <v>62</v>
      </c>
      <c r="I3486" s="2" t="s">
        <v>8024</v>
      </c>
      <c r="J3486" s="3" t="str">
        <f>HYPERLINK("https://www.boe.es/gazeta/dias/1814/07/02/pdfs/GMD-1814-93.pdf#page=4","Abrir facsímil")</f>
        <v>Abrir facsímil</v>
      </c>
      <c r="K3486" s="3" t="s">
        <v>64</v>
      </c>
    </row>
    <row r="3487" spans="1:11" ht="42" customHeight="1">
      <c r="A3487" s="2" t="s">
        <v>8023</v>
      </c>
      <c r="B3487" s="2" t="s">
        <v>8023</v>
      </c>
      <c r="C3487" s="2" t="s">
        <v>26</v>
      </c>
      <c r="D3487" s="2" t="s">
        <v>27</v>
      </c>
      <c r="E3487" s="5">
        <v>-31213</v>
      </c>
      <c r="F3487" s="3" t="s">
        <v>276</v>
      </c>
      <c r="G3487" s="3" t="s">
        <v>82</v>
      </c>
      <c r="H3487" s="2" t="s">
        <v>62</v>
      </c>
      <c r="I3487" s="2" t="s">
        <v>8025</v>
      </c>
      <c r="J3487" s="3" t="str">
        <f>HYPERLINK("https://www.boe.es/gazeta/dias/1814/07/16/pdfs/GMD-1814-99.pdf#page=3","Abrir facsímil")</f>
        <v>Abrir facsímil</v>
      </c>
      <c r="K3487" s="3" t="s">
        <v>64</v>
      </c>
    </row>
    <row r="3488" spans="1:11" ht="42" customHeight="1">
      <c r="A3488" s="2" t="s">
        <v>8023</v>
      </c>
      <c r="B3488" s="2" t="s">
        <v>8023</v>
      </c>
      <c r="C3488" s="2" t="s">
        <v>26</v>
      </c>
      <c r="D3488" s="2" t="s">
        <v>27</v>
      </c>
      <c r="E3488" s="5">
        <v>-31180</v>
      </c>
      <c r="F3488" s="3" t="s">
        <v>520</v>
      </c>
      <c r="G3488" s="3" t="s">
        <v>521</v>
      </c>
      <c r="H3488" s="2" t="s">
        <v>62</v>
      </c>
      <c r="I3488" s="2" t="s">
        <v>8026</v>
      </c>
      <c r="J3488" s="3" t="str">
        <f>HYPERLINK("https://www.boe.es/gazeta/dias/1814/08/18/pdfs/GMD-1814-113.pdf#page=2","Abrir facsímil")</f>
        <v>Abrir facsímil</v>
      </c>
      <c r="K3488" s="3" t="s">
        <v>64</v>
      </c>
    </row>
    <row r="3489" spans="1:11" ht="42" customHeight="1">
      <c r="A3489" s="2" t="s">
        <v>8023</v>
      </c>
      <c r="B3489" s="2" t="s">
        <v>8023</v>
      </c>
      <c r="C3489" s="2" t="s">
        <v>17</v>
      </c>
      <c r="D3489" s="2" t="s">
        <v>18</v>
      </c>
      <c r="E3489" s="5">
        <v>-31171</v>
      </c>
      <c r="F3489" s="3" t="s">
        <v>157</v>
      </c>
      <c r="G3489" s="3" t="s">
        <v>87</v>
      </c>
      <c r="H3489" s="2" t="s">
        <v>62</v>
      </c>
      <c r="I3489" s="2" t="s">
        <v>8027</v>
      </c>
      <c r="J3489" s="3" t="str">
        <f>HYPERLINK("https://www.boe.es/gazeta/dias/1814/08/27/pdfs/GMD-1814-117.pdf#page=2","Abrir facsímil")</f>
        <v>Abrir facsímil</v>
      </c>
      <c r="K3489" s="3" t="s">
        <v>64</v>
      </c>
    </row>
    <row r="3490" spans="1:11" ht="42" customHeight="1">
      <c r="A3490" s="2" t="s">
        <v>8023</v>
      </c>
      <c r="B3490" s="2" t="s">
        <v>8023</v>
      </c>
      <c r="C3490" s="2" t="s">
        <v>144</v>
      </c>
      <c r="D3490" s="2" t="s">
        <v>18</v>
      </c>
      <c r="E3490" s="5">
        <v>-31154</v>
      </c>
      <c r="F3490" s="3" t="s">
        <v>688</v>
      </c>
      <c r="G3490" s="3" t="s">
        <v>87</v>
      </c>
      <c r="H3490" s="2" t="s">
        <v>62</v>
      </c>
      <c r="I3490" s="2" t="s">
        <v>8028</v>
      </c>
      <c r="J3490" s="3" t="str">
        <f>HYPERLINK("https://www.boe.es/gazeta/dias/1814/09/13/pdfs/GMD-1814-125.pdf#page=2","Abrir facsímil")</f>
        <v>Abrir facsímil</v>
      </c>
      <c r="K3490" s="3" t="s">
        <v>64</v>
      </c>
    </row>
    <row r="3491" spans="1:11" ht="42" customHeight="1">
      <c r="A3491" s="2" t="s">
        <v>8023</v>
      </c>
      <c r="B3491" s="2" t="s">
        <v>8023</v>
      </c>
      <c r="C3491" s="2" t="s">
        <v>105</v>
      </c>
      <c r="D3491" s="2" t="s">
        <v>18</v>
      </c>
      <c r="E3491" s="5">
        <v>-31080</v>
      </c>
      <c r="F3491" s="3" t="s">
        <v>286</v>
      </c>
      <c r="G3491" s="3" t="s">
        <v>107</v>
      </c>
      <c r="H3491" s="2" t="s">
        <v>62</v>
      </c>
      <c r="I3491" s="2" t="s">
        <v>8029</v>
      </c>
      <c r="J3491" s="3" t="str">
        <f>HYPERLINK("https://www.boe.es/gazeta/dias/1814/11/26/pdfs/GMD-1814-157.pdf#page=1","Abrir facsímil")</f>
        <v>Abrir facsímil</v>
      </c>
      <c r="K3491" s="3" t="s">
        <v>64</v>
      </c>
    </row>
    <row r="3492" spans="1:11" ht="42" customHeight="1">
      <c r="A3492" s="2" t="s">
        <v>8030</v>
      </c>
      <c r="B3492" s="2" t="s">
        <v>8031</v>
      </c>
      <c r="C3492" s="2" t="s">
        <v>26</v>
      </c>
      <c r="D3492" s="2" t="s">
        <v>27</v>
      </c>
      <c r="E3492" s="5">
        <v>-31243</v>
      </c>
      <c r="F3492" s="3" t="s">
        <v>500</v>
      </c>
      <c r="G3492" s="3" t="s">
        <v>8032</v>
      </c>
      <c r="H3492" s="2" t="s">
        <v>62</v>
      </c>
      <c r="I3492" s="2" t="s">
        <v>8033</v>
      </c>
      <c r="J3492" s="3" t="str">
        <f>HYPERLINK("https://www.boe.es/gazeta/dias/1814/06/16/pdfs/GMD-1814-86.pdf#page=2","Abrir facsímil")</f>
        <v>Abrir facsímil</v>
      </c>
      <c r="K3492" s="3" t="s">
        <v>64</v>
      </c>
    </row>
    <row r="3493" spans="1:11" ht="42" customHeight="1">
      <c r="A3493" s="2" t="s">
        <v>8034</v>
      </c>
      <c r="B3493" s="2" t="s">
        <v>8034</v>
      </c>
      <c r="C3493" s="2" t="s">
        <v>38</v>
      </c>
      <c r="D3493" s="2" t="s">
        <v>39</v>
      </c>
      <c r="E3493" s="5">
        <v>-31234</v>
      </c>
      <c r="F3493" s="3" t="s">
        <v>462</v>
      </c>
      <c r="G3493" s="3" t="s">
        <v>87</v>
      </c>
      <c r="H3493" s="2" t="s">
        <v>62</v>
      </c>
      <c r="I3493" s="2" t="s">
        <v>8035</v>
      </c>
      <c r="J3493" s="3" t="str">
        <f>HYPERLINK("https://www.boe.es/gazeta/dias/1814/06/25/pdfs/GMD-1814-90.pdf#page=2","Abrir facsímil")</f>
        <v>Abrir facsímil</v>
      </c>
      <c r="K3493" s="3" t="s">
        <v>64</v>
      </c>
    </row>
    <row r="3494" spans="1:11" ht="42" customHeight="1">
      <c r="A3494" s="2" t="s">
        <v>8036</v>
      </c>
      <c r="B3494" s="2" t="s">
        <v>8036</v>
      </c>
      <c r="C3494" s="2" t="s">
        <v>38</v>
      </c>
      <c r="D3494" s="2" t="s">
        <v>39</v>
      </c>
      <c r="E3494" s="5">
        <v>-31178</v>
      </c>
      <c r="F3494" s="3" t="s">
        <v>1390</v>
      </c>
      <c r="G3494" s="3" t="s">
        <v>87</v>
      </c>
      <c r="H3494" s="2" t="s">
        <v>62</v>
      </c>
      <c r="I3494" s="2" t="s">
        <v>8037</v>
      </c>
      <c r="J3494" s="3" t="str">
        <f>HYPERLINK("https://www.boe.es/gazeta/dias/1814/08/20/pdfs/GMD-1814-114.pdf#page=2","Abrir facsímil")</f>
        <v>Abrir facsímil</v>
      </c>
      <c r="K3494" s="3" t="s">
        <v>64</v>
      </c>
    </row>
    <row r="3495" spans="1:11" ht="42" customHeight="1">
      <c r="A3495" s="2" t="s">
        <v>8038</v>
      </c>
      <c r="B3495" s="2" t="s">
        <v>8039</v>
      </c>
      <c r="C3495" s="2" t="s">
        <v>38</v>
      </c>
      <c r="D3495" s="2" t="s">
        <v>39</v>
      </c>
      <c r="E3495" s="5">
        <v>-31257</v>
      </c>
      <c r="F3495" s="3" t="s">
        <v>437</v>
      </c>
      <c r="G3495" s="3" t="s">
        <v>438</v>
      </c>
      <c r="H3495" s="2" t="s">
        <v>62</v>
      </c>
      <c r="I3495" s="2" t="s">
        <v>8040</v>
      </c>
      <c r="J3495" s="3" t="str">
        <f>HYPERLINK("https://www.boe.es/gazeta/dias/1814/06/02/pdfs/GMD-1814-80.pdf#page=5","Abrir facsímil")</f>
        <v>Abrir facsímil</v>
      </c>
      <c r="K3495" s="3" t="s">
        <v>64</v>
      </c>
    </row>
    <row r="3496" spans="1:11" ht="42" customHeight="1">
      <c r="A3496" s="2" t="s">
        <v>8041</v>
      </c>
      <c r="B3496" s="2" t="s">
        <v>8042</v>
      </c>
      <c r="C3496" s="2" t="s">
        <v>105</v>
      </c>
      <c r="D3496" s="2" t="s">
        <v>18</v>
      </c>
      <c r="E3496" s="5">
        <v>-31073</v>
      </c>
      <c r="F3496" s="3" t="s">
        <v>3052</v>
      </c>
      <c r="G3496" s="3" t="s">
        <v>52</v>
      </c>
      <c r="H3496" s="2" t="s">
        <v>21</v>
      </c>
      <c r="I3496" s="2" t="s">
        <v>8043</v>
      </c>
      <c r="J3496" s="3" t="str">
        <f>HYPERLINK("https://www.boe.es/gazeta/dias/1814/12/03/pdfs/GMD-1814-160.pdf#page=8","Abrir facsímil")</f>
        <v>Abrir facsímil</v>
      </c>
      <c r="K3496" s="3" t="s">
        <v>23</v>
      </c>
    </row>
    <row r="3497" spans="1:11" ht="42" customHeight="1">
      <c r="A3497" s="2" t="s">
        <v>8044</v>
      </c>
      <c r="B3497" s="2" t="s">
        <v>8044</v>
      </c>
      <c r="C3497" s="2" t="s">
        <v>38</v>
      </c>
      <c r="D3497" s="2" t="s">
        <v>39</v>
      </c>
      <c r="E3497" s="5">
        <v>-31292</v>
      </c>
      <c r="F3497" s="3" t="s">
        <v>557</v>
      </c>
      <c r="G3497" s="3" t="s">
        <v>1678</v>
      </c>
      <c r="H3497" s="2" t="s">
        <v>62</v>
      </c>
      <c r="I3497" s="2" t="s">
        <v>8045</v>
      </c>
      <c r="J3497" s="3" t="str">
        <f>HYPERLINK("https://www.boe.es/gazeta/dias/1814/04/28/pdfs/GRE-1814-63.pdf#page=3","Abrir facsímil")</f>
        <v>Abrir facsímil</v>
      </c>
      <c r="K3497" s="3" t="s">
        <v>64</v>
      </c>
    </row>
    <row r="3498" spans="1:11" ht="42" customHeight="1">
      <c r="A3498" s="2" t="s">
        <v>8046</v>
      </c>
      <c r="B3498" s="2" t="s">
        <v>8047</v>
      </c>
      <c r="C3498" s="2" t="s">
        <v>38</v>
      </c>
      <c r="D3498" s="2" t="s">
        <v>39</v>
      </c>
      <c r="E3498" s="5">
        <v>-31194</v>
      </c>
      <c r="F3498" s="3" t="s">
        <v>333</v>
      </c>
      <c r="G3498" s="3" t="s">
        <v>57</v>
      </c>
      <c r="H3498" s="2" t="s">
        <v>62</v>
      </c>
      <c r="I3498" s="2" t="s">
        <v>8048</v>
      </c>
      <c r="J3498" s="3" t="str">
        <f>HYPERLINK("https://www.boe.es/gazeta/dias/1814/08/04/pdfs/GMD-1814-107.pdf#page=6","Abrir facsímil")</f>
        <v>Abrir facsímil</v>
      </c>
      <c r="K3498" s="3" t="s">
        <v>64</v>
      </c>
    </row>
    <row r="3499" spans="1:11" ht="42" customHeight="1">
      <c r="A3499" s="2" t="s">
        <v>8049</v>
      </c>
      <c r="B3499" s="2" t="s">
        <v>8050</v>
      </c>
      <c r="C3499" s="2" t="s">
        <v>309</v>
      </c>
      <c r="D3499" s="2" t="s">
        <v>18</v>
      </c>
      <c r="E3499" s="5">
        <v>-31257</v>
      </c>
      <c r="F3499" s="3" t="s">
        <v>437</v>
      </c>
      <c r="G3499" s="3" t="s">
        <v>52</v>
      </c>
      <c r="H3499" s="2" t="s">
        <v>21</v>
      </c>
      <c r="I3499" s="2" t="s">
        <v>8051</v>
      </c>
      <c r="J3499" s="3" t="str">
        <f>HYPERLINK("https://www.boe.es/gazeta/dias/1814/06/02/pdfs/GMD-1814-80.pdf#page=8","Abrir facsímil")</f>
        <v>Abrir facsímil</v>
      </c>
      <c r="K3499" s="3" t="s">
        <v>23</v>
      </c>
    </row>
    <row r="3500" spans="1:11" ht="42" customHeight="1">
      <c r="A3500" s="2" t="s">
        <v>8052</v>
      </c>
      <c r="B3500" s="2" t="s">
        <v>8052</v>
      </c>
      <c r="C3500" s="2" t="s">
        <v>38</v>
      </c>
      <c r="D3500" s="2" t="s">
        <v>314</v>
      </c>
      <c r="E3500" s="5">
        <v>-31296</v>
      </c>
      <c r="F3500" s="3" t="s">
        <v>315</v>
      </c>
      <c r="G3500" s="3" t="s">
        <v>52</v>
      </c>
      <c r="H3500" s="2" t="s">
        <v>62</v>
      </c>
      <c r="I3500" s="2" t="s">
        <v>8053</v>
      </c>
      <c r="J3500" s="3" t="str">
        <f>HYPERLINK("https://www.boe.es/gazeta/dias/1814/04/24/pdfs/GRE-1814-60E.pdf#page=8","Abrir facsímil")</f>
        <v>Abrir facsímil</v>
      </c>
      <c r="K3500" s="3" t="s">
        <v>64</v>
      </c>
    </row>
    <row r="3501" spans="1:11" ht="42" customHeight="1">
      <c r="A3501" s="2" t="s">
        <v>8052</v>
      </c>
      <c r="B3501" s="2" t="s">
        <v>8052</v>
      </c>
      <c r="C3501" s="2" t="s">
        <v>38</v>
      </c>
      <c r="D3501" s="2" t="s">
        <v>39</v>
      </c>
      <c r="E3501" s="5">
        <v>-31252</v>
      </c>
      <c r="F3501" s="3" t="s">
        <v>364</v>
      </c>
      <c r="G3501" s="3" t="s">
        <v>1437</v>
      </c>
      <c r="H3501" s="2" t="s">
        <v>62</v>
      </c>
      <c r="I3501" s="2" t="s">
        <v>8054</v>
      </c>
      <c r="J3501" s="3" t="str">
        <f>HYPERLINK("https://www.boe.es/gazeta/dias/1814/06/07/pdfs/GMD-1814-82.pdf#page=11","Abrir facsímil")</f>
        <v>Abrir facsímil</v>
      </c>
      <c r="K3501" s="3" t="s">
        <v>64</v>
      </c>
    </row>
    <row r="3502" spans="1:11" ht="42" customHeight="1">
      <c r="A3502" s="2" t="s">
        <v>8052</v>
      </c>
      <c r="B3502" s="2" t="s">
        <v>8052</v>
      </c>
      <c r="C3502" s="2" t="s">
        <v>26</v>
      </c>
      <c r="D3502" s="2" t="s">
        <v>27</v>
      </c>
      <c r="E3502" s="5">
        <v>-31224</v>
      </c>
      <c r="F3502" s="3" t="s">
        <v>609</v>
      </c>
      <c r="G3502" s="3" t="s">
        <v>704</v>
      </c>
      <c r="H3502" s="2" t="s">
        <v>62</v>
      </c>
      <c r="I3502" s="2" t="s">
        <v>8055</v>
      </c>
      <c r="J3502" s="3" t="str">
        <f>HYPERLINK("https://www.boe.es/gazeta/dias/1814/07/05/pdfs/GMD-1814-94.pdf#page=10","Abrir facsímil")</f>
        <v>Abrir facsímil</v>
      </c>
      <c r="K3502" s="3" t="s">
        <v>64</v>
      </c>
    </row>
    <row r="3503" spans="1:11" ht="42" customHeight="1">
      <c r="A3503" s="2" t="s">
        <v>8052</v>
      </c>
      <c r="B3503" s="2" t="s">
        <v>8052</v>
      </c>
      <c r="C3503" s="2" t="s">
        <v>38</v>
      </c>
      <c r="D3503" s="2" t="s">
        <v>39</v>
      </c>
      <c r="E3503" s="5">
        <v>-31213</v>
      </c>
      <c r="F3503" s="3" t="s">
        <v>276</v>
      </c>
      <c r="G3503" s="3" t="s">
        <v>41</v>
      </c>
      <c r="H3503" s="2" t="s">
        <v>62</v>
      </c>
      <c r="I3503" s="2" t="s">
        <v>8056</v>
      </c>
      <c r="J3503" s="3" t="str">
        <f>HYPERLINK("https://www.boe.es/gazeta/dias/1814/07/16/pdfs/GMD-1814-99.pdf#page=4","Abrir facsímil")</f>
        <v>Abrir facsímil</v>
      </c>
      <c r="K3503" s="3" t="s">
        <v>64</v>
      </c>
    </row>
    <row r="3504" spans="1:11" ht="42" customHeight="1">
      <c r="A3504" s="2" t="s">
        <v>8052</v>
      </c>
      <c r="B3504" s="2" t="s">
        <v>8052</v>
      </c>
      <c r="C3504" s="2" t="s">
        <v>17</v>
      </c>
      <c r="D3504" s="2" t="s">
        <v>18</v>
      </c>
      <c r="E3504" s="5">
        <v>-31119</v>
      </c>
      <c r="F3504" s="3" t="s">
        <v>136</v>
      </c>
      <c r="G3504" s="3" t="s">
        <v>137</v>
      </c>
      <c r="H3504" s="2" t="s">
        <v>62</v>
      </c>
      <c r="I3504" s="2" t="s">
        <v>8057</v>
      </c>
      <c r="J3504" s="3" t="str">
        <f>HYPERLINK("https://www.boe.es/gazeta/dias/1814/10/18/pdfs/GMD-1814-140.pdf#page=9","Abrir facsímil")</f>
        <v>Abrir facsímil</v>
      </c>
      <c r="K3504" s="3" t="s">
        <v>64</v>
      </c>
    </row>
    <row r="3505" spans="1:11" ht="42" customHeight="1">
      <c r="A3505" s="2" t="s">
        <v>8052</v>
      </c>
      <c r="B3505" s="2" t="s">
        <v>8052</v>
      </c>
      <c r="C3505" s="2" t="s">
        <v>17</v>
      </c>
      <c r="D3505" s="2" t="s">
        <v>18</v>
      </c>
      <c r="E3505" s="5">
        <v>-31082</v>
      </c>
      <c r="F3505" s="3" t="s">
        <v>535</v>
      </c>
      <c r="G3505" s="3" t="s">
        <v>2461</v>
      </c>
      <c r="H3505" s="2" t="s">
        <v>62</v>
      </c>
      <c r="I3505" s="2" t="s">
        <v>8058</v>
      </c>
      <c r="J3505" s="3" t="str">
        <f>HYPERLINK("https://www.boe.es/gazeta/dias/1814/11/24/pdfs/GMD-1814-156.pdf#page=7","Abrir facsímil")</f>
        <v>Abrir facsímil</v>
      </c>
      <c r="K3505" s="3" t="s">
        <v>64</v>
      </c>
    </row>
    <row r="3506" spans="1:11" ht="42" customHeight="1">
      <c r="A3506" s="2" t="s">
        <v>8052</v>
      </c>
      <c r="B3506" s="2" t="s">
        <v>8052</v>
      </c>
      <c r="C3506" s="2" t="s">
        <v>144</v>
      </c>
      <c r="D3506" s="2" t="s">
        <v>18</v>
      </c>
      <c r="E3506" s="5">
        <v>-31061</v>
      </c>
      <c r="F3506" s="3" t="s">
        <v>329</v>
      </c>
      <c r="G3506" s="3" t="s">
        <v>20</v>
      </c>
      <c r="H3506" s="2" t="s">
        <v>62</v>
      </c>
      <c r="I3506" s="2" t="s">
        <v>8059</v>
      </c>
      <c r="J3506" s="3" t="str">
        <f>HYPERLINK("https://www.boe.es/gazeta/dias/1814/12/15/pdfs/GMD-1814-165.pdf#page=7","Abrir facsímil")</f>
        <v>Abrir facsímil</v>
      </c>
      <c r="K3506" s="3" t="s">
        <v>64</v>
      </c>
    </row>
    <row r="3507" spans="1:11" ht="42" customHeight="1">
      <c r="A3507" s="2" t="s">
        <v>8060</v>
      </c>
      <c r="B3507" s="2" t="s">
        <v>8061</v>
      </c>
      <c r="C3507" s="2" t="s">
        <v>38</v>
      </c>
      <c r="D3507" s="2" t="s">
        <v>39</v>
      </c>
      <c r="E3507" s="5">
        <v>-31299</v>
      </c>
      <c r="F3507" s="3" t="s">
        <v>71</v>
      </c>
      <c r="G3507" s="3" t="s">
        <v>52</v>
      </c>
      <c r="H3507" s="2" t="s">
        <v>62</v>
      </c>
      <c r="I3507" s="2" t="s">
        <v>8062</v>
      </c>
      <c r="J3507" s="3" t="str">
        <f>HYPERLINK("https://www.boe.es/gazeta/dias/1814/04/21/pdfs/GRE-1814-57.pdf#page=8","Abrir facsímil")</f>
        <v>Abrir facsímil</v>
      </c>
      <c r="K3507" s="3" t="s">
        <v>64</v>
      </c>
    </row>
    <row r="3508" spans="1:11" ht="42" customHeight="1">
      <c r="A3508" s="2" t="s">
        <v>8063</v>
      </c>
      <c r="B3508" s="2" t="s">
        <v>8064</v>
      </c>
      <c r="C3508" s="2" t="s">
        <v>38</v>
      </c>
      <c r="D3508" s="2" t="s">
        <v>39</v>
      </c>
      <c r="E3508" s="5">
        <v>-31325</v>
      </c>
      <c r="F3508" s="3" t="s">
        <v>67</v>
      </c>
      <c r="G3508" s="3" t="s">
        <v>20</v>
      </c>
      <c r="H3508" s="2" t="s">
        <v>62</v>
      </c>
      <c r="I3508" s="2" t="s">
        <v>8065</v>
      </c>
      <c r="J3508" s="3" t="str">
        <f>HYPERLINK("https://www.boe.es/gazeta/dias/1814/03/26/pdfs/GRE-1814-43.pdf#page=7","Abrir facsímil")</f>
        <v>Abrir facsímil</v>
      </c>
      <c r="K3508" s="3" t="s">
        <v>64</v>
      </c>
    </row>
    <row r="3509" spans="1:11" ht="42" customHeight="1">
      <c r="A3509" s="2" t="s">
        <v>8066</v>
      </c>
      <c r="B3509" s="2" t="s">
        <v>8067</v>
      </c>
      <c r="C3509" s="2" t="s">
        <v>38</v>
      </c>
      <c r="D3509" s="2" t="s">
        <v>39</v>
      </c>
      <c r="E3509" s="5">
        <v>-31108</v>
      </c>
      <c r="F3509" s="3" t="s">
        <v>528</v>
      </c>
      <c r="G3509" s="3" t="s">
        <v>52</v>
      </c>
      <c r="H3509" s="2" t="s">
        <v>62</v>
      </c>
      <c r="I3509" s="2" t="s">
        <v>8068</v>
      </c>
      <c r="J3509" s="3" t="str">
        <f>HYPERLINK("https://www.boe.es/gazeta/dias/1814/10/29/pdfs/GMD-1814-145.pdf#page=8","Abrir facsímil")</f>
        <v>Abrir facsímil</v>
      </c>
      <c r="K3509" s="3" t="s">
        <v>64</v>
      </c>
    </row>
    <row r="3510" spans="1:11" ht="42" customHeight="1">
      <c r="A3510" s="2" t="s">
        <v>8069</v>
      </c>
      <c r="B3510" s="2" t="s">
        <v>8070</v>
      </c>
      <c r="C3510" s="2" t="s">
        <v>105</v>
      </c>
      <c r="D3510" s="2" t="s">
        <v>18</v>
      </c>
      <c r="E3510" s="5">
        <v>-31306</v>
      </c>
      <c r="F3510" s="3" t="s">
        <v>670</v>
      </c>
      <c r="G3510" s="3" t="s">
        <v>52</v>
      </c>
      <c r="H3510" s="2" t="s">
        <v>62</v>
      </c>
      <c r="I3510" s="2" t="s">
        <v>8071</v>
      </c>
      <c r="J3510" s="3" t="str">
        <f>HYPERLINK("https://www.boe.es/gazeta/dias/1814/04/14/pdfs/GRE-1814-53.pdf#page=8","Abrir facsímil")</f>
        <v>Abrir facsímil</v>
      </c>
      <c r="K3510" s="3" t="s">
        <v>64</v>
      </c>
    </row>
    <row r="3511" spans="1:11" ht="42" customHeight="1">
      <c r="A3511" s="2" t="s">
        <v>8072</v>
      </c>
      <c r="B3511" s="2" t="s">
        <v>8073</v>
      </c>
      <c r="C3511" s="2" t="s">
        <v>26</v>
      </c>
      <c r="D3511" s="2" t="s">
        <v>27</v>
      </c>
      <c r="E3511" s="5">
        <v>-31262</v>
      </c>
      <c r="F3511" s="3" t="s">
        <v>254</v>
      </c>
      <c r="G3511" s="3" t="s">
        <v>99</v>
      </c>
      <c r="H3511" s="2" t="s">
        <v>62</v>
      </c>
      <c r="I3511" s="2" t="s">
        <v>8074</v>
      </c>
      <c r="J3511" s="3" t="str">
        <f>HYPERLINK("https://www.boe.es/gazeta/dias/1814/05/28/pdfs/GMD-1814-78.pdf#page=5","Abrir facsímil")</f>
        <v>Abrir facsímil</v>
      </c>
      <c r="K3511" s="3" t="s">
        <v>64</v>
      </c>
    </row>
    <row r="3512" spans="1:11" ht="42" customHeight="1">
      <c r="A3512" s="2" t="s">
        <v>8075</v>
      </c>
      <c r="B3512" s="2" t="s">
        <v>8076</v>
      </c>
      <c r="C3512" s="2" t="s">
        <v>26</v>
      </c>
      <c r="D3512" s="2" t="s">
        <v>27</v>
      </c>
      <c r="E3512" s="5">
        <v>-31201</v>
      </c>
      <c r="F3512" s="3" t="s">
        <v>863</v>
      </c>
      <c r="G3512" s="3" t="s">
        <v>99</v>
      </c>
      <c r="H3512" s="2" t="s">
        <v>62</v>
      </c>
      <c r="I3512" s="2" t="s">
        <v>8077</v>
      </c>
      <c r="J3512" s="3" t="str">
        <f>HYPERLINK("https://www.boe.es/gazeta/dias/1814/07/28/pdfs/GMD-1814-104.pdf#page=5","Abrir facsímil")</f>
        <v>Abrir facsímil</v>
      </c>
      <c r="K3512" s="3" t="s">
        <v>64</v>
      </c>
    </row>
    <row r="3513" spans="1:11" ht="42" customHeight="1">
      <c r="A3513" s="2" t="s">
        <v>8078</v>
      </c>
      <c r="B3513" s="2" t="s">
        <v>8079</v>
      </c>
      <c r="C3513" s="2" t="s">
        <v>45</v>
      </c>
      <c r="D3513" s="2" t="s">
        <v>18</v>
      </c>
      <c r="E3513" s="5">
        <v>-31068</v>
      </c>
      <c r="F3513" s="3" t="s">
        <v>548</v>
      </c>
      <c r="G3513" s="3" t="s">
        <v>20</v>
      </c>
      <c r="H3513" s="2" t="s">
        <v>62</v>
      </c>
      <c r="I3513" s="2" t="s">
        <v>8080</v>
      </c>
      <c r="J3513" s="3" t="str">
        <f>HYPERLINK("https://www.boe.es/gazeta/dias/1814/12/08/pdfs/GMD-1814-162.pdf#page=7","Abrir facsímil")</f>
        <v>Abrir facsímil</v>
      </c>
      <c r="K3513" s="3" t="s">
        <v>64</v>
      </c>
    </row>
    <row r="3514" spans="1:11" ht="42" customHeight="1">
      <c r="A3514" s="2" t="s">
        <v>8081</v>
      </c>
      <c r="B3514" s="2" t="s">
        <v>8082</v>
      </c>
      <c r="C3514" s="2" t="s">
        <v>26</v>
      </c>
      <c r="D3514" s="2" t="s">
        <v>27</v>
      </c>
      <c r="E3514" s="5">
        <v>-31122</v>
      </c>
      <c r="F3514" s="3" t="s">
        <v>28</v>
      </c>
      <c r="G3514" s="3" t="s">
        <v>57</v>
      </c>
      <c r="H3514" s="2" t="s">
        <v>62</v>
      </c>
      <c r="I3514" s="2" t="s">
        <v>8083</v>
      </c>
      <c r="J3514" s="3" t="str">
        <f>HYPERLINK("https://www.boe.es/gazeta/dias/1814/10/15/pdfs/GMD-1814-139.pdf#page=6","Abrir facsímil")</f>
        <v>Abrir facsímil</v>
      </c>
      <c r="K3514" s="3" t="s">
        <v>64</v>
      </c>
    </row>
    <row r="3515" spans="1:11" ht="42" customHeight="1">
      <c r="A3515" s="2" t="s">
        <v>8084</v>
      </c>
      <c r="B3515" s="2" t="s">
        <v>8084</v>
      </c>
      <c r="C3515" s="2" t="s">
        <v>38</v>
      </c>
      <c r="D3515" s="2" t="s">
        <v>39</v>
      </c>
      <c r="E3515" s="5">
        <v>-31355</v>
      </c>
      <c r="F3515" s="3" t="s">
        <v>50</v>
      </c>
      <c r="G3515" s="3" t="s">
        <v>20</v>
      </c>
      <c r="H3515" s="2" t="s">
        <v>62</v>
      </c>
      <c r="I3515" s="2" t="s">
        <v>8085</v>
      </c>
      <c r="J3515" s="3" t="str">
        <f>HYPERLINK("https://www.boe.es/gazeta/dias/1814/02/24/pdfs/GRE-1814-26.pdf#page=7","Abrir facsímil")</f>
        <v>Abrir facsímil</v>
      </c>
      <c r="K3515" s="3" t="s">
        <v>64</v>
      </c>
    </row>
    <row r="3516" spans="1:11" ht="42" customHeight="1">
      <c r="A3516" s="2" t="s">
        <v>8086</v>
      </c>
      <c r="B3516" s="2" t="s">
        <v>8086</v>
      </c>
      <c r="C3516" s="2" t="s">
        <v>26</v>
      </c>
      <c r="D3516" s="2" t="s">
        <v>27</v>
      </c>
      <c r="E3516" s="5">
        <v>-31262</v>
      </c>
      <c r="F3516" s="3" t="s">
        <v>254</v>
      </c>
      <c r="G3516" s="3" t="s">
        <v>99</v>
      </c>
      <c r="H3516" s="2" t="s">
        <v>62</v>
      </c>
      <c r="I3516" s="2" t="s">
        <v>8087</v>
      </c>
      <c r="J3516" s="3" t="str">
        <f>HYPERLINK("https://www.boe.es/gazeta/dias/1814/05/28/pdfs/GMD-1814-78.pdf#page=5","Abrir facsímil")</f>
        <v>Abrir facsímil</v>
      </c>
      <c r="K3516" s="3" t="s">
        <v>64</v>
      </c>
    </row>
    <row r="3517" spans="1:11" ht="42" customHeight="1">
      <c r="A3517" s="2" t="s">
        <v>8086</v>
      </c>
      <c r="B3517" s="2" t="s">
        <v>8086</v>
      </c>
      <c r="C3517" s="2" t="s">
        <v>38</v>
      </c>
      <c r="D3517" s="2" t="s">
        <v>39</v>
      </c>
      <c r="E3517" s="5">
        <v>-31117</v>
      </c>
      <c r="F3517" s="3" t="s">
        <v>172</v>
      </c>
      <c r="G3517" s="3" t="s">
        <v>392</v>
      </c>
      <c r="H3517" s="2" t="s">
        <v>62</v>
      </c>
      <c r="I3517" s="2" t="s">
        <v>8088</v>
      </c>
      <c r="J3517" s="3" t="str">
        <f>HYPERLINK("https://www.boe.es/gazeta/dias/1814/10/20/pdfs/GMD-1814-141.pdf#page=8","Abrir facsímil")</f>
        <v>Abrir facsímil</v>
      </c>
      <c r="K3517" s="3" t="s">
        <v>64</v>
      </c>
    </row>
    <row r="3518" spans="1:11" ht="42" customHeight="1">
      <c r="A3518" s="2" t="s">
        <v>8089</v>
      </c>
      <c r="B3518" s="2" t="s">
        <v>8089</v>
      </c>
      <c r="C3518" s="2" t="s">
        <v>38</v>
      </c>
      <c r="D3518" s="2" t="s">
        <v>39</v>
      </c>
      <c r="E3518" s="5">
        <v>-31210</v>
      </c>
      <c r="F3518" s="3" t="s">
        <v>141</v>
      </c>
      <c r="G3518" s="3" t="s">
        <v>41</v>
      </c>
      <c r="H3518" s="2" t="s">
        <v>62</v>
      </c>
      <c r="I3518" s="2" t="s">
        <v>8090</v>
      </c>
      <c r="J3518" s="3" t="str">
        <f>HYPERLINK("https://www.boe.es/gazeta/dias/1814/07/19/pdfs/GMD-1814-100.pdf#page=4","Abrir facsímil")</f>
        <v>Abrir facsímil</v>
      </c>
      <c r="K3518" s="3" t="s">
        <v>64</v>
      </c>
    </row>
    <row r="3519" spans="1:11" ht="42" customHeight="1">
      <c r="A3519" s="2" t="s">
        <v>8091</v>
      </c>
      <c r="B3519" s="2" t="s">
        <v>8091</v>
      </c>
      <c r="C3519" s="2" t="s">
        <v>309</v>
      </c>
      <c r="D3519" s="2" t="s">
        <v>18</v>
      </c>
      <c r="E3519" s="5">
        <v>-31252</v>
      </c>
      <c r="F3519" s="3" t="s">
        <v>364</v>
      </c>
      <c r="G3519" s="3" t="s">
        <v>8092</v>
      </c>
      <c r="H3519" s="2" t="s">
        <v>62</v>
      </c>
      <c r="I3519" s="2" t="s">
        <v>8093</v>
      </c>
      <c r="J3519" s="3" t="str">
        <f>HYPERLINK("https://www.boe.es/gazeta/dias/1814/06/07/pdfs/GMD-1814-82.pdf#page=10","Abrir facsímil")</f>
        <v>Abrir facsímil</v>
      </c>
      <c r="K3519" s="3" t="s">
        <v>64</v>
      </c>
    </row>
    <row r="3520" spans="1:11" ht="42" customHeight="1">
      <c r="A3520" s="2" t="s">
        <v>8091</v>
      </c>
      <c r="B3520" s="2" t="s">
        <v>8091</v>
      </c>
      <c r="C3520" s="2" t="s">
        <v>26</v>
      </c>
      <c r="D3520" s="2" t="s">
        <v>27</v>
      </c>
      <c r="E3520" s="5">
        <v>-31229</v>
      </c>
      <c r="F3520" s="3" t="s">
        <v>502</v>
      </c>
      <c r="G3520" s="3" t="s">
        <v>704</v>
      </c>
      <c r="H3520" s="2" t="s">
        <v>62</v>
      </c>
      <c r="I3520" s="2" t="s">
        <v>8094</v>
      </c>
      <c r="J3520" s="3" t="str">
        <f>HYPERLINK("https://www.boe.es/gazeta/dias/1814/06/30/pdfs/GMD-1814-92.pdf#page=10","Abrir facsímil")</f>
        <v>Abrir facsímil</v>
      </c>
      <c r="K3520" s="3" t="s">
        <v>64</v>
      </c>
    </row>
    <row r="3521" spans="1:11" ht="42" customHeight="1">
      <c r="A3521" s="2" t="s">
        <v>8091</v>
      </c>
      <c r="B3521" s="2" t="s">
        <v>8091</v>
      </c>
      <c r="C3521" s="2" t="s">
        <v>38</v>
      </c>
      <c r="D3521" s="2" t="s">
        <v>39</v>
      </c>
      <c r="E3521" s="5">
        <v>-31208</v>
      </c>
      <c r="F3521" s="3" t="s">
        <v>509</v>
      </c>
      <c r="G3521" s="3" t="s">
        <v>20</v>
      </c>
      <c r="H3521" s="2" t="s">
        <v>62</v>
      </c>
      <c r="I3521" s="2" t="s">
        <v>8095</v>
      </c>
      <c r="J3521" s="3" t="str">
        <f>HYPERLINK("https://www.boe.es/gazeta/dias/1814/07/21/pdfs/GMD-1814-101.pdf#page=7","Abrir facsímil")</f>
        <v>Abrir facsímil</v>
      </c>
      <c r="K3521" s="3" t="s">
        <v>64</v>
      </c>
    </row>
    <row r="3522" spans="1:11" ht="42" customHeight="1">
      <c r="A3522" s="2" t="s">
        <v>8091</v>
      </c>
      <c r="B3522" s="2" t="s">
        <v>8091</v>
      </c>
      <c r="C3522" s="2" t="s">
        <v>144</v>
      </c>
      <c r="D3522" s="2" t="s">
        <v>18</v>
      </c>
      <c r="E3522" s="5">
        <v>-31206</v>
      </c>
      <c r="F3522" s="3" t="s">
        <v>1196</v>
      </c>
      <c r="G3522" s="3" t="s">
        <v>20</v>
      </c>
      <c r="H3522" s="2" t="s">
        <v>62</v>
      </c>
      <c r="I3522" s="2" t="s">
        <v>8096</v>
      </c>
      <c r="J3522" s="3" t="str">
        <f>HYPERLINK("https://www.boe.es/gazeta/dias/1814/07/23/pdfs/GMD-1814-102.pdf#page=7","Abrir facsímil")</f>
        <v>Abrir facsímil</v>
      </c>
      <c r="K3522" s="3" t="s">
        <v>64</v>
      </c>
    </row>
    <row r="3523" spans="1:11" ht="42" customHeight="1">
      <c r="A3523" s="2" t="s">
        <v>8091</v>
      </c>
      <c r="B3523" s="2" t="s">
        <v>8091</v>
      </c>
      <c r="C3523" s="2" t="s">
        <v>17</v>
      </c>
      <c r="D3523" s="2" t="s">
        <v>18</v>
      </c>
      <c r="E3523" s="5">
        <v>-31122</v>
      </c>
      <c r="F3523" s="3" t="s">
        <v>28</v>
      </c>
      <c r="G3523" s="3" t="s">
        <v>20</v>
      </c>
      <c r="H3523" s="2" t="s">
        <v>62</v>
      </c>
      <c r="I3523" s="2" t="s">
        <v>8097</v>
      </c>
      <c r="J3523" s="3" t="str">
        <f>HYPERLINK("https://www.boe.es/gazeta/dias/1814/10/15/pdfs/GMD-1814-139.pdf#page=7","Abrir facsímil")</f>
        <v>Abrir facsímil</v>
      </c>
      <c r="K3523" s="3" t="s">
        <v>64</v>
      </c>
    </row>
    <row r="3524" spans="1:11" ht="42" customHeight="1">
      <c r="A3524" s="2" t="s">
        <v>8091</v>
      </c>
      <c r="B3524" s="2" t="s">
        <v>8091</v>
      </c>
      <c r="C3524" s="2" t="s">
        <v>17</v>
      </c>
      <c r="D3524" s="2" t="s">
        <v>18</v>
      </c>
      <c r="E3524" s="5">
        <v>-31119</v>
      </c>
      <c r="F3524" s="3" t="s">
        <v>136</v>
      </c>
      <c r="G3524" s="3" t="s">
        <v>322</v>
      </c>
      <c r="H3524" s="2" t="s">
        <v>62</v>
      </c>
      <c r="I3524" s="2" t="s">
        <v>8098</v>
      </c>
      <c r="J3524" s="3" t="str">
        <f>HYPERLINK("https://www.boe.es/gazeta/dias/1814/10/18/pdfs/GMD-1814-140.pdf#page=12","Abrir facsímil")</f>
        <v>Abrir facsímil</v>
      </c>
      <c r="K3524" s="3" t="s">
        <v>64</v>
      </c>
    </row>
    <row r="3525" spans="1:11" ht="42" customHeight="1">
      <c r="A3525" s="2" t="s">
        <v>8091</v>
      </c>
      <c r="B3525" s="2" t="s">
        <v>8091</v>
      </c>
      <c r="C3525" s="2" t="s">
        <v>17</v>
      </c>
      <c r="D3525" s="2" t="s">
        <v>18</v>
      </c>
      <c r="E3525" s="5">
        <v>-31119</v>
      </c>
      <c r="F3525" s="3" t="s">
        <v>136</v>
      </c>
      <c r="G3525" s="3" t="s">
        <v>137</v>
      </c>
      <c r="H3525" s="2" t="s">
        <v>62</v>
      </c>
      <c r="I3525" s="2" t="s">
        <v>8099</v>
      </c>
      <c r="J3525" s="3" t="str">
        <f>HYPERLINK("https://www.boe.es/gazeta/dias/1814/10/18/pdfs/GMD-1814-140.pdf#page=9","Abrir facsímil")</f>
        <v>Abrir facsímil</v>
      </c>
      <c r="K3525" s="3" t="s">
        <v>64</v>
      </c>
    </row>
    <row r="3526" spans="1:11" ht="42" customHeight="1">
      <c r="A3526" s="2" t="s">
        <v>8091</v>
      </c>
      <c r="B3526" s="2" t="s">
        <v>8091</v>
      </c>
      <c r="C3526" s="2" t="s">
        <v>26</v>
      </c>
      <c r="D3526" s="2" t="s">
        <v>27</v>
      </c>
      <c r="E3526" s="5">
        <v>-31094</v>
      </c>
      <c r="F3526" s="3" t="s">
        <v>761</v>
      </c>
      <c r="G3526" s="3" t="s">
        <v>20</v>
      </c>
      <c r="H3526" s="2" t="s">
        <v>62</v>
      </c>
      <c r="I3526" s="2" t="s">
        <v>8100</v>
      </c>
      <c r="J3526" s="3" t="str">
        <f>HYPERLINK("https://www.boe.es/gazeta/dias/1814/11/12/pdfs/GMD-1814-151.pdf#page=7","Abrir facsímil")</f>
        <v>Abrir facsímil</v>
      </c>
      <c r="K3526" s="3" t="s">
        <v>64</v>
      </c>
    </row>
    <row r="3527" spans="1:11" ht="42" customHeight="1">
      <c r="A3527" s="2" t="s">
        <v>8101</v>
      </c>
      <c r="B3527" s="2" t="s">
        <v>8102</v>
      </c>
      <c r="C3527" s="2" t="s">
        <v>32</v>
      </c>
      <c r="D3527" s="2" t="s">
        <v>18</v>
      </c>
      <c r="E3527" s="5">
        <v>-31355</v>
      </c>
      <c r="F3527" s="3" t="s">
        <v>50</v>
      </c>
      <c r="G3527" s="3" t="s">
        <v>2740</v>
      </c>
      <c r="H3527" s="2" t="s">
        <v>62</v>
      </c>
      <c r="I3527" s="2" t="s">
        <v>8103</v>
      </c>
      <c r="J3527" s="3" t="str">
        <f>HYPERLINK("https://www.boe.es/gazeta/dias/1814/02/24/pdfs/GRE-1814-26.pdf#page=6","Abrir facsímil")</f>
        <v>Abrir facsímil</v>
      </c>
      <c r="K3527" s="3" t="s">
        <v>64</v>
      </c>
    </row>
    <row r="3528" spans="1:11" ht="42" customHeight="1">
      <c r="A3528" s="2" t="s">
        <v>8104</v>
      </c>
      <c r="B3528" s="2" t="s">
        <v>8105</v>
      </c>
      <c r="C3528" s="2" t="s">
        <v>26</v>
      </c>
      <c r="D3528" s="2" t="s">
        <v>27</v>
      </c>
      <c r="E3528" s="5">
        <v>-31250</v>
      </c>
      <c r="F3528" s="3" t="s">
        <v>177</v>
      </c>
      <c r="G3528" s="3" t="s">
        <v>99</v>
      </c>
      <c r="H3528" s="2" t="s">
        <v>21</v>
      </c>
      <c r="I3528" s="2" t="s">
        <v>8106</v>
      </c>
      <c r="J3528" s="3" t="str">
        <f>HYPERLINK("https://www.boe.es/gazeta/dias/1814/06/09/pdfs/GMD-1814-83.pdf#page=5","Abrir facsímil")</f>
        <v>Abrir facsímil</v>
      </c>
      <c r="K3528" s="3" t="s">
        <v>23</v>
      </c>
    </row>
    <row r="3529" spans="1:11" ht="42" customHeight="1">
      <c r="A3529" s="2" t="s">
        <v>8107</v>
      </c>
      <c r="B3529" s="2" t="s">
        <v>8108</v>
      </c>
      <c r="C3529" s="2" t="s">
        <v>26</v>
      </c>
      <c r="D3529" s="2" t="s">
        <v>27</v>
      </c>
      <c r="E3529" s="5">
        <v>-31143</v>
      </c>
      <c r="F3529" s="3" t="s">
        <v>787</v>
      </c>
      <c r="G3529" s="3" t="s">
        <v>52</v>
      </c>
      <c r="H3529" s="2" t="s">
        <v>62</v>
      </c>
      <c r="I3529" s="2" t="s">
        <v>8109</v>
      </c>
      <c r="J3529" s="3" t="str">
        <f>HYPERLINK("https://www.boe.es/gazeta/dias/1814/09/24/pdfs/GMD-1814-130.pdf#page=8","Abrir facsímil")</f>
        <v>Abrir facsímil</v>
      </c>
      <c r="K3529" s="3" t="s">
        <v>64</v>
      </c>
    </row>
    <row r="3530" spans="1:11" ht="42" customHeight="1">
      <c r="A3530" s="2" t="s">
        <v>8110</v>
      </c>
      <c r="B3530" s="2" t="s">
        <v>8111</v>
      </c>
      <c r="C3530" s="2" t="s">
        <v>38</v>
      </c>
      <c r="D3530" s="2" t="s">
        <v>314</v>
      </c>
      <c r="E3530" s="5">
        <v>-31296</v>
      </c>
      <c r="F3530" s="3" t="s">
        <v>315</v>
      </c>
      <c r="G3530" s="3" t="s">
        <v>20</v>
      </c>
      <c r="H3530" s="2" t="s">
        <v>62</v>
      </c>
      <c r="I3530" s="2" t="s">
        <v>8112</v>
      </c>
      <c r="J3530" s="3" t="str">
        <f>HYPERLINK("https://www.boe.es/gazeta/dias/1814/04/24/pdfs/GRE-1814-60E.pdf#page=7","Abrir facsímil")</f>
        <v>Abrir facsímil</v>
      </c>
      <c r="K3530" s="3" t="s">
        <v>64</v>
      </c>
    </row>
    <row r="3531" spans="1:11" ht="42" customHeight="1">
      <c r="A3531" s="2" t="s">
        <v>8113</v>
      </c>
      <c r="B3531" s="2" t="s">
        <v>8113</v>
      </c>
      <c r="C3531" s="2" t="s">
        <v>38</v>
      </c>
      <c r="D3531" s="2" t="s">
        <v>39</v>
      </c>
      <c r="E3531" s="5">
        <v>-31332</v>
      </c>
      <c r="F3531" s="3" t="s">
        <v>343</v>
      </c>
      <c r="G3531" s="3" t="s">
        <v>87</v>
      </c>
      <c r="H3531" s="2" t="s">
        <v>62</v>
      </c>
      <c r="I3531" s="2" t="s">
        <v>8114</v>
      </c>
      <c r="J3531" s="3" t="str">
        <f>HYPERLINK("https://www.boe.es/gazeta/dias/1814/03/19/pdfs/GRE-1814-38.pdf#page=2","Abrir facsímil")</f>
        <v>Abrir facsímil</v>
      </c>
      <c r="K3531" s="3" t="s">
        <v>64</v>
      </c>
    </row>
    <row r="3532" spans="1:11" ht="42" customHeight="1">
      <c r="A3532" s="2" t="s">
        <v>8115</v>
      </c>
      <c r="B3532" s="2" t="s">
        <v>8115</v>
      </c>
      <c r="C3532" s="2" t="s">
        <v>38</v>
      </c>
      <c r="D3532" s="2" t="s">
        <v>39</v>
      </c>
      <c r="E3532" s="5">
        <v>-31329</v>
      </c>
      <c r="F3532" s="3" t="s">
        <v>621</v>
      </c>
      <c r="G3532" s="3" t="s">
        <v>2115</v>
      </c>
      <c r="H3532" s="2" t="s">
        <v>62</v>
      </c>
      <c r="I3532" s="2" t="s">
        <v>8116</v>
      </c>
      <c r="J3532" s="3" t="str">
        <f>HYPERLINK("https://www.boe.es/gazeta/dias/1814/03/22/pdfs/GRE-1814-39.pdf#page=4","Abrir facsímil")</f>
        <v>Abrir facsímil</v>
      </c>
      <c r="K3532" s="3" t="s">
        <v>64</v>
      </c>
    </row>
    <row r="3533" spans="1:11" ht="42" customHeight="1">
      <c r="A3533" s="2" t="s">
        <v>8117</v>
      </c>
      <c r="B3533" s="2" t="s">
        <v>8118</v>
      </c>
      <c r="C3533" s="2" t="s">
        <v>17</v>
      </c>
      <c r="D3533" s="2" t="s">
        <v>18</v>
      </c>
      <c r="E3533" s="5">
        <v>-31348</v>
      </c>
      <c r="F3533" s="3" t="s">
        <v>898</v>
      </c>
      <c r="G3533" s="3" t="s">
        <v>961</v>
      </c>
      <c r="H3533" s="2" t="s">
        <v>62</v>
      </c>
      <c r="I3533" s="2" t="s">
        <v>8119</v>
      </c>
      <c r="J3533" s="3" t="str">
        <f>HYPERLINK("https://www.boe.es/gazeta/dias/1814/03/03/pdfs/GRE-1814-29.pdf#page=7","Abrir facsímil")</f>
        <v>Abrir facsímil</v>
      </c>
      <c r="K3533" s="3" t="s">
        <v>64</v>
      </c>
    </row>
    <row r="3534" spans="1:11" ht="42" customHeight="1">
      <c r="A3534" s="2" t="s">
        <v>8120</v>
      </c>
      <c r="B3534" s="2" t="s">
        <v>8121</v>
      </c>
      <c r="C3534" s="2" t="s">
        <v>17</v>
      </c>
      <c r="D3534" s="2" t="s">
        <v>18</v>
      </c>
      <c r="E3534" s="5">
        <v>-31348</v>
      </c>
      <c r="F3534" s="3" t="s">
        <v>898</v>
      </c>
      <c r="G3534" s="3" t="s">
        <v>961</v>
      </c>
      <c r="H3534" s="2" t="s">
        <v>62</v>
      </c>
      <c r="I3534" s="2" t="s">
        <v>8122</v>
      </c>
      <c r="J3534" s="3" t="str">
        <f>HYPERLINK("https://www.boe.es/gazeta/dias/1814/03/03/pdfs/GRE-1814-29.pdf#page=7","Abrir facsímil")</f>
        <v>Abrir facsímil</v>
      </c>
      <c r="K3534" s="3" t="s">
        <v>64</v>
      </c>
    </row>
    <row r="3535" spans="1:11" ht="42" customHeight="1">
      <c r="A3535" s="2" t="s">
        <v>8123</v>
      </c>
      <c r="B3535" s="2" t="s">
        <v>8124</v>
      </c>
      <c r="C3535" s="2" t="s">
        <v>144</v>
      </c>
      <c r="D3535" s="2" t="s">
        <v>18</v>
      </c>
      <c r="E3535" s="5">
        <v>-31348</v>
      </c>
      <c r="F3535" s="3" t="s">
        <v>898</v>
      </c>
      <c r="G3535" s="3" t="s">
        <v>961</v>
      </c>
      <c r="H3535" s="2" t="s">
        <v>62</v>
      </c>
      <c r="I3535" s="2" t="s">
        <v>8125</v>
      </c>
      <c r="J3535" s="3" t="str">
        <f>HYPERLINK("https://www.boe.es/gazeta/dias/1814/03/03/pdfs/GRE-1814-29.pdf#page=7","Abrir facsímil")</f>
        <v>Abrir facsímil</v>
      </c>
      <c r="K3535" s="3" t="s">
        <v>64</v>
      </c>
    </row>
    <row r="3536" spans="1:11" ht="42" customHeight="1">
      <c r="A3536" s="2" t="s">
        <v>8126</v>
      </c>
      <c r="B3536" s="2" t="s">
        <v>8127</v>
      </c>
      <c r="C3536" s="2" t="s">
        <v>38</v>
      </c>
      <c r="D3536" s="2" t="s">
        <v>39</v>
      </c>
      <c r="E3536" s="5">
        <v>-31080</v>
      </c>
      <c r="F3536" s="3" t="s">
        <v>286</v>
      </c>
      <c r="G3536" s="3" t="s">
        <v>677</v>
      </c>
      <c r="H3536" s="2" t="s">
        <v>62</v>
      </c>
      <c r="I3536" s="2" t="s">
        <v>8128</v>
      </c>
      <c r="J3536" s="3" t="str">
        <f>HYPERLINK("https://www.boe.es/gazeta/dias/1814/11/26/pdfs/GMD-1814-157.pdf#page=7","Abrir facsímil")</f>
        <v>Abrir facsímil</v>
      </c>
      <c r="K3536" s="3" t="s">
        <v>64</v>
      </c>
    </row>
    <row r="3537" spans="1:11" ht="42" customHeight="1">
      <c r="A3537" s="2" t="s">
        <v>8129</v>
      </c>
      <c r="B3537" s="2" t="s">
        <v>8129</v>
      </c>
      <c r="C3537" s="2" t="s">
        <v>38</v>
      </c>
      <c r="D3537" s="2" t="s">
        <v>39</v>
      </c>
      <c r="E3537" s="5">
        <v>-31353</v>
      </c>
      <c r="F3537" s="3" t="s">
        <v>247</v>
      </c>
      <c r="G3537" s="3" t="s">
        <v>2040</v>
      </c>
      <c r="H3537" s="2" t="s">
        <v>62</v>
      </c>
      <c r="I3537" s="2" t="s">
        <v>8130</v>
      </c>
      <c r="J3537" s="3" t="str">
        <f>HYPERLINK("https://www.boe.es/gazeta/dias/1814/02/26/pdfs/GRE-1814-27.pdf#page=2","Abrir facsímil")</f>
        <v>Abrir facsímil</v>
      </c>
      <c r="K3537" s="3" t="s">
        <v>64</v>
      </c>
    </row>
    <row r="3538" spans="1:11" ht="42" customHeight="1">
      <c r="A3538" s="2" t="s">
        <v>8129</v>
      </c>
      <c r="B3538" s="2" t="s">
        <v>8129</v>
      </c>
      <c r="C3538" s="2" t="s">
        <v>38</v>
      </c>
      <c r="D3538" s="2" t="s">
        <v>39</v>
      </c>
      <c r="E3538" s="5">
        <v>-31350</v>
      </c>
      <c r="F3538" s="3" t="s">
        <v>377</v>
      </c>
      <c r="G3538" s="3" t="s">
        <v>107</v>
      </c>
      <c r="H3538" s="2" t="s">
        <v>62</v>
      </c>
      <c r="I3538" s="2" t="s">
        <v>8131</v>
      </c>
      <c r="J3538" s="3" t="str">
        <f>HYPERLINK("https://www.boe.es/gazeta/dias/1814/03/01/pdfs/GRE-1814-28.pdf#page=1","Abrir facsímil")</f>
        <v>Abrir facsímil</v>
      </c>
      <c r="K3538" s="3" t="s">
        <v>64</v>
      </c>
    </row>
    <row r="3539" spans="1:11" ht="42" customHeight="1">
      <c r="A3539" s="2" t="s">
        <v>8129</v>
      </c>
      <c r="B3539" s="2" t="s">
        <v>8129</v>
      </c>
      <c r="C3539" s="2" t="s">
        <v>38</v>
      </c>
      <c r="D3539" s="2" t="s">
        <v>39</v>
      </c>
      <c r="E3539" s="5">
        <v>-31294</v>
      </c>
      <c r="F3539" s="3" t="s">
        <v>680</v>
      </c>
      <c r="G3539" s="3" t="s">
        <v>41</v>
      </c>
      <c r="H3539" s="2" t="s">
        <v>62</v>
      </c>
      <c r="I3539" s="2" t="s">
        <v>8132</v>
      </c>
      <c r="J3539" s="3" t="str">
        <f>HYPERLINK("https://www.boe.es/gazeta/dias/1814/04/26/pdfs/GRE-1814-61.pdf#page=4","Abrir facsímil")</f>
        <v>Abrir facsímil</v>
      </c>
      <c r="K3539" s="3" t="s">
        <v>64</v>
      </c>
    </row>
    <row r="3540" spans="1:11" ht="42" customHeight="1">
      <c r="A3540" s="2" t="s">
        <v>8133</v>
      </c>
      <c r="B3540" s="2" t="s">
        <v>8133</v>
      </c>
      <c r="C3540" s="2" t="s">
        <v>38</v>
      </c>
      <c r="D3540" s="2" t="s">
        <v>39</v>
      </c>
      <c r="E3540" s="5">
        <v>-31252</v>
      </c>
      <c r="F3540" s="3" t="s">
        <v>364</v>
      </c>
      <c r="G3540" s="3" t="s">
        <v>1575</v>
      </c>
      <c r="H3540" s="2" t="s">
        <v>62</v>
      </c>
      <c r="I3540" s="2" t="s">
        <v>8134</v>
      </c>
      <c r="J3540" s="3" t="str">
        <f>HYPERLINK("https://www.boe.es/gazeta/dias/1814/06/07/pdfs/GMD-1814-82.pdf#page=2","Abrir facsímil")</f>
        <v>Abrir facsímil</v>
      </c>
      <c r="K3540" s="3" t="s">
        <v>64</v>
      </c>
    </row>
    <row r="3541" spans="1:11" ht="42" customHeight="1">
      <c r="A3541" s="2" t="s">
        <v>8135</v>
      </c>
      <c r="B3541" s="2" t="s">
        <v>8135</v>
      </c>
      <c r="C3541" s="2" t="s">
        <v>38</v>
      </c>
      <c r="D3541" s="2" t="s">
        <v>39</v>
      </c>
      <c r="E3541" s="5">
        <v>-31248</v>
      </c>
      <c r="F3541" s="3" t="s">
        <v>1123</v>
      </c>
      <c r="G3541" s="3" t="s">
        <v>107</v>
      </c>
      <c r="H3541" s="2" t="s">
        <v>62</v>
      </c>
      <c r="I3541" s="2" t="s">
        <v>8136</v>
      </c>
      <c r="J3541" s="3" t="str">
        <f>HYPERLINK("https://www.boe.es/gazeta/dias/1814/06/11/pdfs/GMD-1814-84.pdf#page=1","Abrir facsímil")</f>
        <v>Abrir facsímil</v>
      </c>
      <c r="K3541" s="3" t="s">
        <v>64</v>
      </c>
    </row>
    <row r="3542" spans="1:11" ht="42" customHeight="1">
      <c r="A3542" s="2" t="s">
        <v>8137</v>
      </c>
      <c r="B3542" s="2" t="s">
        <v>8137</v>
      </c>
      <c r="C3542" s="2" t="s">
        <v>38</v>
      </c>
      <c r="D3542" s="2" t="s">
        <v>39</v>
      </c>
      <c r="E3542" s="5">
        <v>-31147</v>
      </c>
      <c r="F3542" s="3" t="s">
        <v>86</v>
      </c>
      <c r="G3542" s="3" t="s">
        <v>107</v>
      </c>
      <c r="H3542" s="2" t="s">
        <v>62</v>
      </c>
      <c r="I3542" s="2" t="s">
        <v>8138</v>
      </c>
      <c r="J3542" s="3" t="str">
        <f>HYPERLINK("https://www.boe.es/gazeta/dias/1814/09/20/pdfs/GMD-1814-128.pdf#page=1","Abrir facsímil")</f>
        <v>Abrir facsímil</v>
      </c>
      <c r="K3542" s="3" t="s">
        <v>64</v>
      </c>
    </row>
    <row r="3543" spans="1:11" ht="42" customHeight="1">
      <c r="A3543" s="2" t="s">
        <v>8139</v>
      </c>
      <c r="B3543" s="2" t="s">
        <v>8139</v>
      </c>
      <c r="C3543" s="2" t="s">
        <v>38</v>
      </c>
      <c r="D3543" s="2" t="s">
        <v>39</v>
      </c>
      <c r="E3543" s="5">
        <v>-31206</v>
      </c>
      <c r="F3543" s="3" t="s">
        <v>1196</v>
      </c>
      <c r="G3543" s="3" t="s">
        <v>107</v>
      </c>
      <c r="H3543" s="2" t="s">
        <v>62</v>
      </c>
      <c r="I3543" s="2" t="s">
        <v>8140</v>
      </c>
      <c r="J3543" s="3" t="str">
        <f>HYPERLINK("https://www.boe.es/gazeta/dias/1814/07/23/pdfs/GMD-1814-102.pdf#page=1","Abrir facsímil")</f>
        <v>Abrir facsímil</v>
      </c>
      <c r="K3543" s="3" t="s">
        <v>64</v>
      </c>
    </row>
    <row r="3544" spans="1:11" ht="42" customHeight="1">
      <c r="A3544" s="2" t="s">
        <v>8141</v>
      </c>
      <c r="B3544" s="2" t="s">
        <v>8141</v>
      </c>
      <c r="C3544" s="2" t="s">
        <v>38</v>
      </c>
      <c r="D3544" s="2" t="s">
        <v>39</v>
      </c>
      <c r="E3544" s="5">
        <v>-31383</v>
      </c>
      <c r="F3544" s="3" t="s">
        <v>715</v>
      </c>
      <c r="G3544" s="3" t="s">
        <v>99</v>
      </c>
      <c r="H3544" s="2" t="s">
        <v>62</v>
      </c>
      <c r="I3544" s="2" t="s">
        <v>8142</v>
      </c>
      <c r="J3544" s="3" t="str">
        <f>HYPERLINK("https://www.boe.es/gazeta/dias/1814/01/27/pdfs/GRE-1814-13.pdf#page=5","Abrir facsímil")</f>
        <v>Abrir facsímil</v>
      </c>
      <c r="K3544" s="3" t="s">
        <v>64</v>
      </c>
    </row>
    <row r="3545" spans="1:11" ht="42" customHeight="1">
      <c r="A3545" s="2" t="s">
        <v>8141</v>
      </c>
      <c r="B3545" s="2" t="s">
        <v>8141</v>
      </c>
      <c r="C3545" s="2" t="s">
        <v>38</v>
      </c>
      <c r="D3545" s="2" t="s">
        <v>39</v>
      </c>
      <c r="E3545" s="5">
        <v>-31353</v>
      </c>
      <c r="F3545" s="3" t="s">
        <v>247</v>
      </c>
      <c r="G3545" s="3" t="s">
        <v>20</v>
      </c>
      <c r="H3545" s="2" t="s">
        <v>62</v>
      </c>
      <c r="I3545" s="2" t="s">
        <v>8143</v>
      </c>
      <c r="J3545" s="3" t="str">
        <f>HYPERLINK("https://www.boe.es/gazeta/dias/1814/02/26/pdfs/GRE-1814-27.pdf#page=7","Abrir facsímil")</f>
        <v>Abrir facsímil</v>
      </c>
      <c r="K3545" s="3" t="s">
        <v>64</v>
      </c>
    </row>
    <row r="3546" spans="1:11" ht="42" customHeight="1">
      <c r="A3546" s="2" t="s">
        <v>8141</v>
      </c>
      <c r="B3546" s="2" t="s">
        <v>8141</v>
      </c>
      <c r="C3546" s="2" t="s">
        <v>38</v>
      </c>
      <c r="D3546" s="2" t="s">
        <v>39</v>
      </c>
      <c r="E3546" s="5">
        <v>-31350</v>
      </c>
      <c r="F3546" s="3" t="s">
        <v>377</v>
      </c>
      <c r="G3546" s="3" t="s">
        <v>52</v>
      </c>
      <c r="H3546" s="2" t="s">
        <v>62</v>
      </c>
      <c r="I3546" s="2" t="s">
        <v>8144</v>
      </c>
      <c r="J3546" s="3" t="str">
        <f>HYPERLINK("https://www.boe.es/gazeta/dias/1814/03/01/pdfs/GRE-1814-28.pdf#page=8","Abrir facsímil")</f>
        <v>Abrir facsímil</v>
      </c>
      <c r="K3546" s="3" t="s">
        <v>64</v>
      </c>
    </row>
    <row r="3547" spans="1:11" ht="42" customHeight="1">
      <c r="A3547" s="2" t="s">
        <v>8145</v>
      </c>
      <c r="B3547" s="2" t="s">
        <v>8146</v>
      </c>
      <c r="C3547" s="2" t="s">
        <v>38</v>
      </c>
      <c r="D3547" s="2" t="s">
        <v>39</v>
      </c>
      <c r="E3547" s="5">
        <v>-31126</v>
      </c>
      <c r="F3547" s="3" t="s">
        <v>56</v>
      </c>
      <c r="G3547" s="3" t="s">
        <v>2616</v>
      </c>
      <c r="H3547" s="2" t="s">
        <v>62</v>
      </c>
      <c r="I3547" s="2" t="s">
        <v>8147</v>
      </c>
      <c r="J3547" s="3" t="str">
        <f>HYPERLINK("https://www.boe.es/gazeta/dias/1814/10/11/pdfs/GMD-1814-137.pdf#page=7","Abrir facsímil")</f>
        <v>Abrir facsímil</v>
      </c>
      <c r="K3547" s="3" t="s">
        <v>64</v>
      </c>
    </row>
    <row r="3548" spans="1:11" ht="42" customHeight="1">
      <c r="A3548" s="2" t="s">
        <v>8148</v>
      </c>
      <c r="B3548" s="2" t="s">
        <v>8149</v>
      </c>
      <c r="C3548" s="2" t="s">
        <v>17</v>
      </c>
      <c r="D3548" s="2" t="s">
        <v>18</v>
      </c>
      <c r="E3548" s="5">
        <v>-31371</v>
      </c>
      <c r="F3548" s="3" t="s">
        <v>1017</v>
      </c>
      <c r="G3548" s="3" t="s">
        <v>41</v>
      </c>
      <c r="H3548" s="2" t="s">
        <v>21</v>
      </c>
      <c r="I3548" s="2" t="s">
        <v>8150</v>
      </c>
      <c r="J3548" s="3" t="str">
        <f>HYPERLINK("https://www.boe.es/gazeta/dias/1814/02/08/pdfs/GRE-1814-18.pdf#page=4","Abrir facsímil")</f>
        <v>Abrir facsímil</v>
      </c>
      <c r="K3548" s="3" t="s">
        <v>23</v>
      </c>
    </row>
    <row r="3549" spans="1:11" ht="42" customHeight="1">
      <c r="A3549" s="2" t="s">
        <v>8148</v>
      </c>
      <c r="B3549" s="2" t="s">
        <v>8149</v>
      </c>
      <c r="C3549" s="2" t="s">
        <v>38</v>
      </c>
      <c r="D3549" s="2" t="s">
        <v>39</v>
      </c>
      <c r="E3549" s="5">
        <v>-31369</v>
      </c>
      <c r="F3549" s="3" t="s">
        <v>695</v>
      </c>
      <c r="G3549" s="3" t="s">
        <v>3737</v>
      </c>
      <c r="H3549" s="2" t="s">
        <v>21</v>
      </c>
      <c r="I3549" s="2" t="s">
        <v>8151</v>
      </c>
      <c r="J3549" s="3" t="str">
        <f>HYPERLINK("https://www.boe.es/gazeta/dias/1814/02/10/pdfs/GRE-1814-19.pdf#page=6","Abrir facsímil")</f>
        <v>Abrir facsímil</v>
      </c>
      <c r="K3549" s="3" t="s">
        <v>23</v>
      </c>
    </row>
    <row r="3550" spans="1:11" ht="42" customHeight="1">
      <c r="A3550" s="2" t="s">
        <v>8148</v>
      </c>
      <c r="B3550" s="2" t="s">
        <v>8149</v>
      </c>
      <c r="C3550" s="2" t="s">
        <v>38</v>
      </c>
      <c r="D3550" s="2" t="s">
        <v>39</v>
      </c>
      <c r="E3550" s="5">
        <v>-31369</v>
      </c>
      <c r="F3550" s="3" t="s">
        <v>695</v>
      </c>
      <c r="G3550" s="3" t="s">
        <v>82</v>
      </c>
      <c r="H3550" s="2" t="s">
        <v>21</v>
      </c>
      <c r="I3550" s="2" t="s">
        <v>8152</v>
      </c>
      <c r="J3550" s="3" t="str">
        <f>HYPERLINK("https://www.boe.es/gazeta/dias/1814/02/10/pdfs/GRE-1814-19.pdf#page=3","Abrir facsímil")</f>
        <v>Abrir facsímil</v>
      </c>
      <c r="K3550" s="3" t="s">
        <v>23</v>
      </c>
    </row>
    <row r="3551" spans="1:11" ht="42" customHeight="1">
      <c r="A3551" s="2" t="s">
        <v>8148</v>
      </c>
      <c r="B3551" s="2" t="s">
        <v>8149</v>
      </c>
      <c r="C3551" s="2" t="s">
        <v>38</v>
      </c>
      <c r="D3551" s="2" t="s">
        <v>39</v>
      </c>
      <c r="E3551" s="5">
        <v>-31369</v>
      </c>
      <c r="F3551" s="3" t="s">
        <v>695</v>
      </c>
      <c r="G3551" s="3" t="s">
        <v>41</v>
      </c>
      <c r="H3551" s="2" t="s">
        <v>21</v>
      </c>
      <c r="I3551" s="2" t="s">
        <v>8153</v>
      </c>
      <c r="J3551" s="3" t="str">
        <f>HYPERLINK("https://www.boe.es/gazeta/dias/1814/02/10/pdfs/GRE-1814-19.pdf#page=4","Abrir facsímil")</f>
        <v>Abrir facsímil</v>
      </c>
      <c r="K3551" s="3" t="s">
        <v>23</v>
      </c>
    </row>
    <row r="3552" spans="1:11" ht="42" customHeight="1">
      <c r="A3552" s="2" t="s">
        <v>8148</v>
      </c>
      <c r="B3552" s="2" t="s">
        <v>8149</v>
      </c>
      <c r="C3552" s="2" t="s">
        <v>38</v>
      </c>
      <c r="D3552" s="2" t="s">
        <v>39</v>
      </c>
      <c r="E3552" s="5">
        <v>-31348</v>
      </c>
      <c r="F3552" s="3" t="s">
        <v>898</v>
      </c>
      <c r="G3552" s="3" t="s">
        <v>82</v>
      </c>
      <c r="H3552" s="2" t="s">
        <v>21</v>
      </c>
      <c r="I3552" s="2" t="s">
        <v>8154</v>
      </c>
      <c r="J3552" s="3" t="str">
        <f>HYPERLINK("https://www.boe.es/gazeta/dias/1814/03/03/pdfs/GRE-1814-29.pdf#page=3","Abrir facsímil")</f>
        <v>Abrir facsímil</v>
      </c>
      <c r="K3552" s="3" t="s">
        <v>23</v>
      </c>
    </row>
    <row r="3553" spans="1:11" ht="42" customHeight="1">
      <c r="A3553" s="2" t="s">
        <v>8148</v>
      </c>
      <c r="B3553" s="2" t="s">
        <v>8149</v>
      </c>
      <c r="C3553" s="2" t="s">
        <v>38</v>
      </c>
      <c r="D3553" s="2" t="s">
        <v>39</v>
      </c>
      <c r="E3553" s="5">
        <v>-31336</v>
      </c>
      <c r="F3553" s="3" t="s">
        <v>1789</v>
      </c>
      <c r="G3553" s="3" t="s">
        <v>20</v>
      </c>
      <c r="H3553" s="2" t="s">
        <v>21</v>
      </c>
      <c r="I3553" s="2" t="s">
        <v>8155</v>
      </c>
      <c r="J3553" s="3" t="str">
        <f>HYPERLINK("https://www.boe.es/gazeta/dias/1814/03/15/pdfs/GRE-1814-36.pdf#page=7","Abrir facsímil")</f>
        <v>Abrir facsímil</v>
      </c>
      <c r="K3553" s="3" t="s">
        <v>23</v>
      </c>
    </row>
    <row r="3554" spans="1:11" ht="42" customHeight="1">
      <c r="A3554" s="2" t="s">
        <v>8148</v>
      </c>
      <c r="B3554" s="2" t="s">
        <v>8149</v>
      </c>
      <c r="C3554" s="2" t="s">
        <v>38</v>
      </c>
      <c r="D3554" s="2" t="s">
        <v>39</v>
      </c>
      <c r="E3554" s="5">
        <v>-31327</v>
      </c>
      <c r="F3554" s="3" t="s">
        <v>180</v>
      </c>
      <c r="G3554" s="3" t="s">
        <v>99</v>
      </c>
      <c r="H3554" s="2" t="s">
        <v>21</v>
      </c>
      <c r="I3554" s="2" t="s">
        <v>8156</v>
      </c>
      <c r="J3554" s="3" t="str">
        <f>HYPERLINK("https://www.boe.es/gazeta/dias/1814/03/24/pdfs/GRE-1814-41.pdf#page=5","Abrir facsímil")</f>
        <v>Abrir facsímil</v>
      </c>
      <c r="K3554" s="3" t="s">
        <v>23</v>
      </c>
    </row>
    <row r="3555" spans="1:11" ht="42" customHeight="1">
      <c r="A3555" s="2" t="s">
        <v>8148</v>
      </c>
      <c r="B3555" s="2" t="s">
        <v>8149</v>
      </c>
      <c r="C3555" s="2" t="s">
        <v>38</v>
      </c>
      <c r="D3555" s="2" t="s">
        <v>39</v>
      </c>
      <c r="E3555" s="5">
        <v>-31327</v>
      </c>
      <c r="F3555" s="3" t="s">
        <v>180</v>
      </c>
      <c r="G3555" s="3" t="s">
        <v>57</v>
      </c>
      <c r="H3555" s="2" t="s">
        <v>21</v>
      </c>
      <c r="I3555" s="2" t="s">
        <v>8157</v>
      </c>
      <c r="J3555" s="3" t="str">
        <f>HYPERLINK("https://www.boe.es/gazeta/dias/1814/03/24/pdfs/GRE-1814-41.pdf#page=6","Abrir facsímil")</f>
        <v>Abrir facsímil</v>
      </c>
      <c r="K3555" s="3" t="s">
        <v>23</v>
      </c>
    </row>
    <row r="3556" spans="1:11" ht="42" customHeight="1">
      <c r="A3556" s="2" t="s">
        <v>8148</v>
      </c>
      <c r="B3556" s="2" t="s">
        <v>8149</v>
      </c>
      <c r="C3556" s="2" t="s">
        <v>38</v>
      </c>
      <c r="D3556" s="2" t="s">
        <v>39</v>
      </c>
      <c r="E3556" s="5">
        <v>-31248</v>
      </c>
      <c r="F3556" s="3" t="s">
        <v>1123</v>
      </c>
      <c r="G3556" s="3" t="s">
        <v>1127</v>
      </c>
      <c r="H3556" s="2" t="s">
        <v>21</v>
      </c>
      <c r="I3556" s="2" t="s">
        <v>8158</v>
      </c>
      <c r="J3556" s="3" t="str">
        <f>HYPERLINK("https://www.boe.es/gazeta/dias/1814/06/11/pdfs/GMD-1814-84.pdf#page=4","Abrir facsímil")</f>
        <v>Abrir facsímil</v>
      </c>
      <c r="K3556" s="3" t="s">
        <v>23</v>
      </c>
    </row>
    <row r="3557" spans="1:11" ht="42" customHeight="1">
      <c r="A3557" s="2" t="s">
        <v>8148</v>
      </c>
      <c r="B3557" s="2" t="s">
        <v>8149</v>
      </c>
      <c r="C3557" s="2" t="s">
        <v>144</v>
      </c>
      <c r="D3557" s="2" t="s">
        <v>18</v>
      </c>
      <c r="E3557" s="5">
        <v>-31164</v>
      </c>
      <c r="F3557" s="3" t="s">
        <v>1423</v>
      </c>
      <c r="G3557" s="3" t="s">
        <v>52</v>
      </c>
      <c r="H3557" s="2" t="s">
        <v>21</v>
      </c>
      <c r="I3557" s="2" t="s">
        <v>8159</v>
      </c>
      <c r="J3557" s="3" t="str">
        <f>HYPERLINK("https://www.boe.es/gazeta/dias/1814/09/03/pdfs/GMD-1814-121.pdf#page=8","Abrir facsímil")</f>
        <v>Abrir facsímil</v>
      </c>
      <c r="K3557" s="3" t="s">
        <v>23</v>
      </c>
    </row>
    <row r="3558" spans="1:11" ht="42" customHeight="1">
      <c r="A3558" s="2" t="s">
        <v>8160</v>
      </c>
      <c r="B3558" s="2" t="s">
        <v>8161</v>
      </c>
      <c r="C3558" s="2" t="s">
        <v>38</v>
      </c>
      <c r="D3558" s="2" t="s">
        <v>39</v>
      </c>
      <c r="E3558" s="5">
        <v>-31371</v>
      </c>
      <c r="F3558" s="3" t="s">
        <v>1017</v>
      </c>
      <c r="G3558" s="3" t="s">
        <v>82</v>
      </c>
      <c r="H3558" s="2" t="s">
        <v>21</v>
      </c>
      <c r="I3558" s="2" t="s">
        <v>8162</v>
      </c>
      <c r="J3558" s="3" t="str">
        <f>HYPERLINK("https://www.boe.es/gazeta/dias/1814/02/08/pdfs/GRE-1814-18.pdf#page=3","Abrir facsímil")</f>
        <v>Abrir facsímil</v>
      </c>
      <c r="K3558" s="3" t="s">
        <v>23</v>
      </c>
    </row>
    <row r="3559" spans="1:11" ht="42" customHeight="1">
      <c r="A3559" s="2" t="s">
        <v>8163</v>
      </c>
      <c r="B3559" s="2" t="s">
        <v>8164</v>
      </c>
      <c r="C3559" s="2" t="s">
        <v>17</v>
      </c>
      <c r="D3559" s="2" t="s">
        <v>18</v>
      </c>
      <c r="E3559" s="5">
        <v>-31143</v>
      </c>
      <c r="F3559" s="3" t="s">
        <v>787</v>
      </c>
      <c r="G3559" s="3" t="s">
        <v>52</v>
      </c>
      <c r="H3559" s="2" t="s">
        <v>62</v>
      </c>
      <c r="I3559" s="2" t="s">
        <v>8165</v>
      </c>
      <c r="J3559" s="3" t="str">
        <f>HYPERLINK("https://www.boe.es/gazeta/dias/1814/09/24/pdfs/GMD-1814-130.pdf#page=8","Abrir facsímil")</f>
        <v>Abrir facsímil</v>
      </c>
      <c r="K3559" s="3" t="s">
        <v>64</v>
      </c>
    </row>
    <row r="3560" spans="1:11" ht="42" customHeight="1">
      <c r="A3560" s="2" t="s">
        <v>8166</v>
      </c>
      <c r="B3560" s="2" t="s">
        <v>8167</v>
      </c>
      <c r="C3560" s="2" t="s">
        <v>26</v>
      </c>
      <c r="D3560" s="2" t="s">
        <v>27</v>
      </c>
      <c r="E3560" s="5">
        <v>-31129</v>
      </c>
      <c r="F3560" s="3" t="s">
        <v>418</v>
      </c>
      <c r="G3560" s="3" t="s">
        <v>1366</v>
      </c>
      <c r="H3560" s="2" t="s">
        <v>62</v>
      </c>
      <c r="I3560" s="2" t="s">
        <v>8168</v>
      </c>
      <c r="J3560" s="3" t="str">
        <f>HYPERLINK("https://www.boe.es/gazeta/dias/1814/10/08/pdfs/GMD-1814-136.pdf#page=6","Abrir facsímil")</f>
        <v>Abrir facsímil</v>
      </c>
      <c r="K3560" s="3" t="s">
        <v>64</v>
      </c>
    </row>
    <row r="3561" spans="1:11" ht="42" customHeight="1">
      <c r="A3561" s="2" t="s">
        <v>8169</v>
      </c>
      <c r="B3561" s="2" t="s">
        <v>8169</v>
      </c>
      <c r="C3561" s="2" t="s">
        <v>38</v>
      </c>
      <c r="D3561" s="2" t="s">
        <v>314</v>
      </c>
      <c r="E3561" s="5">
        <v>-31060</v>
      </c>
      <c r="F3561" s="3" t="s">
        <v>4339</v>
      </c>
      <c r="G3561" s="3" t="s">
        <v>87</v>
      </c>
      <c r="H3561" s="2" t="s">
        <v>62</v>
      </c>
      <c r="I3561" s="2" t="s">
        <v>8170</v>
      </c>
      <c r="J3561" s="3" t="str">
        <f>HYPERLINK("https://www.boe.es/gazeta/dias/1814/12/16/pdfs/GMD-1814-166E.pdf#page=2","Abrir facsímil")</f>
        <v>Abrir facsímil</v>
      </c>
      <c r="K3561" s="3" t="s">
        <v>64</v>
      </c>
    </row>
    <row r="3562" spans="1:11" ht="42" customHeight="1">
      <c r="A3562" s="2" t="s">
        <v>8171</v>
      </c>
      <c r="B3562" s="2" t="s">
        <v>8172</v>
      </c>
      <c r="C3562" s="2" t="s">
        <v>26</v>
      </c>
      <c r="D3562" s="2" t="s">
        <v>27</v>
      </c>
      <c r="E3562" s="5">
        <v>-31245</v>
      </c>
      <c r="F3562" s="3" t="s">
        <v>908</v>
      </c>
      <c r="G3562" s="3" t="s">
        <v>99</v>
      </c>
      <c r="H3562" s="2" t="s">
        <v>62</v>
      </c>
      <c r="I3562" s="2" t="s">
        <v>8173</v>
      </c>
      <c r="J3562" s="3" t="str">
        <f>HYPERLINK("https://www.boe.es/gazeta/dias/1814/06/14/pdfs/GMD-1814-85.pdf#page=5","Abrir facsímil")</f>
        <v>Abrir facsímil</v>
      </c>
      <c r="K3562" s="3" t="s">
        <v>64</v>
      </c>
    </row>
    <row r="3563" spans="1:11" ht="42" customHeight="1">
      <c r="A3563" s="2" t="s">
        <v>8174</v>
      </c>
      <c r="B3563" s="2" t="s">
        <v>8175</v>
      </c>
      <c r="C3563" s="2" t="s">
        <v>38</v>
      </c>
      <c r="D3563" s="2" t="s">
        <v>39</v>
      </c>
      <c r="E3563" s="5">
        <v>-31353</v>
      </c>
      <c r="F3563" s="3" t="s">
        <v>247</v>
      </c>
      <c r="G3563" s="3" t="s">
        <v>57</v>
      </c>
      <c r="H3563" s="2" t="s">
        <v>62</v>
      </c>
      <c r="I3563" s="2" t="s">
        <v>8176</v>
      </c>
      <c r="J3563" s="3" t="str">
        <f>HYPERLINK("https://www.boe.es/gazeta/dias/1814/02/26/pdfs/GRE-1814-27.pdf#page=6","Abrir facsímil")</f>
        <v>Abrir facsímil</v>
      </c>
      <c r="K3563" s="3" t="s">
        <v>64</v>
      </c>
    </row>
    <row r="3564" spans="1:11" ht="42" customHeight="1">
      <c r="A3564" s="2" t="s">
        <v>8177</v>
      </c>
      <c r="B3564" s="2" t="s">
        <v>8178</v>
      </c>
      <c r="C3564" s="2" t="s">
        <v>38</v>
      </c>
      <c r="D3564" s="2" t="s">
        <v>39</v>
      </c>
      <c r="E3564" s="5">
        <v>-31173</v>
      </c>
      <c r="F3564" s="3" t="s">
        <v>46</v>
      </c>
      <c r="G3564" s="3" t="s">
        <v>57</v>
      </c>
      <c r="H3564" s="2" t="s">
        <v>62</v>
      </c>
      <c r="I3564" s="2" t="s">
        <v>8179</v>
      </c>
      <c r="J3564" s="3" t="str">
        <f>HYPERLINK("https://www.boe.es/gazeta/dias/1814/08/25/pdfs/GMD-1814-116.pdf#page=6","Abrir facsímil")</f>
        <v>Abrir facsímil</v>
      </c>
      <c r="K3564" s="3" t="s">
        <v>64</v>
      </c>
    </row>
    <row r="3565" spans="1:11" ht="42" customHeight="1">
      <c r="A3565" s="2" t="s">
        <v>8180</v>
      </c>
      <c r="B3565" s="2" t="s">
        <v>8181</v>
      </c>
      <c r="C3565" s="2" t="s">
        <v>38</v>
      </c>
      <c r="D3565" s="2" t="s">
        <v>39</v>
      </c>
      <c r="E3565" s="5">
        <v>-31213</v>
      </c>
      <c r="F3565" s="3" t="s">
        <v>276</v>
      </c>
      <c r="G3565" s="3" t="s">
        <v>41</v>
      </c>
      <c r="H3565" s="2" t="s">
        <v>62</v>
      </c>
      <c r="I3565" s="2" t="s">
        <v>8182</v>
      </c>
      <c r="J3565" s="3" t="str">
        <f>HYPERLINK("https://www.boe.es/gazeta/dias/1814/07/16/pdfs/GMD-1814-99.pdf#page=4","Abrir facsímil")</f>
        <v>Abrir facsímil</v>
      </c>
      <c r="K3565" s="3" t="s">
        <v>64</v>
      </c>
    </row>
    <row r="3566" spans="1:11" ht="42" customHeight="1">
      <c r="A3566" s="2" t="s">
        <v>8183</v>
      </c>
      <c r="B3566" s="2" t="s">
        <v>8184</v>
      </c>
      <c r="C3566" s="2" t="s">
        <v>38</v>
      </c>
      <c r="D3566" s="2" t="s">
        <v>314</v>
      </c>
      <c r="E3566" s="5">
        <v>-31328</v>
      </c>
      <c r="F3566" s="3" t="s">
        <v>442</v>
      </c>
      <c r="G3566" s="3" t="s">
        <v>87</v>
      </c>
      <c r="H3566" s="2" t="s">
        <v>62</v>
      </c>
      <c r="I3566" s="2" t="s">
        <v>8185</v>
      </c>
      <c r="J3566" s="3" t="str">
        <f>HYPERLINK("https://www.boe.es/gazeta/dias/1814/03/23/pdfs/GRE-1814-40E.pdf#page=2","Abrir facsímil")</f>
        <v>Abrir facsímil</v>
      </c>
      <c r="K3566" s="3" t="s">
        <v>64</v>
      </c>
    </row>
    <row r="3567" spans="1:11" ht="42" customHeight="1">
      <c r="A3567" s="2" t="s">
        <v>8183</v>
      </c>
      <c r="B3567" s="2" t="s">
        <v>8184</v>
      </c>
      <c r="C3567" s="2" t="s">
        <v>38</v>
      </c>
      <c r="D3567" s="2" t="s">
        <v>314</v>
      </c>
      <c r="E3567" s="5">
        <v>-31328</v>
      </c>
      <c r="F3567" s="3" t="s">
        <v>442</v>
      </c>
      <c r="G3567" s="3" t="s">
        <v>82</v>
      </c>
      <c r="H3567" s="2" t="s">
        <v>62</v>
      </c>
      <c r="I3567" s="2" t="s">
        <v>8186</v>
      </c>
      <c r="J3567" s="3" t="str">
        <f>HYPERLINK("https://www.boe.es/gazeta/dias/1814/03/23/pdfs/GRE-1814-40E.pdf#page=3","Abrir facsímil")</f>
        <v>Abrir facsímil</v>
      </c>
      <c r="K3567" s="3" t="s">
        <v>64</v>
      </c>
    </row>
    <row r="3568" spans="1:11" ht="42" customHeight="1">
      <c r="A3568" s="2" t="s">
        <v>8183</v>
      </c>
      <c r="B3568" s="2" t="s">
        <v>8184</v>
      </c>
      <c r="C3568" s="2" t="s">
        <v>38</v>
      </c>
      <c r="D3568" s="2" t="s">
        <v>314</v>
      </c>
      <c r="E3568" s="5">
        <v>-31296</v>
      </c>
      <c r="F3568" s="3" t="s">
        <v>315</v>
      </c>
      <c r="G3568" s="3" t="s">
        <v>57</v>
      </c>
      <c r="H3568" s="2" t="s">
        <v>62</v>
      </c>
      <c r="I3568" s="2" t="s">
        <v>8187</v>
      </c>
      <c r="J3568" s="3" t="str">
        <f>HYPERLINK("https://www.boe.es/gazeta/dias/1814/04/24/pdfs/GRE-1814-60E.pdf#page=6","Abrir facsímil")</f>
        <v>Abrir facsímil</v>
      </c>
      <c r="K3568" s="3" t="s">
        <v>64</v>
      </c>
    </row>
    <row r="3569" spans="1:11" ht="42" customHeight="1">
      <c r="A3569" s="2" t="s">
        <v>8188</v>
      </c>
      <c r="B3569" s="2" t="s">
        <v>8189</v>
      </c>
      <c r="C3569" s="2" t="s">
        <v>38</v>
      </c>
      <c r="D3569" s="2" t="s">
        <v>39</v>
      </c>
      <c r="E3569" s="5">
        <v>-31243</v>
      </c>
      <c r="F3569" s="3" t="s">
        <v>500</v>
      </c>
      <c r="G3569" s="3" t="s">
        <v>57</v>
      </c>
      <c r="H3569" s="2" t="s">
        <v>62</v>
      </c>
      <c r="I3569" s="2" t="s">
        <v>8190</v>
      </c>
      <c r="J3569" s="3" t="str">
        <f>HYPERLINK("https://www.boe.es/gazeta/dias/1814/06/16/pdfs/GMD-1814-86.pdf#page=6","Abrir facsímil")</f>
        <v>Abrir facsímil</v>
      </c>
      <c r="K3569" s="3" t="s">
        <v>64</v>
      </c>
    </row>
    <row r="3570" spans="1:11" ht="42" customHeight="1">
      <c r="A3570" s="2" t="s">
        <v>8191</v>
      </c>
      <c r="B3570" s="2" t="s">
        <v>8192</v>
      </c>
      <c r="C3570" s="2" t="s">
        <v>38</v>
      </c>
      <c r="D3570" s="2" t="s">
        <v>39</v>
      </c>
      <c r="E3570" s="5">
        <v>-31054</v>
      </c>
      <c r="F3570" s="3" t="s">
        <v>952</v>
      </c>
      <c r="G3570" s="3" t="s">
        <v>20</v>
      </c>
      <c r="H3570" s="2" t="s">
        <v>62</v>
      </c>
      <c r="I3570" s="2" t="s">
        <v>8193</v>
      </c>
      <c r="J3570" s="3" t="str">
        <f>HYPERLINK("https://www.boe.es/gazeta/dias/1814/12/22/pdfs/GMD-1814-169.pdf#page=7","Abrir facsímil")</f>
        <v>Abrir facsímil</v>
      </c>
      <c r="K3570" s="3" t="s">
        <v>64</v>
      </c>
    </row>
    <row r="3571" spans="1:11" ht="42" customHeight="1">
      <c r="A3571" s="2" t="s">
        <v>8194</v>
      </c>
      <c r="B3571" s="2" t="s">
        <v>8195</v>
      </c>
      <c r="C3571" s="2" t="s">
        <v>17</v>
      </c>
      <c r="D3571" s="2" t="s">
        <v>18</v>
      </c>
      <c r="E3571" s="5">
        <v>-31187</v>
      </c>
      <c r="F3571" s="3" t="s">
        <v>518</v>
      </c>
      <c r="G3571" s="3" t="s">
        <v>99</v>
      </c>
      <c r="H3571" s="2" t="s">
        <v>62</v>
      </c>
      <c r="I3571" s="2" t="s">
        <v>8196</v>
      </c>
      <c r="J3571" s="3" t="str">
        <f>HYPERLINK("https://www.boe.es/gazeta/dias/1814/08/11/pdfs/GMD-1814-110.pdf#page=5","Abrir facsímil")</f>
        <v>Abrir facsímil</v>
      </c>
      <c r="K3571" s="3" t="s">
        <v>64</v>
      </c>
    </row>
    <row r="3572" spans="1:11" ht="42" customHeight="1">
      <c r="A3572" s="2" t="s">
        <v>8197</v>
      </c>
      <c r="B3572" s="2" t="s">
        <v>8197</v>
      </c>
      <c r="C3572" s="2" t="s">
        <v>38</v>
      </c>
      <c r="D3572" s="2" t="s">
        <v>39</v>
      </c>
      <c r="E3572" s="5">
        <v>-31301</v>
      </c>
      <c r="F3572" s="3" t="s">
        <v>81</v>
      </c>
      <c r="G3572" s="3" t="s">
        <v>82</v>
      </c>
      <c r="H3572" s="2" t="s">
        <v>62</v>
      </c>
      <c r="I3572" s="2" t="s">
        <v>8198</v>
      </c>
      <c r="J3572" s="3" t="str">
        <f>HYPERLINK("https://www.boe.es/gazeta/dias/1814/04/19/pdfs/GRE-1814-56.pdf#page=3","Abrir facsímil")</f>
        <v>Abrir facsímil</v>
      </c>
      <c r="K3572" s="3" t="s">
        <v>64</v>
      </c>
    </row>
    <row r="3573" spans="1:11" ht="42" customHeight="1">
      <c r="A3573" s="2" t="s">
        <v>8199</v>
      </c>
      <c r="B3573" s="2" t="s">
        <v>8200</v>
      </c>
      <c r="C3573" s="2" t="s">
        <v>38</v>
      </c>
      <c r="D3573" s="2" t="s">
        <v>39</v>
      </c>
      <c r="E3573" s="5">
        <v>-31301</v>
      </c>
      <c r="F3573" s="3" t="s">
        <v>81</v>
      </c>
      <c r="G3573" s="3" t="s">
        <v>82</v>
      </c>
      <c r="H3573" s="2" t="s">
        <v>62</v>
      </c>
      <c r="I3573" s="2" t="s">
        <v>8201</v>
      </c>
      <c r="J3573" s="3" t="str">
        <f>HYPERLINK("https://www.boe.es/gazeta/dias/1814/04/19/pdfs/GRE-1814-56.pdf#page=3","Abrir facsímil")</f>
        <v>Abrir facsímil</v>
      </c>
      <c r="K3573" s="3" t="s">
        <v>64</v>
      </c>
    </row>
    <row r="3574" spans="1:11" ht="42" customHeight="1">
      <c r="A3574" s="2" t="s">
        <v>8202</v>
      </c>
      <c r="B3574" s="2" t="s">
        <v>8202</v>
      </c>
      <c r="C3574" s="2" t="s">
        <v>38</v>
      </c>
      <c r="D3574" s="2" t="s">
        <v>39</v>
      </c>
      <c r="E3574" s="5">
        <v>-31329</v>
      </c>
      <c r="F3574" s="3" t="s">
        <v>621</v>
      </c>
      <c r="G3574" s="3" t="s">
        <v>57</v>
      </c>
      <c r="H3574" s="2" t="s">
        <v>62</v>
      </c>
      <c r="I3574" s="2" t="s">
        <v>8203</v>
      </c>
      <c r="J3574" s="3" t="str">
        <f>HYPERLINK("https://www.boe.es/gazeta/dias/1814/03/22/pdfs/GRE-1814-39.pdf#page=6","Abrir facsímil")</f>
        <v>Abrir facsímil</v>
      </c>
      <c r="K3574" s="3" t="s">
        <v>64</v>
      </c>
    </row>
    <row r="3575" spans="1:11" ht="42" customHeight="1">
      <c r="A3575" s="2" t="s">
        <v>8204</v>
      </c>
      <c r="B3575" s="2" t="s">
        <v>8204</v>
      </c>
      <c r="C3575" s="2" t="s">
        <v>38</v>
      </c>
      <c r="D3575" s="2" t="s">
        <v>39</v>
      </c>
      <c r="E3575" s="5">
        <v>-31287</v>
      </c>
      <c r="F3575" s="3" t="s">
        <v>491</v>
      </c>
      <c r="G3575" s="3" t="s">
        <v>57</v>
      </c>
      <c r="H3575" s="2" t="s">
        <v>62</v>
      </c>
      <c r="I3575" s="2" t="s">
        <v>8205</v>
      </c>
      <c r="J3575" s="3" t="str">
        <f>HYPERLINK("https://www.boe.es/gazeta/dias/1814/05/03/pdfs/GRE-1814-65.pdf#page=6","Abrir facsímil")</f>
        <v>Abrir facsímil</v>
      </c>
      <c r="K3575" s="3" t="s">
        <v>64</v>
      </c>
    </row>
    <row r="3576" spans="1:11" ht="42" customHeight="1">
      <c r="A3576" s="2" t="s">
        <v>8206</v>
      </c>
      <c r="B3576" s="2" t="s">
        <v>8206</v>
      </c>
      <c r="C3576" s="2" t="s">
        <v>26</v>
      </c>
      <c r="D3576" s="2" t="s">
        <v>27</v>
      </c>
      <c r="E3576" s="5">
        <v>-31385</v>
      </c>
      <c r="F3576" s="3" t="s">
        <v>783</v>
      </c>
      <c r="G3576" s="3" t="s">
        <v>52</v>
      </c>
      <c r="H3576" s="2" t="s">
        <v>62</v>
      </c>
      <c r="I3576" s="2" t="s">
        <v>8207</v>
      </c>
      <c r="J3576" s="3" t="str">
        <f>HYPERLINK("https://www.boe.es/gazeta/dias/1814/01/25/pdfs/GRE-1814-12.pdf#page=8","Abrir facsímil")</f>
        <v>Abrir facsímil</v>
      </c>
      <c r="K3576" s="3" t="s">
        <v>64</v>
      </c>
    </row>
    <row r="3577" spans="1:11" ht="42" customHeight="1">
      <c r="A3577" s="2" t="s">
        <v>8208</v>
      </c>
      <c r="B3577" s="2" t="s">
        <v>8209</v>
      </c>
      <c r="C3577" s="2" t="s">
        <v>38</v>
      </c>
      <c r="D3577" s="2" t="s">
        <v>39</v>
      </c>
      <c r="E3577" s="5">
        <v>-31318</v>
      </c>
      <c r="F3577" s="3" t="s">
        <v>400</v>
      </c>
      <c r="G3577" s="3" t="s">
        <v>41</v>
      </c>
      <c r="H3577" s="2" t="s">
        <v>62</v>
      </c>
      <c r="I3577" s="2" t="s">
        <v>8210</v>
      </c>
      <c r="J3577" s="3" t="str">
        <f>HYPERLINK("https://www.boe.es/gazeta/dias/1814/04/02/pdfs/GRE-1814-47.pdf#page=4","Abrir facsímil")</f>
        <v>Abrir facsímil</v>
      </c>
      <c r="K3577" s="3" t="s">
        <v>64</v>
      </c>
    </row>
    <row r="3578" spans="1:11" ht="42" customHeight="1">
      <c r="A3578" s="2" t="s">
        <v>8211</v>
      </c>
      <c r="B3578" s="2" t="s">
        <v>8212</v>
      </c>
      <c r="C3578" s="2" t="s">
        <v>26</v>
      </c>
      <c r="D3578" s="2" t="s">
        <v>27</v>
      </c>
      <c r="E3578" s="5">
        <v>-31199</v>
      </c>
      <c r="F3578" s="3" t="s">
        <v>453</v>
      </c>
      <c r="G3578" s="3" t="s">
        <v>99</v>
      </c>
      <c r="H3578" s="2" t="s">
        <v>62</v>
      </c>
      <c r="I3578" s="2" t="s">
        <v>8213</v>
      </c>
      <c r="J3578" s="3" t="str">
        <f>HYPERLINK("https://www.boe.es/gazeta/dias/1814/07/30/pdfs/GMD-1814-105.pdf#page=5","Abrir facsímil")</f>
        <v>Abrir facsímil</v>
      </c>
      <c r="K3578" s="3" t="s">
        <v>64</v>
      </c>
    </row>
    <row r="3579" spans="1:11" ht="42" customHeight="1">
      <c r="A3579" s="2" t="s">
        <v>8214</v>
      </c>
      <c r="B3579" s="2" t="s">
        <v>8215</v>
      </c>
      <c r="C3579" s="2" t="s">
        <v>26</v>
      </c>
      <c r="D3579" s="2" t="s">
        <v>27</v>
      </c>
      <c r="E3579" s="5">
        <v>-31115</v>
      </c>
      <c r="F3579" s="3" t="s">
        <v>805</v>
      </c>
      <c r="G3579" s="3" t="s">
        <v>99</v>
      </c>
      <c r="H3579" s="2" t="s">
        <v>62</v>
      </c>
      <c r="I3579" s="2" t="s">
        <v>8216</v>
      </c>
      <c r="J3579" s="3" t="str">
        <f>HYPERLINK("https://www.boe.es/gazeta/dias/1814/10/22/pdfs/GMD-1814-142.pdf#page=5","Abrir facsímil")</f>
        <v>Abrir facsímil</v>
      </c>
      <c r="K3579" s="3" t="s">
        <v>64</v>
      </c>
    </row>
    <row r="3580" spans="1:11" ht="42" customHeight="1">
      <c r="A3580" s="2" t="s">
        <v>8217</v>
      </c>
      <c r="B3580" s="2" t="s">
        <v>8218</v>
      </c>
      <c r="C3580" s="2" t="s">
        <v>38</v>
      </c>
      <c r="D3580" s="2" t="s">
        <v>39</v>
      </c>
      <c r="E3580" s="5">
        <v>-31231</v>
      </c>
      <c r="F3580" s="3" t="s">
        <v>861</v>
      </c>
      <c r="G3580" s="3" t="s">
        <v>137</v>
      </c>
      <c r="H3580" s="2" t="s">
        <v>62</v>
      </c>
      <c r="I3580" s="2" t="s">
        <v>8219</v>
      </c>
      <c r="J3580" s="3" t="str">
        <f>HYPERLINK("https://www.boe.es/gazeta/dias/1814/06/28/pdfs/GMD-1814-91.pdf#page=9","Abrir facsímil")</f>
        <v>Abrir facsímil</v>
      </c>
      <c r="K3580" s="3" t="s">
        <v>64</v>
      </c>
    </row>
    <row r="3581" spans="1:11" ht="42" customHeight="1">
      <c r="A3581" s="2" t="s">
        <v>8220</v>
      </c>
      <c r="B3581" s="2" t="s">
        <v>8221</v>
      </c>
      <c r="C3581" s="2" t="s">
        <v>17</v>
      </c>
      <c r="D3581" s="2" t="s">
        <v>18</v>
      </c>
      <c r="E3581" s="5">
        <v>-31110</v>
      </c>
      <c r="F3581" s="3" t="s">
        <v>149</v>
      </c>
      <c r="G3581" s="3" t="s">
        <v>20</v>
      </c>
      <c r="H3581" s="2" t="s">
        <v>62</v>
      </c>
      <c r="I3581" s="2" t="s">
        <v>8222</v>
      </c>
      <c r="J3581" s="3" t="str">
        <f>HYPERLINK("https://www.boe.es/gazeta/dias/1814/10/27/pdfs/GMD-1814-144.pdf#page=7","Abrir facsímil")</f>
        <v>Abrir facsímil</v>
      </c>
      <c r="K3581" s="3" t="s">
        <v>64</v>
      </c>
    </row>
    <row r="3582" spans="1:11" ht="42" customHeight="1">
      <c r="A3582" s="2" t="s">
        <v>8223</v>
      </c>
      <c r="B3582" s="2" t="s">
        <v>8223</v>
      </c>
      <c r="C3582" s="2" t="s">
        <v>38</v>
      </c>
      <c r="D3582" s="2" t="s">
        <v>39</v>
      </c>
      <c r="E3582" s="5">
        <v>-31364</v>
      </c>
      <c r="F3582" s="3" t="s">
        <v>594</v>
      </c>
      <c r="G3582" s="3" t="s">
        <v>107</v>
      </c>
      <c r="H3582" s="2" t="s">
        <v>62</v>
      </c>
      <c r="I3582" s="2" t="s">
        <v>8224</v>
      </c>
      <c r="J3582" s="3" t="str">
        <f>HYPERLINK("https://www.boe.es/gazeta/dias/1814/02/15/pdfs/GRE-1814-21.pdf#page=1","Abrir facsímil")</f>
        <v>Abrir facsímil</v>
      </c>
      <c r="K3582" s="3" t="s">
        <v>64</v>
      </c>
    </row>
    <row r="3583" spans="1:11" ht="42" customHeight="1">
      <c r="A3583" s="2" t="s">
        <v>8225</v>
      </c>
      <c r="B3583" s="2" t="s">
        <v>8226</v>
      </c>
      <c r="C3583" s="2" t="s">
        <v>38</v>
      </c>
      <c r="D3583" s="2" t="s">
        <v>39</v>
      </c>
      <c r="E3583" s="5">
        <v>-31283</v>
      </c>
      <c r="F3583" s="3" t="s">
        <v>701</v>
      </c>
      <c r="G3583" s="3" t="s">
        <v>52</v>
      </c>
      <c r="H3583" s="2" t="s">
        <v>62</v>
      </c>
      <c r="I3583" s="2" t="s">
        <v>8227</v>
      </c>
      <c r="J3583" s="3" t="str">
        <f>HYPERLINK("https://www.boe.es/gazeta/dias/1814/05/07/pdfs/GRE-1814-67.pdf#page=8","Abrir facsímil")</f>
        <v>Abrir facsímil</v>
      </c>
      <c r="K3583" s="3" t="s">
        <v>64</v>
      </c>
    </row>
    <row r="3584" spans="1:11" ht="42" customHeight="1">
      <c r="A3584" s="2" t="s">
        <v>8228</v>
      </c>
      <c r="B3584" s="2" t="s">
        <v>8228</v>
      </c>
      <c r="C3584" s="2" t="s">
        <v>26</v>
      </c>
      <c r="D3584" s="2" t="s">
        <v>27</v>
      </c>
      <c r="E3584" s="5">
        <v>-31320</v>
      </c>
      <c r="F3584" s="3" t="s">
        <v>40</v>
      </c>
      <c r="G3584" s="3" t="s">
        <v>107</v>
      </c>
      <c r="H3584" s="2" t="s">
        <v>62</v>
      </c>
      <c r="I3584" s="2" t="s">
        <v>8229</v>
      </c>
      <c r="J3584" s="3" t="str">
        <f>HYPERLINK("https://www.boe.es/gazeta/dias/1814/03/31/pdfs/GRE-1814-46.pdf#page=1","Abrir facsímil")</f>
        <v>Abrir facsímil</v>
      </c>
      <c r="K3584" s="3" t="s">
        <v>64</v>
      </c>
    </row>
    <row r="3585" spans="1:11" ht="42" customHeight="1">
      <c r="A3585" s="2" t="s">
        <v>8230</v>
      </c>
      <c r="B3585" s="2" t="s">
        <v>8231</v>
      </c>
      <c r="C3585" s="2" t="s">
        <v>26</v>
      </c>
      <c r="D3585" s="2" t="s">
        <v>27</v>
      </c>
      <c r="E3585" s="5">
        <v>-31136</v>
      </c>
      <c r="F3585" s="3" t="s">
        <v>956</v>
      </c>
      <c r="G3585" s="3" t="s">
        <v>957</v>
      </c>
      <c r="H3585" s="2" t="s">
        <v>62</v>
      </c>
      <c r="I3585" s="2" t="s">
        <v>8232</v>
      </c>
      <c r="J3585" s="3" t="str">
        <f>HYPERLINK("https://www.boe.es/gazeta/dias/1814/10/01/pdfs/GMD-1814-133.pdf#page=8","Abrir facsímil")</f>
        <v>Abrir facsímil</v>
      </c>
      <c r="K3585" s="3" t="s">
        <v>64</v>
      </c>
    </row>
    <row r="3586" spans="1:11" ht="42" customHeight="1">
      <c r="A3586" s="2" t="s">
        <v>8233</v>
      </c>
      <c r="B3586" s="2" t="s">
        <v>8234</v>
      </c>
      <c r="C3586" s="2" t="s">
        <v>26</v>
      </c>
      <c r="D3586" s="2" t="s">
        <v>27</v>
      </c>
      <c r="E3586" s="5">
        <v>-31175</v>
      </c>
      <c r="F3586" s="3" t="s">
        <v>145</v>
      </c>
      <c r="G3586" s="3" t="s">
        <v>82</v>
      </c>
      <c r="H3586" s="2" t="s">
        <v>62</v>
      </c>
      <c r="I3586" s="2" t="s">
        <v>8235</v>
      </c>
      <c r="J3586" s="3" t="str">
        <f>HYPERLINK("https://www.boe.es/gazeta/dias/1814/08/23/pdfs/GMD-1814-115.pdf#page=3","Abrir facsímil")</f>
        <v>Abrir facsímil</v>
      </c>
      <c r="K3586" s="3" t="s">
        <v>64</v>
      </c>
    </row>
    <row r="3587" spans="1:11" ht="42" customHeight="1">
      <c r="A3587" s="2" t="s">
        <v>8236</v>
      </c>
      <c r="B3587" s="2" t="s">
        <v>8237</v>
      </c>
      <c r="C3587" s="2" t="s">
        <v>17</v>
      </c>
      <c r="D3587" s="2" t="s">
        <v>18</v>
      </c>
      <c r="E3587" s="5">
        <v>-31068</v>
      </c>
      <c r="F3587" s="3" t="s">
        <v>548</v>
      </c>
      <c r="G3587" s="3" t="s">
        <v>20</v>
      </c>
      <c r="H3587" s="2" t="s">
        <v>62</v>
      </c>
      <c r="I3587" s="2" t="s">
        <v>8238</v>
      </c>
      <c r="J3587" s="3" t="str">
        <f>HYPERLINK("https://www.boe.es/gazeta/dias/1814/12/08/pdfs/GMD-1814-162.pdf#page=7","Abrir facsímil")</f>
        <v>Abrir facsímil</v>
      </c>
      <c r="K3587" s="3" t="s">
        <v>64</v>
      </c>
    </row>
    <row r="3588" spans="1:11" ht="42" customHeight="1">
      <c r="A3588" s="2" t="s">
        <v>8239</v>
      </c>
      <c r="B3588" s="2" t="s">
        <v>8240</v>
      </c>
      <c r="C3588" s="2" t="s">
        <v>17</v>
      </c>
      <c r="D3588" s="2" t="s">
        <v>18</v>
      </c>
      <c r="E3588" s="5">
        <v>-31259</v>
      </c>
      <c r="F3588" s="3" t="s">
        <v>853</v>
      </c>
      <c r="G3588" s="3" t="s">
        <v>20</v>
      </c>
      <c r="H3588" s="2" t="s">
        <v>62</v>
      </c>
      <c r="I3588" s="2" t="s">
        <v>8241</v>
      </c>
      <c r="J3588" s="3" t="str">
        <f>HYPERLINK("https://www.boe.es/gazeta/dias/1814/05/31/pdfs/GMD-1814-79.pdf#page=7","Abrir facsímil")</f>
        <v>Abrir facsímil</v>
      </c>
      <c r="K3588" s="3" t="s">
        <v>64</v>
      </c>
    </row>
    <row r="3589" spans="1:11" ht="42" customHeight="1">
      <c r="A3589" s="2" t="s">
        <v>8242</v>
      </c>
      <c r="B3589" s="2" t="s">
        <v>8243</v>
      </c>
      <c r="C3589" s="2" t="s">
        <v>38</v>
      </c>
      <c r="D3589" s="2" t="s">
        <v>39</v>
      </c>
      <c r="E3589" s="5">
        <v>-31133</v>
      </c>
      <c r="F3589" s="3" t="s">
        <v>184</v>
      </c>
      <c r="G3589" s="3" t="s">
        <v>20</v>
      </c>
      <c r="H3589" s="2" t="s">
        <v>62</v>
      </c>
      <c r="I3589" s="2" t="s">
        <v>8244</v>
      </c>
      <c r="J3589" s="3" t="str">
        <f>HYPERLINK("https://www.boe.es/gazeta/dias/1814/10/04/pdfs/GMD-1814-134.pdf#page=7","Abrir facsímil")</f>
        <v>Abrir facsímil</v>
      </c>
      <c r="K3589" s="3" t="s">
        <v>64</v>
      </c>
    </row>
    <row r="3590" spans="1:11" ht="42" customHeight="1">
      <c r="A3590" s="2" t="s">
        <v>8245</v>
      </c>
      <c r="B3590" s="2" t="s">
        <v>8246</v>
      </c>
      <c r="C3590" s="2" t="s">
        <v>17</v>
      </c>
      <c r="D3590" s="2" t="s">
        <v>18</v>
      </c>
      <c r="E3590" s="5">
        <v>-31304</v>
      </c>
      <c r="F3590" s="3" t="s">
        <v>1964</v>
      </c>
      <c r="G3590" s="3" t="s">
        <v>3403</v>
      </c>
      <c r="H3590" s="2" t="s">
        <v>21</v>
      </c>
      <c r="I3590" s="2" t="s">
        <v>8247</v>
      </c>
      <c r="J3590" s="3" t="str">
        <f>HYPERLINK("https://www.boe.es/gazeta/dias/1814/04/16/pdfs/GRE-1814-55.pdf#page=8","Abrir facsímil")</f>
        <v>Abrir facsímil</v>
      </c>
      <c r="K3590" s="3" t="s">
        <v>23</v>
      </c>
    </row>
    <row r="3591" spans="1:11" ht="42" customHeight="1">
      <c r="A3591" s="2" t="s">
        <v>8248</v>
      </c>
      <c r="B3591" s="2" t="s">
        <v>8248</v>
      </c>
      <c r="C3591" s="2" t="s">
        <v>38</v>
      </c>
      <c r="D3591" s="2" t="s">
        <v>39</v>
      </c>
      <c r="E3591" s="5">
        <v>-31406</v>
      </c>
      <c r="F3591" s="3" t="s">
        <v>1718</v>
      </c>
      <c r="G3591" s="3" t="s">
        <v>82</v>
      </c>
      <c r="H3591" s="2" t="s">
        <v>62</v>
      </c>
      <c r="I3591" s="2" t="s">
        <v>8249</v>
      </c>
      <c r="J3591" s="3" t="str">
        <f>HYPERLINK("https://www.boe.es/gazeta/dias/1814/01/04/pdfs/GRE-1814-2.pdf#page=3","Abrir facsímil")</f>
        <v>Abrir facsímil</v>
      </c>
      <c r="K3591" s="3" t="s">
        <v>64</v>
      </c>
    </row>
    <row r="3592" spans="1:11" ht="42" customHeight="1">
      <c r="A3592" s="2" t="s">
        <v>8250</v>
      </c>
      <c r="B3592" s="2" t="s">
        <v>8251</v>
      </c>
      <c r="C3592" s="2" t="s">
        <v>144</v>
      </c>
      <c r="D3592" s="2" t="s">
        <v>18</v>
      </c>
      <c r="E3592" s="5">
        <v>-31119</v>
      </c>
      <c r="F3592" s="3" t="s">
        <v>136</v>
      </c>
      <c r="G3592" s="3" t="s">
        <v>87</v>
      </c>
      <c r="H3592" s="2" t="s">
        <v>62</v>
      </c>
      <c r="I3592" s="2" t="s">
        <v>8252</v>
      </c>
      <c r="J3592" s="3" t="str">
        <f>HYPERLINK("https://www.boe.es/gazeta/dias/1814/10/18/pdfs/GMD-1814-140.pdf#page=2","Abrir facsímil")</f>
        <v>Abrir facsímil</v>
      </c>
      <c r="K3592" s="3" t="s">
        <v>64</v>
      </c>
    </row>
    <row r="3593" spans="1:11" ht="42" customHeight="1">
      <c r="A3593" s="2" t="s">
        <v>8253</v>
      </c>
      <c r="B3593" s="2" t="s">
        <v>8254</v>
      </c>
      <c r="C3593" s="2" t="s">
        <v>26</v>
      </c>
      <c r="D3593" s="2" t="s">
        <v>27</v>
      </c>
      <c r="E3593" s="5">
        <v>-31215</v>
      </c>
      <c r="F3593" s="3" t="s">
        <v>372</v>
      </c>
      <c r="G3593" s="3" t="s">
        <v>322</v>
      </c>
      <c r="H3593" s="2" t="s">
        <v>62</v>
      </c>
      <c r="I3593" s="2" t="s">
        <v>8255</v>
      </c>
      <c r="J3593" s="3" t="str">
        <f>HYPERLINK("https://www.boe.es/gazeta/dias/1814/07/14/pdfs/GMD-1814-98.pdf#page=12","Abrir facsímil")</f>
        <v>Abrir facsímil</v>
      </c>
      <c r="K3593" s="3" t="s">
        <v>64</v>
      </c>
    </row>
    <row r="3594" spans="1:11" ht="42" customHeight="1">
      <c r="A3594" s="2" t="s">
        <v>8256</v>
      </c>
      <c r="B3594" s="2" t="s">
        <v>8257</v>
      </c>
      <c r="C3594" s="2" t="s">
        <v>38</v>
      </c>
      <c r="D3594" s="2" t="s">
        <v>39</v>
      </c>
      <c r="E3594" s="5">
        <v>-31252</v>
      </c>
      <c r="F3594" s="3" t="s">
        <v>364</v>
      </c>
      <c r="G3594" s="3" t="s">
        <v>8092</v>
      </c>
      <c r="H3594" s="2" t="s">
        <v>62</v>
      </c>
      <c r="I3594" s="2" t="s">
        <v>8258</v>
      </c>
      <c r="J3594" s="3" t="str">
        <f>HYPERLINK("https://www.boe.es/gazeta/dias/1814/06/07/pdfs/GMD-1814-82.pdf#page=10","Abrir facsímil")</f>
        <v>Abrir facsímil</v>
      </c>
      <c r="K3594" s="3" t="s">
        <v>64</v>
      </c>
    </row>
    <row r="3595" spans="1:11" ht="42" customHeight="1">
      <c r="A3595" s="2" t="s">
        <v>8259</v>
      </c>
      <c r="B3595" s="2" t="s">
        <v>8260</v>
      </c>
      <c r="C3595" s="2" t="s">
        <v>105</v>
      </c>
      <c r="D3595" s="2" t="s">
        <v>18</v>
      </c>
      <c r="E3595" s="5">
        <v>-31252</v>
      </c>
      <c r="F3595" s="3" t="s">
        <v>364</v>
      </c>
      <c r="G3595" s="3" t="s">
        <v>8092</v>
      </c>
      <c r="H3595" s="2" t="s">
        <v>62</v>
      </c>
      <c r="I3595" s="2" t="s">
        <v>8261</v>
      </c>
      <c r="J3595" s="3" t="str">
        <f>HYPERLINK("https://www.boe.es/gazeta/dias/1814/06/07/pdfs/GMD-1814-82.pdf#page=10","Abrir facsímil")</f>
        <v>Abrir facsímil</v>
      </c>
      <c r="K3595" s="3" t="s">
        <v>64</v>
      </c>
    </row>
    <row r="3596" spans="1:11" ht="42" customHeight="1">
      <c r="A3596" s="2" t="s">
        <v>8262</v>
      </c>
      <c r="B3596" s="2" t="s">
        <v>8262</v>
      </c>
      <c r="C3596" s="2" t="s">
        <v>38</v>
      </c>
      <c r="D3596" s="2" t="s">
        <v>39</v>
      </c>
      <c r="E3596" s="5">
        <v>-31381</v>
      </c>
      <c r="F3596" s="3" t="s">
        <v>989</v>
      </c>
      <c r="G3596" s="3" t="s">
        <v>52</v>
      </c>
      <c r="H3596" s="2" t="s">
        <v>62</v>
      </c>
      <c r="I3596" s="2" t="s">
        <v>8263</v>
      </c>
      <c r="J3596" s="3" t="str">
        <f>HYPERLINK("https://www.boe.es/gazeta/dias/1814/01/29/pdfs/GRE-1814-14.pdf#page=8","Abrir facsímil")</f>
        <v>Abrir facsímil</v>
      </c>
      <c r="K3596" s="3" t="s">
        <v>64</v>
      </c>
    </row>
    <row r="3597" spans="1:11" ht="42" customHeight="1">
      <c r="A3597" s="2" t="s">
        <v>8264</v>
      </c>
      <c r="B3597" s="2" t="s">
        <v>8265</v>
      </c>
      <c r="C3597" s="2" t="s">
        <v>38</v>
      </c>
      <c r="D3597" s="2" t="s">
        <v>39</v>
      </c>
      <c r="E3597" s="5">
        <v>-31215</v>
      </c>
      <c r="F3597" s="3" t="s">
        <v>372</v>
      </c>
      <c r="G3597" s="3" t="s">
        <v>704</v>
      </c>
      <c r="H3597" s="2" t="s">
        <v>62</v>
      </c>
      <c r="I3597" s="2" t="s">
        <v>8266</v>
      </c>
      <c r="J3597" s="3" t="str">
        <f>HYPERLINK("https://www.boe.es/gazeta/dias/1814/07/14/pdfs/GMD-1814-98.pdf#page=10","Abrir facsímil")</f>
        <v>Abrir facsímil</v>
      </c>
      <c r="K3597" s="3" t="s">
        <v>64</v>
      </c>
    </row>
    <row r="3598" spans="1:11" ht="42" customHeight="1">
      <c r="A3598" s="2" t="s">
        <v>8267</v>
      </c>
      <c r="B3598" s="2" t="s">
        <v>8268</v>
      </c>
      <c r="C3598" s="2" t="s">
        <v>38</v>
      </c>
      <c r="D3598" s="2" t="s">
        <v>39</v>
      </c>
      <c r="E3598" s="5">
        <v>-31180</v>
      </c>
      <c r="F3598" s="3" t="s">
        <v>520</v>
      </c>
      <c r="G3598" s="3" t="s">
        <v>57</v>
      </c>
      <c r="H3598" s="2" t="s">
        <v>62</v>
      </c>
      <c r="I3598" s="2" t="s">
        <v>8269</v>
      </c>
      <c r="J3598" s="3" t="str">
        <f>HYPERLINK("https://www.boe.es/gazeta/dias/1814/08/18/pdfs/GMD-1814-113.pdf#page=6","Abrir facsímil")</f>
        <v>Abrir facsímil</v>
      </c>
      <c r="K3598" s="3" t="s">
        <v>64</v>
      </c>
    </row>
    <row r="3599" spans="1:11" ht="42" customHeight="1">
      <c r="A3599" s="2" t="s">
        <v>8270</v>
      </c>
      <c r="B3599" s="2" t="s">
        <v>8271</v>
      </c>
      <c r="C3599" s="2" t="s">
        <v>38</v>
      </c>
      <c r="D3599" s="2" t="s">
        <v>39</v>
      </c>
      <c r="E3599" s="5">
        <v>-31175</v>
      </c>
      <c r="F3599" s="3" t="s">
        <v>145</v>
      </c>
      <c r="G3599" s="3" t="s">
        <v>99</v>
      </c>
      <c r="H3599" s="2" t="s">
        <v>62</v>
      </c>
      <c r="I3599" s="2" t="s">
        <v>8272</v>
      </c>
      <c r="J3599" s="3" t="str">
        <f>HYPERLINK("https://www.boe.es/gazeta/dias/1814/08/23/pdfs/GMD-1814-115.pdf#page=5","Abrir facsímil")</f>
        <v>Abrir facsímil</v>
      </c>
      <c r="K3599" s="3" t="s">
        <v>64</v>
      </c>
    </row>
    <row r="3600" spans="1:11" ht="42" customHeight="1">
      <c r="A3600" s="2" t="s">
        <v>8273</v>
      </c>
      <c r="B3600" s="2" t="s">
        <v>8274</v>
      </c>
      <c r="C3600" s="2" t="s">
        <v>38</v>
      </c>
      <c r="D3600" s="2" t="s">
        <v>39</v>
      </c>
      <c r="E3600" s="5">
        <v>-31304</v>
      </c>
      <c r="F3600" s="3" t="s">
        <v>1964</v>
      </c>
      <c r="G3600" s="3" t="s">
        <v>3403</v>
      </c>
      <c r="H3600" s="2" t="s">
        <v>62</v>
      </c>
      <c r="I3600" s="2" t="s">
        <v>8275</v>
      </c>
      <c r="J3600" s="3" t="str">
        <f>HYPERLINK("https://www.boe.es/gazeta/dias/1814/04/16/pdfs/GRE-1814-55.pdf#page=8","Abrir facsímil")</f>
        <v>Abrir facsímil</v>
      </c>
      <c r="K3600" s="3" t="s">
        <v>64</v>
      </c>
    </row>
    <row r="3601" spans="1:11" ht="42" customHeight="1">
      <c r="A3601" s="2" t="s">
        <v>8276</v>
      </c>
      <c r="B3601" s="2" t="s">
        <v>8277</v>
      </c>
      <c r="C3601" s="2" t="s">
        <v>38</v>
      </c>
      <c r="D3601" s="2" t="s">
        <v>39</v>
      </c>
      <c r="E3601" s="5">
        <v>-31059</v>
      </c>
      <c r="F3601" s="3" t="s">
        <v>263</v>
      </c>
      <c r="G3601" s="3" t="s">
        <v>7951</v>
      </c>
      <c r="H3601" s="2" t="s">
        <v>62</v>
      </c>
      <c r="I3601" s="2" t="s">
        <v>8278</v>
      </c>
      <c r="J3601" s="3" t="str">
        <f>HYPERLINK("https://www.boe.es/gazeta/dias/1814/12/17/pdfs/GMD-1814-167.pdf#page=5","Abrir facsímil")</f>
        <v>Abrir facsímil</v>
      </c>
      <c r="K3601" s="3" t="s">
        <v>64</v>
      </c>
    </row>
    <row r="3602" spans="1:11" ht="42" customHeight="1">
      <c r="A3602" s="2" t="s">
        <v>8279</v>
      </c>
      <c r="B3602" s="2" t="s">
        <v>8280</v>
      </c>
      <c r="C3602" s="2" t="s">
        <v>38</v>
      </c>
      <c r="D3602" s="2" t="s">
        <v>39</v>
      </c>
      <c r="E3602" s="5">
        <v>-31119</v>
      </c>
      <c r="F3602" s="3" t="s">
        <v>136</v>
      </c>
      <c r="G3602" s="3" t="s">
        <v>137</v>
      </c>
      <c r="H3602" s="2" t="s">
        <v>62</v>
      </c>
      <c r="I3602" s="2" t="s">
        <v>8281</v>
      </c>
      <c r="J3602" s="3" t="str">
        <f>HYPERLINK("https://www.boe.es/gazeta/dias/1814/10/18/pdfs/GMD-1814-140.pdf#page=9","Abrir facsímil")</f>
        <v>Abrir facsímil</v>
      </c>
      <c r="K3602" s="3" t="s">
        <v>64</v>
      </c>
    </row>
    <row r="3603" spans="1:11" ht="42" customHeight="1">
      <c r="A3603" s="2" t="s">
        <v>8282</v>
      </c>
      <c r="B3603" s="2" t="s">
        <v>8283</v>
      </c>
      <c r="C3603" s="2" t="s">
        <v>45</v>
      </c>
      <c r="D3603" s="2" t="s">
        <v>18</v>
      </c>
      <c r="E3603" s="5">
        <v>-31143</v>
      </c>
      <c r="F3603" s="3" t="s">
        <v>787</v>
      </c>
      <c r="G3603" s="3" t="s">
        <v>52</v>
      </c>
      <c r="H3603" s="2" t="s">
        <v>62</v>
      </c>
      <c r="I3603" s="2" t="s">
        <v>8284</v>
      </c>
      <c r="J3603" s="3" t="str">
        <f>HYPERLINK("https://www.boe.es/gazeta/dias/1814/09/24/pdfs/GMD-1814-130.pdf#page=8","Abrir facsímil")</f>
        <v>Abrir facsímil</v>
      </c>
      <c r="K3603" s="3" t="s">
        <v>64</v>
      </c>
    </row>
    <row r="3604" spans="1:11" ht="42" customHeight="1">
      <c r="A3604" s="2" t="s">
        <v>8285</v>
      </c>
      <c r="B3604" s="2" t="s">
        <v>8286</v>
      </c>
      <c r="C3604" s="2" t="s">
        <v>38</v>
      </c>
      <c r="D3604" s="2" t="s">
        <v>39</v>
      </c>
      <c r="E3604" s="5">
        <v>-31297</v>
      </c>
      <c r="F3604" s="3" t="s">
        <v>737</v>
      </c>
      <c r="G3604" s="3" t="s">
        <v>8287</v>
      </c>
      <c r="H3604" s="2" t="s">
        <v>62</v>
      </c>
      <c r="I3604" s="2" t="s">
        <v>8288</v>
      </c>
      <c r="J3604" s="3" t="str">
        <f>HYPERLINK("https://www.boe.es/gazeta/dias/1814/04/23/pdfs/GRE-1814-59.pdf#page=6","Abrir facsímil")</f>
        <v>Abrir facsímil</v>
      </c>
      <c r="K3604" s="3" t="s">
        <v>64</v>
      </c>
    </row>
    <row r="3605" spans="1:11" ht="42" customHeight="1">
      <c r="A3605" s="2" t="s">
        <v>8289</v>
      </c>
      <c r="B3605" s="2" t="s">
        <v>8290</v>
      </c>
      <c r="C3605" s="2" t="s">
        <v>26</v>
      </c>
      <c r="D3605" s="2" t="s">
        <v>27</v>
      </c>
      <c r="E3605" s="5">
        <v>-31138</v>
      </c>
      <c r="F3605" s="3" t="s">
        <v>1363</v>
      </c>
      <c r="G3605" s="3" t="s">
        <v>52</v>
      </c>
      <c r="H3605" s="2" t="s">
        <v>62</v>
      </c>
      <c r="I3605" s="2" t="s">
        <v>8291</v>
      </c>
      <c r="J3605" s="3" t="str">
        <f>HYPERLINK("https://www.boe.es/gazeta/dias/1814/09/29/pdfs/GMD-1814-132.pdf#page=8","Abrir facsímil")</f>
        <v>Abrir facsímil</v>
      </c>
      <c r="K3605" s="3" t="s">
        <v>64</v>
      </c>
    </row>
    <row r="3606" spans="1:11" ht="42" customHeight="1">
      <c r="A3606" s="2" t="s">
        <v>8292</v>
      </c>
      <c r="B3606" s="2" t="s">
        <v>8293</v>
      </c>
      <c r="C3606" s="2" t="s">
        <v>38</v>
      </c>
      <c r="D3606" s="2" t="s">
        <v>314</v>
      </c>
      <c r="E3606" s="5">
        <v>-31328</v>
      </c>
      <c r="F3606" s="3" t="s">
        <v>442</v>
      </c>
      <c r="G3606" s="3" t="s">
        <v>57</v>
      </c>
      <c r="H3606" s="2" t="s">
        <v>62</v>
      </c>
      <c r="I3606" s="2" t="s">
        <v>8294</v>
      </c>
      <c r="J3606" s="3" t="str">
        <f>HYPERLINK("https://www.boe.es/gazeta/dias/1814/03/23/pdfs/GRE-1814-40E.pdf#page=6","Abrir facsímil")</f>
        <v>Abrir facsímil</v>
      </c>
      <c r="K3606" s="3" t="s">
        <v>64</v>
      </c>
    </row>
    <row r="3607" spans="1:11" ht="42" customHeight="1">
      <c r="A3607" s="2" t="s">
        <v>8295</v>
      </c>
      <c r="B3607" s="2" t="s">
        <v>8296</v>
      </c>
      <c r="C3607" s="2" t="s">
        <v>17</v>
      </c>
      <c r="D3607" s="2" t="s">
        <v>18</v>
      </c>
      <c r="E3607" s="5">
        <v>-31119</v>
      </c>
      <c r="F3607" s="3" t="s">
        <v>136</v>
      </c>
      <c r="G3607" s="3" t="s">
        <v>384</v>
      </c>
      <c r="H3607" s="2" t="s">
        <v>62</v>
      </c>
      <c r="I3607" s="2" t="s">
        <v>8297</v>
      </c>
      <c r="J3607" s="3" t="str">
        <f>HYPERLINK("https://www.boe.es/gazeta/dias/1814/10/18/pdfs/GMD-1814-140.pdf#page=11","Abrir facsímil")</f>
        <v>Abrir facsímil</v>
      </c>
      <c r="K3607" s="3" t="s">
        <v>64</v>
      </c>
    </row>
    <row r="3608" spans="1:11" ht="42" customHeight="1">
      <c r="A3608" s="2" t="s">
        <v>8295</v>
      </c>
      <c r="B3608" s="2" t="s">
        <v>8296</v>
      </c>
      <c r="C3608" s="2" t="s">
        <v>17</v>
      </c>
      <c r="D3608" s="2" t="s">
        <v>18</v>
      </c>
      <c r="E3608" s="5">
        <v>-31115</v>
      </c>
      <c r="F3608" s="3" t="s">
        <v>805</v>
      </c>
      <c r="G3608" s="3" t="s">
        <v>20</v>
      </c>
      <c r="H3608" s="2" t="s">
        <v>62</v>
      </c>
      <c r="I3608" s="2" t="s">
        <v>8298</v>
      </c>
      <c r="J3608" s="3" t="str">
        <f>HYPERLINK("https://www.boe.es/gazeta/dias/1814/10/22/pdfs/GMD-1814-142.pdf#page=7","Abrir facsímil")</f>
        <v>Abrir facsímil</v>
      </c>
      <c r="K3608" s="3" t="s">
        <v>64</v>
      </c>
    </row>
    <row r="3609" spans="1:11" ht="42" customHeight="1">
      <c r="A3609" s="2" t="s">
        <v>8295</v>
      </c>
      <c r="B3609" s="2" t="s">
        <v>8296</v>
      </c>
      <c r="C3609" s="2" t="s">
        <v>17</v>
      </c>
      <c r="D3609" s="2" t="s">
        <v>18</v>
      </c>
      <c r="E3609" s="5">
        <v>-31110</v>
      </c>
      <c r="F3609" s="3" t="s">
        <v>149</v>
      </c>
      <c r="G3609" s="3" t="s">
        <v>20</v>
      </c>
      <c r="H3609" s="2" t="s">
        <v>62</v>
      </c>
      <c r="I3609" s="2" t="s">
        <v>8299</v>
      </c>
      <c r="J3609" s="3" t="str">
        <f>HYPERLINK("https://www.boe.es/gazeta/dias/1814/10/27/pdfs/GMD-1814-144.pdf#page=7","Abrir facsímil")</f>
        <v>Abrir facsímil</v>
      </c>
      <c r="K3609" s="3" t="s">
        <v>64</v>
      </c>
    </row>
    <row r="3610" spans="1:11" ht="42" customHeight="1">
      <c r="A3610" s="2" t="s">
        <v>8300</v>
      </c>
      <c r="B3610" s="2" t="s">
        <v>8301</v>
      </c>
      <c r="C3610" s="2" t="s">
        <v>105</v>
      </c>
      <c r="D3610" s="2" t="s">
        <v>18</v>
      </c>
      <c r="E3610" s="5">
        <v>-31089</v>
      </c>
      <c r="F3610" s="3" t="s">
        <v>531</v>
      </c>
      <c r="G3610" s="3" t="s">
        <v>794</v>
      </c>
      <c r="H3610" s="2" t="s">
        <v>62</v>
      </c>
      <c r="I3610" s="2" t="s">
        <v>8302</v>
      </c>
      <c r="J3610" s="3" t="str">
        <f>HYPERLINK("https://www.boe.es/gazeta/dias/1814/11/17/pdfs/GMD-1814-153.pdf#page=8","Abrir facsímil")</f>
        <v>Abrir facsímil</v>
      </c>
      <c r="K3610" s="3" t="s">
        <v>64</v>
      </c>
    </row>
    <row r="3611" spans="1:11" ht="42" customHeight="1">
      <c r="A3611" s="2" t="s">
        <v>8303</v>
      </c>
      <c r="B3611" s="2" t="s">
        <v>8304</v>
      </c>
      <c r="C3611" s="2" t="s">
        <v>38</v>
      </c>
      <c r="D3611" s="2" t="s">
        <v>39</v>
      </c>
      <c r="E3611" s="5">
        <v>-31119</v>
      </c>
      <c r="F3611" s="3" t="s">
        <v>136</v>
      </c>
      <c r="G3611" s="3" t="s">
        <v>137</v>
      </c>
      <c r="H3611" s="2" t="s">
        <v>62</v>
      </c>
      <c r="I3611" s="2" t="s">
        <v>8305</v>
      </c>
      <c r="J3611" s="3" t="str">
        <f>HYPERLINK("https://www.boe.es/gazeta/dias/1814/10/18/pdfs/GMD-1814-140.pdf#page=9","Abrir facsímil")</f>
        <v>Abrir facsímil</v>
      </c>
      <c r="K3611" s="3" t="s">
        <v>64</v>
      </c>
    </row>
    <row r="3612" spans="1:11" ht="42" customHeight="1">
      <c r="A3612" s="2" t="s">
        <v>8306</v>
      </c>
      <c r="B3612" s="2" t="s">
        <v>8307</v>
      </c>
      <c r="C3612" s="2" t="s">
        <v>26</v>
      </c>
      <c r="D3612" s="2" t="s">
        <v>27</v>
      </c>
      <c r="E3612" s="5">
        <v>-31217</v>
      </c>
      <c r="F3612" s="3" t="s">
        <v>506</v>
      </c>
      <c r="G3612" s="3" t="s">
        <v>3014</v>
      </c>
      <c r="H3612" s="2" t="s">
        <v>62</v>
      </c>
      <c r="I3612" s="2" t="s">
        <v>8308</v>
      </c>
      <c r="J3612" s="3" t="str">
        <f>HYPERLINK("https://www.boe.es/gazeta/dias/1814/07/12/pdfs/GMD-1814-97.pdf#page=8","Abrir facsímil")</f>
        <v>Abrir facsímil</v>
      </c>
      <c r="K3612" s="3" t="s">
        <v>64</v>
      </c>
    </row>
    <row r="3613" spans="1:11" ht="42" customHeight="1">
      <c r="A3613" s="2" t="s">
        <v>8309</v>
      </c>
      <c r="B3613" s="2" t="s">
        <v>8310</v>
      </c>
      <c r="C3613" s="2" t="s">
        <v>38</v>
      </c>
      <c r="D3613" s="2" t="s">
        <v>39</v>
      </c>
      <c r="E3613" s="5">
        <v>-31049</v>
      </c>
      <c r="F3613" s="3" t="s">
        <v>542</v>
      </c>
      <c r="G3613" s="3" t="s">
        <v>1035</v>
      </c>
      <c r="H3613" s="2" t="s">
        <v>21</v>
      </c>
      <c r="I3613" s="2" t="s">
        <v>8311</v>
      </c>
      <c r="J3613" s="3" t="str">
        <f>HYPERLINK("https://www.boe.es/gazeta/dias/1814/12/27/pdfs/GMD-1814-171.pdf#page=6","Abrir facsímil")</f>
        <v>Abrir facsímil</v>
      </c>
      <c r="K3613" s="3" t="s">
        <v>23</v>
      </c>
    </row>
    <row r="3614" spans="1:11" ht="42" customHeight="1">
      <c r="A3614" s="2" t="s">
        <v>8312</v>
      </c>
      <c r="B3614" s="2" t="s">
        <v>8313</v>
      </c>
      <c r="C3614" s="2" t="s">
        <v>17</v>
      </c>
      <c r="D3614" s="2" t="s">
        <v>18</v>
      </c>
      <c r="E3614" s="5">
        <v>-31159</v>
      </c>
      <c r="F3614" s="3" t="s">
        <v>1175</v>
      </c>
      <c r="G3614" s="3" t="s">
        <v>3109</v>
      </c>
      <c r="H3614" s="2" t="s">
        <v>62</v>
      </c>
      <c r="I3614" s="2" t="s">
        <v>8314</v>
      </c>
      <c r="J3614" s="3" t="str">
        <f>HYPERLINK("https://www.boe.es/gazeta/dias/1814/09/08/pdfs/GMD-1814-123.pdf#page=4","Abrir facsímil")</f>
        <v>Abrir facsímil</v>
      </c>
      <c r="K3614" s="3" t="s">
        <v>64</v>
      </c>
    </row>
    <row r="3615" spans="1:11" ht="42" customHeight="1">
      <c r="A3615" s="2" t="s">
        <v>8315</v>
      </c>
      <c r="B3615" s="2" t="s">
        <v>8316</v>
      </c>
      <c r="C3615" s="2" t="s">
        <v>38</v>
      </c>
      <c r="D3615" s="2" t="s">
        <v>39</v>
      </c>
      <c r="E3615" s="5">
        <v>-31087</v>
      </c>
      <c r="F3615" s="3" t="s">
        <v>118</v>
      </c>
      <c r="G3615" s="3" t="s">
        <v>52</v>
      </c>
      <c r="H3615" s="2" t="s">
        <v>62</v>
      </c>
      <c r="I3615" s="2" t="s">
        <v>8317</v>
      </c>
      <c r="J3615" s="3" t="str">
        <f>HYPERLINK("https://www.boe.es/gazeta/dias/1814/11/19/pdfs/GMD-1814-154.pdf#page=8","Abrir facsímil")</f>
        <v>Abrir facsímil</v>
      </c>
      <c r="K3615" s="3" t="s">
        <v>64</v>
      </c>
    </row>
    <row r="3616" spans="1:11" ht="42" customHeight="1">
      <c r="A3616" s="2" t="s">
        <v>8318</v>
      </c>
      <c r="B3616" s="2" t="s">
        <v>8319</v>
      </c>
      <c r="C3616" s="2" t="s">
        <v>38</v>
      </c>
      <c r="D3616" s="2" t="s">
        <v>39</v>
      </c>
      <c r="E3616" s="5">
        <v>-31117</v>
      </c>
      <c r="F3616" s="3" t="s">
        <v>172</v>
      </c>
      <c r="G3616" s="3" t="s">
        <v>173</v>
      </c>
      <c r="H3616" s="2" t="s">
        <v>62</v>
      </c>
      <c r="I3616" s="2" t="s">
        <v>8320</v>
      </c>
      <c r="J3616" s="3" t="str">
        <f>HYPERLINK("https://www.boe.es/gazeta/dias/1814/10/20/pdfs/GMD-1814-141.pdf#page=7","Abrir facsímil")</f>
        <v>Abrir facsímil</v>
      </c>
      <c r="K3616" s="3" t="s">
        <v>64</v>
      </c>
    </row>
    <row r="3617" spans="1:11" ht="42" customHeight="1">
      <c r="A3617" s="2" t="s">
        <v>8321</v>
      </c>
      <c r="B3617" s="2" t="s">
        <v>8322</v>
      </c>
      <c r="C3617" s="2" t="s">
        <v>26</v>
      </c>
      <c r="D3617" s="2" t="s">
        <v>27</v>
      </c>
      <c r="E3617" s="5">
        <v>-31045</v>
      </c>
      <c r="F3617" s="3" t="s">
        <v>165</v>
      </c>
      <c r="G3617" s="3" t="s">
        <v>52</v>
      </c>
      <c r="H3617" s="2" t="s">
        <v>62</v>
      </c>
      <c r="I3617" s="2" t="s">
        <v>8323</v>
      </c>
      <c r="J3617" s="3" t="str">
        <f>HYPERLINK("https://www.boe.es/gazeta/dias/1814/12/31/pdfs/GMD-1814-173.pdf#page=8","Abrir facsímil")</f>
        <v>Abrir facsímil</v>
      </c>
      <c r="K3617" s="3" t="s">
        <v>64</v>
      </c>
    </row>
    <row r="3618" spans="1:11" ht="42" customHeight="1">
      <c r="A3618" s="2" t="s">
        <v>8324</v>
      </c>
      <c r="B3618" s="2" t="s">
        <v>8325</v>
      </c>
      <c r="C3618" s="2" t="s">
        <v>38</v>
      </c>
      <c r="D3618" s="2" t="s">
        <v>39</v>
      </c>
      <c r="E3618" s="5">
        <v>-31133</v>
      </c>
      <c r="F3618" s="3" t="s">
        <v>184</v>
      </c>
      <c r="G3618" s="3" t="s">
        <v>1243</v>
      </c>
      <c r="H3618" s="2" t="s">
        <v>62</v>
      </c>
      <c r="I3618" s="2" t="s">
        <v>8326</v>
      </c>
      <c r="J3618" s="3" t="str">
        <f>HYPERLINK("https://www.boe.es/gazeta/dias/1814/10/04/pdfs/GMD-1814-134.pdf#page=8","Abrir facsímil")</f>
        <v>Abrir facsímil</v>
      </c>
      <c r="K3618" s="3" t="s">
        <v>64</v>
      </c>
    </row>
    <row r="3619" spans="1:11" ht="42" customHeight="1">
      <c r="A3619" s="2" t="s">
        <v>8327</v>
      </c>
      <c r="B3619" s="2" t="s">
        <v>8328</v>
      </c>
      <c r="C3619" s="2" t="s">
        <v>38</v>
      </c>
      <c r="D3619" s="2" t="s">
        <v>39</v>
      </c>
      <c r="E3619" s="5">
        <v>-31385</v>
      </c>
      <c r="F3619" s="3" t="s">
        <v>783</v>
      </c>
      <c r="G3619" s="3" t="s">
        <v>57</v>
      </c>
      <c r="H3619" s="2" t="s">
        <v>62</v>
      </c>
      <c r="I3619" s="2" t="s">
        <v>8329</v>
      </c>
      <c r="J3619" s="3" t="str">
        <f>HYPERLINK("https://www.boe.es/gazeta/dias/1814/01/25/pdfs/GRE-1814-12.pdf#page=6","Abrir facsímil")</f>
        <v>Abrir facsímil</v>
      </c>
      <c r="K3619" s="3" t="s">
        <v>64</v>
      </c>
    </row>
    <row r="3620" spans="1:11" ht="42" customHeight="1">
      <c r="A3620" s="2" t="s">
        <v>8330</v>
      </c>
      <c r="B3620" s="2" t="s">
        <v>8331</v>
      </c>
      <c r="C3620" s="2" t="s">
        <v>38</v>
      </c>
      <c r="D3620" s="2" t="s">
        <v>39</v>
      </c>
      <c r="E3620" s="5">
        <v>-31294</v>
      </c>
      <c r="F3620" s="3" t="s">
        <v>680</v>
      </c>
      <c r="G3620" s="3" t="s">
        <v>41</v>
      </c>
      <c r="H3620" s="2" t="s">
        <v>62</v>
      </c>
      <c r="I3620" s="2" t="s">
        <v>8332</v>
      </c>
      <c r="J3620" s="3" t="str">
        <f>HYPERLINK("https://www.boe.es/gazeta/dias/1814/04/26/pdfs/GRE-1814-61.pdf#page=4","Abrir facsímil")</f>
        <v>Abrir facsímil</v>
      </c>
      <c r="K3620" s="3" t="s">
        <v>64</v>
      </c>
    </row>
    <row r="3621" spans="1:11" ht="42" customHeight="1">
      <c r="A3621" s="2" t="s">
        <v>8333</v>
      </c>
      <c r="B3621" s="2" t="s">
        <v>8333</v>
      </c>
      <c r="C3621" s="2" t="s">
        <v>38</v>
      </c>
      <c r="D3621" s="2" t="s">
        <v>39</v>
      </c>
      <c r="E3621" s="5">
        <v>-31399</v>
      </c>
      <c r="F3621" s="3" t="s">
        <v>218</v>
      </c>
      <c r="G3621" s="3" t="s">
        <v>57</v>
      </c>
      <c r="H3621" s="2" t="s">
        <v>62</v>
      </c>
      <c r="I3621" s="2" t="s">
        <v>8334</v>
      </c>
      <c r="J3621" s="3" t="str">
        <f>HYPERLINK("https://www.boe.es/gazeta/dias/1814/01/11/pdfs/GRE-1814-6.pdf#page=6","Abrir facsímil")</f>
        <v>Abrir facsímil</v>
      </c>
      <c r="K3621" s="3" t="s">
        <v>64</v>
      </c>
    </row>
    <row r="3622" spans="1:11" ht="42" customHeight="1">
      <c r="A3622" s="2" t="s">
        <v>8333</v>
      </c>
      <c r="B3622" s="2" t="s">
        <v>8333</v>
      </c>
      <c r="C3622" s="2" t="s">
        <v>38</v>
      </c>
      <c r="D3622" s="2" t="s">
        <v>39</v>
      </c>
      <c r="E3622" s="5">
        <v>-31388</v>
      </c>
      <c r="F3622" s="3" t="s">
        <v>1299</v>
      </c>
      <c r="G3622" s="3" t="s">
        <v>99</v>
      </c>
      <c r="H3622" s="2" t="s">
        <v>62</v>
      </c>
      <c r="I3622" s="2" t="s">
        <v>8335</v>
      </c>
      <c r="J3622" s="3" t="str">
        <f>HYPERLINK("https://www.boe.es/gazeta/dias/1814/01/22/pdfs/GRE-1814-11.pdf#page=5","Abrir facsímil")</f>
        <v>Abrir facsímil</v>
      </c>
      <c r="K3622" s="3" t="s">
        <v>64</v>
      </c>
    </row>
    <row r="3623" spans="1:11" ht="42" customHeight="1">
      <c r="A3623" s="2" t="s">
        <v>8333</v>
      </c>
      <c r="B3623" s="2" t="s">
        <v>8333</v>
      </c>
      <c r="C3623" s="2" t="s">
        <v>38</v>
      </c>
      <c r="D3623" s="2" t="s">
        <v>39</v>
      </c>
      <c r="E3623" s="5">
        <v>-31388</v>
      </c>
      <c r="F3623" s="3" t="s">
        <v>1299</v>
      </c>
      <c r="G3623" s="3" t="s">
        <v>20</v>
      </c>
      <c r="H3623" s="2" t="s">
        <v>62</v>
      </c>
      <c r="I3623" s="2" t="s">
        <v>8336</v>
      </c>
      <c r="J3623" s="3" t="str">
        <f>HYPERLINK("https://www.boe.es/gazeta/dias/1814/01/22/pdfs/GRE-1814-11.pdf#page=7","Abrir facsímil")</f>
        <v>Abrir facsímil</v>
      </c>
      <c r="K3623" s="3" t="s">
        <v>64</v>
      </c>
    </row>
    <row r="3624" spans="1:11" ht="42" customHeight="1">
      <c r="A3624" s="2" t="s">
        <v>8333</v>
      </c>
      <c r="B3624" s="2" t="s">
        <v>8333</v>
      </c>
      <c r="C3624" s="2" t="s">
        <v>38</v>
      </c>
      <c r="D3624" s="2" t="s">
        <v>39</v>
      </c>
      <c r="E3624" s="5">
        <v>-31388</v>
      </c>
      <c r="F3624" s="3" t="s">
        <v>1299</v>
      </c>
      <c r="G3624" s="3" t="s">
        <v>52</v>
      </c>
      <c r="H3624" s="2" t="s">
        <v>62</v>
      </c>
      <c r="I3624" s="2" t="s">
        <v>8337</v>
      </c>
      <c r="J3624" s="3" t="str">
        <f>HYPERLINK("https://www.boe.es/gazeta/dias/1814/01/22/pdfs/GRE-1814-11.pdf#page=8","Abrir facsímil")</f>
        <v>Abrir facsímil</v>
      </c>
      <c r="K3624" s="3" t="s">
        <v>64</v>
      </c>
    </row>
    <row r="3625" spans="1:11" ht="42" customHeight="1">
      <c r="A3625" s="2" t="s">
        <v>8338</v>
      </c>
      <c r="B3625" s="2" t="s">
        <v>8339</v>
      </c>
      <c r="C3625" s="2" t="s">
        <v>38</v>
      </c>
      <c r="D3625" s="2" t="s">
        <v>39</v>
      </c>
      <c r="E3625" s="5">
        <v>-31388</v>
      </c>
      <c r="F3625" s="3" t="s">
        <v>1299</v>
      </c>
      <c r="G3625" s="3" t="s">
        <v>99</v>
      </c>
      <c r="H3625" s="2" t="s">
        <v>62</v>
      </c>
      <c r="I3625" s="2" t="s">
        <v>8340</v>
      </c>
      <c r="J3625" s="3" t="str">
        <f>HYPERLINK("https://www.boe.es/gazeta/dias/1814/01/22/pdfs/GRE-1814-11.pdf#page=5","Abrir facsímil")</f>
        <v>Abrir facsímil</v>
      </c>
      <c r="K3625" s="3" t="s">
        <v>64</v>
      </c>
    </row>
    <row r="3626" spans="1:11" ht="42" customHeight="1">
      <c r="A3626" s="2" t="s">
        <v>8341</v>
      </c>
      <c r="B3626" s="2" t="s">
        <v>8342</v>
      </c>
      <c r="C3626" s="2" t="s">
        <v>17</v>
      </c>
      <c r="D3626" s="2" t="s">
        <v>18</v>
      </c>
      <c r="E3626" s="5">
        <v>-31115</v>
      </c>
      <c r="F3626" s="3" t="s">
        <v>805</v>
      </c>
      <c r="G3626" s="3" t="s">
        <v>20</v>
      </c>
      <c r="H3626" s="2" t="s">
        <v>62</v>
      </c>
      <c r="I3626" s="2" t="s">
        <v>8343</v>
      </c>
      <c r="J3626" s="3" t="str">
        <f>HYPERLINK("https://www.boe.es/gazeta/dias/1814/10/22/pdfs/GMD-1814-142.pdf#page=7","Abrir facsímil")</f>
        <v>Abrir facsímil</v>
      </c>
      <c r="K3626" s="3" t="s">
        <v>64</v>
      </c>
    </row>
    <row r="3627" spans="1:11" ht="42" customHeight="1">
      <c r="A3627" s="2" t="s">
        <v>8344</v>
      </c>
      <c r="B3627" s="2" t="s">
        <v>8345</v>
      </c>
      <c r="C3627" s="2" t="s">
        <v>45</v>
      </c>
      <c r="D3627" s="2" t="s">
        <v>18</v>
      </c>
      <c r="E3627" s="5">
        <v>-31131</v>
      </c>
      <c r="F3627" s="3" t="s">
        <v>132</v>
      </c>
      <c r="G3627" s="3" t="s">
        <v>4347</v>
      </c>
      <c r="H3627" s="2" t="s">
        <v>62</v>
      </c>
      <c r="I3627" s="2" t="s">
        <v>8346</v>
      </c>
      <c r="J3627" s="3" t="str">
        <f>HYPERLINK("https://www.boe.es/gazeta/dias/1814/10/06/pdfs/GMD-1814-135.pdf#page=8","Abrir facsímil")</f>
        <v>Abrir facsímil</v>
      </c>
      <c r="K3627" s="3" t="s">
        <v>64</v>
      </c>
    </row>
    <row r="3628" spans="1:11" ht="42" customHeight="1">
      <c r="A3628" s="2" t="s">
        <v>8347</v>
      </c>
      <c r="B3628" s="2" t="s">
        <v>8348</v>
      </c>
      <c r="C3628" s="2" t="s">
        <v>38</v>
      </c>
      <c r="D3628" s="2" t="s">
        <v>39</v>
      </c>
      <c r="E3628" s="5">
        <v>-31315</v>
      </c>
      <c r="F3628" s="3" t="s">
        <v>645</v>
      </c>
      <c r="G3628" s="3" t="s">
        <v>57</v>
      </c>
      <c r="H3628" s="2" t="s">
        <v>62</v>
      </c>
      <c r="I3628" s="2" t="s">
        <v>8349</v>
      </c>
      <c r="J3628" s="3" t="str">
        <f>HYPERLINK("https://www.boe.es/gazeta/dias/1814/04/05/pdfs/GRE-1814-49.pdf#page=6","Abrir facsímil")</f>
        <v>Abrir facsímil</v>
      </c>
      <c r="K3628" s="3" t="s">
        <v>64</v>
      </c>
    </row>
    <row r="3629" spans="1:11" ht="42" customHeight="1">
      <c r="A3629" s="2" t="s">
        <v>8350</v>
      </c>
      <c r="B3629" s="2" t="s">
        <v>8351</v>
      </c>
      <c r="C3629" s="2" t="s">
        <v>309</v>
      </c>
      <c r="D3629" s="2" t="s">
        <v>18</v>
      </c>
      <c r="E3629" s="5">
        <v>-31070</v>
      </c>
      <c r="F3629" s="3" t="s">
        <v>92</v>
      </c>
      <c r="G3629" s="3" t="s">
        <v>52</v>
      </c>
      <c r="H3629" s="2" t="s">
        <v>21</v>
      </c>
      <c r="I3629" s="2" t="s">
        <v>8352</v>
      </c>
      <c r="J3629" s="3" t="str">
        <f>HYPERLINK("https://www.boe.es/gazeta/dias/1814/12/06/pdfs/GMD-1814-161.pdf#page=8","Abrir facsímil")</f>
        <v>Abrir facsímil</v>
      </c>
      <c r="K3629" s="3" t="s">
        <v>23</v>
      </c>
    </row>
    <row r="3630" spans="1:11" ht="42" customHeight="1">
      <c r="A3630" s="2" t="s">
        <v>8353</v>
      </c>
      <c r="B3630" s="2" t="s">
        <v>8353</v>
      </c>
      <c r="C3630" s="2" t="s">
        <v>38</v>
      </c>
      <c r="D3630" s="2" t="s">
        <v>39</v>
      </c>
      <c r="E3630" s="5">
        <v>-31255</v>
      </c>
      <c r="F3630" s="3" t="s">
        <v>983</v>
      </c>
      <c r="G3630" s="3" t="s">
        <v>107</v>
      </c>
      <c r="H3630" s="2" t="s">
        <v>62</v>
      </c>
      <c r="I3630" s="2" t="s">
        <v>8354</v>
      </c>
      <c r="J3630" s="3" t="str">
        <f>HYPERLINK("https://www.boe.es/gazeta/dias/1814/06/04/pdfs/GMD-1814-81.pdf#page=1","Abrir facsímil")</f>
        <v>Abrir facsímil</v>
      </c>
      <c r="K3630" s="3" t="s">
        <v>64</v>
      </c>
    </row>
    <row r="3631" spans="1:11" ht="42" customHeight="1">
      <c r="A3631" s="2" t="s">
        <v>8353</v>
      </c>
      <c r="B3631" s="2" t="s">
        <v>8353</v>
      </c>
      <c r="C3631" s="2" t="s">
        <v>38</v>
      </c>
      <c r="D3631" s="2" t="s">
        <v>39</v>
      </c>
      <c r="E3631" s="5">
        <v>-31248</v>
      </c>
      <c r="F3631" s="3" t="s">
        <v>1123</v>
      </c>
      <c r="G3631" s="3" t="s">
        <v>107</v>
      </c>
      <c r="H3631" s="2" t="s">
        <v>62</v>
      </c>
      <c r="I3631" s="2" t="s">
        <v>8355</v>
      </c>
      <c r="J3631" s="3" t="str">
        <f>HYPERLINK("https://www.boe.es/gazeta/dias/1814/06/11/pdfs/GMD-1814-84.pdf#page=1","Abrir facsímil")</f>
        <v>Abrir facsímil</v>
      </c>
      <c r="K3631" s="3" t="s">
        <v>64</v>
      </c>
    </row>
    <row r="3632" spans="1:11" ht="42" customHeight="1">
      <c r="A3632" s="2" t="s">
        <v>8356</v>
      </c>
      <c r="B3632" s="2" t="s">
        <v>8356</v>
      </c>
      <c r="C3632" s="2" t="s">
        <v>38</v>
      </c>
      <c r="D3632" s="2" t="s">
        <v>39</v>
      </c>
      <c r="E3632" s="5">
        <v>-31301</v>
      </c>
      <c r="F3632" s="3" t="s">
        <v>81</v>
      </c>
      <c r="G3632" s="3" t="s">
        <v>87</v>
      </c>
      <c r="H3632" s="2" t="s">
        <v>62</v>
      </c>
      <c r="I3632" s="2" t="s">
        <v>8357</v>
      </c>
      <c r="J3632" s="3" t="str">
        <f>HYPERLINK("https://www.boe.es/gazeta/dias/1814/04/19/pdfs/GRE-1814-56.pdf#page=2","Abrir facsímil")</f>
        <v>Abrir facsímil</v>
      </c>
      <c r="K3632" s="3" t="s">
        <v>64</v>
      </c>
    </row>
    <row r="3633" spans="1:11" ht="42" customHeight="1">
      <c r="A3633" s="2" t="s">
        <v>8358</v>
      </c>
      <c r="B3633" s="2" t="s">
        <v>8359</v>
      </c>
      <c r="C3633" s="2" t="s">
        <v>38</v>
      </c>
      <c r="D3633" s="2" t="s">
        <v>39</v>
      </c>
      <c r="E3633" s="5">
        <v>-31404</v>
      </c>
      <c r="F3633" s="3" t="s">
        <v>630</v>
      </c>
      <c r="G3633" s="3" t="s">
        <v>52</v>
      </c>
      <c r="H3633" s="2" t="s">
        <v>62</v>
      </c>
      <c r="I3633" s="2" t="s">
        <v>8360</v>
      </c>
      <c r="J3633" s="3" t="str">
        <f>HYPERLINK("https://www.boe.es/gazeta/dias/1814/01/06/pdfs/GRE-1814-3.pdf#page=8","Abrir facsímil")</f>
        <v>Abrir facsímil</v>
      </c>
      <c r="K3633" s="3" t="s">
        <v>64</v>
      </c>
    </row>
    <row r="3634" spans="1:11" ht="42" customHeight="1">
      <c r="A3634" s="2" t="s">
        <v>8361</v>
      </c>
      <c r="B3634" s="2" t="s">
        <v>8362</v>
      </c>
      <c r="C3634" s="2" t="s">
        <v>38</v>
      </c>
      <c r="D3634" s="2" t="s">
        <v>39</v>
      </c>
      <c r="E3634" s="5">
        <v>-31315</v>
      </c>
      <c r="F3634" s="3" t="s">
        <v>645</v>
      </c>
      <c r="G3634" s="3" t="s">
        <v>57</v>
      </c>
      <c r="H3634" s="2" t="s">
        <v>62</v>
      </c>
      <c r="I3634" s="2" t="s">
        <v>8363</v>
      </c>
      <c r="J3634" s="3" t="str">
        <f>HYPERLINK("https://www.boe.es/gazeta/dias/1814/04/05/pdfs/GRE-1814-49.pdf#page=6","Abrir facsímil")</f>
        <v>Abrir facsímil</v>
      </c>
      <c r="K3634" s="3" t="s">
        <v>64</v>
      </c>
    </row>
    <row r="3635" spans="1:11" ht="42" customHeight="1">
      <c r="A3635" s="2" t="s">
        <v>8364</v>
      </c>
      <c r="B3635" s="2" t="s">
        <v>8365</v>
      </c>
      <c r="C3635" s="2" t="s">
        <v>38</v>
      </c>
      <c r="D3635" s="2" t="s">
        <v>39</v>
      </c>
      <c r="E3635" s="5">
        <v>-31308</v>
      </c>
      <c r="F3635" s="3" t="s">
        <v>210</v>
      </c>
      <c r="G3635" s="3" t="s">
        <v>20</v>
      </c>
      <c r="H3635" s="2" t="s">
        <v>62</v>
      </c>
      <c r="I3635" s="2" t="s">
        <v>8366</v>
      </c>
      <c r="J3635" s="3" t="str">
        <f>HYPERLINK("https://www.boe.es/gazeta/dias/1814/04/12/pdfs/GRE-1814-52.pdf#page=7","Abrir facsímil")</f>
        <v>Abrir facsímil</v>
      </c>
      <c r="K3635" s="3" t="s">
        <v>64</v>
      </c>
    </row>
    <row r="3636" spans="1:11" ht="42" customHeight="1">
      <c r="A3636" s="2" t="s">
        <v>8367</v>
      </c>
      <c r="B3636" s="2" t="s">
        <v>8368</v>
      </c>
      <c r="C3636" s="2" t="s">
        <v>17</v>
      </c>
      <c r="D3636" s="2" t="s">
        <v>18</v>
      </c>
      <c r="E3636" s="5">
        <v>-31152</v>
      </c>
      <c r="F3636" s="3" t="s">
        <v>199</v>
      </c>
      <c r="G3636" s="3" t="s">
        <v>20</v>
      </c>
      <c r="H3636" s="2" t="s">
        <v>62</v>
      </c>
      <c r="I3636" s="2" t="s">
        <v>8369</v>
      </c>
      <c r="J3636" s="3" t="str">
        <f>HYPERLINK("https://www.boe.es/gazeta/dias/1814/09/15/pdfs/GMD-1814-126.pdf#page=7","Abrir facsímil")</f>
        <v>Abrir facsímil</v>
      </c>
      <c r="K3636" s="3" t="s">
        <v>64</v>
      </c>
    </row>
    <row r="3637" spans="1:11" ht="42" customHeight="1">
      <c r="A3637" s="2" t="s">
        <v>8370</v>
      </c>
      <c r="B3637" s="2" t="s">
        <v>8371</v>
      </c>
      <c r="C3637" s="2" t="s">
        <v>38</v>
      </c>
      <c r="D3637" s="2" t="s">
        <v>39</v>
      </c>
      <c r="E3637" s="5">
        <v>-31115</v>
      </c>
      <c r="F3637" s="3" t="s">
        <v>805</v>
      </c>
      <c r="G3637" s="3" t="s">
        <v>52</v>
      </c>
      <c r="H3637" s="2" t="s">
        <v>21</v>
      </c>
      <c r="I3637" s="2" t="s">
        <v>8372</v>
      </c>
      <c r="J3637" s="3" t="str">
        <f>HYPERLINK("https://www.boe.es/gazeta/dias/1814/10/22/pdfs/GMD-1814-142.pdf#page=8","Abrir facsímil")</f>
        <v>Abrir facsímil</v>
      </c>
      <c r="K3637" s="3" t="s">
        <v>23</v>
      </c>
    </row>
    <row r="3638" spans="1:11" ht="42" customHeight="1">
      <c r="A3638" s="2" t="s">
        <v>8373</v>
      </c>
      <c r="B3638" s="2" t="s">
        <v>8374</v>
      </c>
      <c r="C3638" s="2" t="s">
        <v>38</v>
      </c>
      <c r="D3638" s="2" t="s">
        <v>39</v>
      </c>
      <c r="E3638" s="5">
        <v>-31077</v>
      </c>
      <c r="F3638" s="3" t="s">
        <v>414</v>
      </c>
      <c r="G3638" s="3" t="s">
        <v>57</v>
      </c>
      <c r="H3638" s="2" t="s">
        <v>62</v>
      </c>
      <c r="I3638" s="2" t="s">
        <v>8375</v>
      </c>
      <c r="J3638" s="3" t="str">
        <f>HYPERLINK("https://www.boe.es/gazeta/dias/1814/11/29/pdfs/GMD-1814-158.pdf#page=6","Abrir facsímil")</f>
        <v>Abrir facsímil</v>
      </c>
      <c r="K3638" s="3" t="s">
        <v>64</v>
      </c>
    </row>
    <row r="3639" spans="1:11" ht="42" customHeight="1">
      <c r="A3639" s="2" t="s">
        <v>8376</v>
      </c>
      <c r="B3639" s="2" t="s">
        <v>8377</v>
      </c>
      <c r="C3639" s="2" t="s">
        <v>38</v>
      </c>
      <c r="D3639" s="2" t="s">
        <v>39</v>
      </c>
      <c r="E3639" s="5">
        <v>-31194</v>
      </c>
      <c r="F3639" s="3" t="s">
        <v>333</v>
      </c>
      <c r="G3639" s="3" t="s">
        <v>57</v>
      </c>
      <c r="H3639" s="2" t="s">
        <v>62</v>
      </c>
      <c r="I3639" s="2" t="s">
        <v>8378</v>
      </c>
      <c r="J3639" s="3" t="str">
        <f>HYPERLINK("https://www.boe.es/gazeta/dias/1814/08/04/pdfs/GMD-1814-107.pdf#page=6","Abrir facsímil")</f>
        <v>Abrir facsímil</v>
      </c>
      <c r="K3639" s="3" t="s">
        <v>64</v>
      </c>
    </row>
    <row r="3640" spans="1:11" ht="42" customHeight="1">
      <c r="A3640" s="2" t="s">
        <v>8379</v>
      </c>
      <c r="B3640" s="2" t="s">
        <v>8380</v>
      </c>
      <c r="C3640" s="2" t="s">
        <v>32</v>
      </c>
      <c r="D3640" s="2" t="s">
        <v>18</v>
      </c>
      <c r="E3640" s="5">
        <v>-31138</v>
      </c>
      <c r="F3640" s="3" t="s">
        <v>1363</v>
      </c>
      <c r="G3640" s="3" t="s">
        <v>52</v>
      </c>
      <c r="H3640" s="2" t="s">
        <v>62</v>
      </c>
      <c r="I3640" s="2" t="s">
        <v>8381</v>
      </c>
      <c r="J3640" s="3" t="str">
        <f>HYPERLINK("https://www.boe.es/gazeta/dias/1814/09/29/pdfs/GMD-1814-132.pdf#page=8","Abrir facsímil")</f>
        <v>Abrir facsímil</v>
      </c>
      <c r="K3640" s="3" t="s">
        <v>64</v>
      </c>
    </row>
    <row r="3641" spans="1:11" ht="42" customHeight="1">
      <c r="A3641" s="2" t="s">
        <v>8382</v>
      </c>
      <c r="B3641" s="2" t="s">
        <v>8383</v>
      </c>
      <c r="C3641" s="2" t="s">
        <v>38</v>
      </c>
      <c r="D3641" s="2" t="s">
        <v>39</v>
      </c>
      <c r="E3641" s="5">
        <v>-31210</v>
      </c>
      <c r="F3641" s="3" t="s">
        <v>141</v>
      </c>
      <c r="G3641" s="3" t="s">
        <v>99</v>
      </c>
      <c r="H3641" s="2" t="s">
        <v>62</v>
      </c>
      <c r="I3641" s="2" t="s">
        <v>8384</v>
      </c>
      <c r="J3641" s="3" t="str">
        <f>HYPERLINK("https://www.boe.es/gazeta/dias/1814/07/19/pdfs/GMD-1814-100.pdf#page=5","Abrir facsímil")</f>
        <v>Abrir facsímil</v>
      </c>
      <c r="K3641" s="3" t="s">
        <v>64</v>
      </c>
    </row>
    <row r="3642" spans="1:11" ht="42" customHeight="1">
      <c r="A3642" s="2" t="s">
        <v>8385</v>
      </c>
      <c r="B3642" s="2" t="s">
        <v>8386</v>
      </c>
      <c r="C3642" s="2" t="s">
        <v>26</v>
      </c>
      <c r="D3642" s="2" t="s">
        <v>27</v>
      </c>
      <c r="E3642" s="5">
        <v>-31250</v>
      </c>
      <c r="F3642" s="3" t="s">
        <v>177</v>
      </c>
      <c r="G3642" s="3" t="s">
        <v>99</v>
      </c>
      <c r="H3642" s="2" t="s">
        <v>62</v>
      </c>
      <c r="I3642" s="2" t="s">
        <v>8387</v>
      </c>
      <c r="J3642" s="3" t="str">
        <f>HYPERLINK("https://www.boe.es/gazeta/dias/1814/06/09/pdfs/GMD-1814-83.pdf#page=5","Abrir facsímil")</f>
        <v>Abrir facsímil</v>
      </c>
      <c r="K3642" s="3" t="s">
        <v>64</v>
      </c>
    </row>
    <row r="3643" spans="1:11" ht="42" customHeight="1">
      <c r="A3643" s="2" t="s">
        <v>8385</v>
      </c>
      <c r="B3643" s="2" t="s">
        <v>8386</v>
      </c>
      <c r="C3643" s="2" t="s">
        <v>38</v>
      </c>
      <c r="D3643" s="2" t="s">
        <v>39</v>
      </c>
      <c r="E3643" s="5">
        <v>-31131</v>
      </c>
      <c r="F3643" s="3" t="s">
        <v>132</v>
      </c>
      <c r="G3643" s="3" t="s">
        <v>20</v>
      </c>
      <c r="H3643" s="2" t="s">
        <v>62</v>
      </c>
      <c r="I3643" s="2" t="s">
        <v>8388</v>
      </c>
      <c r="J3643" s="3" t="str">
        <f>HYPERLINK("https://www.boe.es/gazeta/dias/1814/10/06/pdfs/GMD-1814-135.pdf#page=7","Abrir facsímil")</f>
        <v>Abrir facsímil</v>
      </c>
      <c r="K3643" s="3" t="s">
        <v>64</v>
      </c>
    </row>
    <row r="3644" spans="1:11" ht="42" customHeight="1">
      <c r="A3644" s="2" t="s">
        <v>8389</v>
      </c>
      <c r="B3644" s="2" t="s">
        <v>8390</v>
      </c>
      <c r="C3644" s="2" t="s">
        <v>38</v>
      </c>
      <c r="D3644" s="2" t="s">
        <v>314</v>
      </c>
      <c r="E3644" s="5">
        <v>-31296</v>
      </c>
      <c r="F3644" s="3" t="s">
        <v>315</v>
      </c>
      <c r="G3644" s="3" t="s">
        <v>41</v>
      </c>
      <c r="H3644" s="2" t="s">
        <v>62</v>
      </c>
      <c r="I3644" s="2" t="s">
        <v>8391</v>
      </c>
      <c r="J3644" s="3" t="str">
        <f>HYPERLINK("https://www.boe.es/gazeta/dias/1814/04/24/pdfs/GRE-1814-60E.pdf#page=4","Abrir facsímil")</f>
        <v>Abrir facsímil</v>
      </c>
      <c r="K3644" s="3" t="s">
        <v>64</v>
      </c>
    </row>
    <row r="3645" spans="1:11" ht="42" customHeight="1">
      <c r="A3645" s="2" t="s">
        <v>8392</v>
      </c>
      <c r="B3645" s="2" t="s">
        <v>8393</v>
      </c>
      <c r="C3645" s="2" t="s">
        <v>38</v>
      </c>
      <c r="D3645" s="2" t="s">
        <v>39</v>
      </c>
      <c r="E3645" s="5">
        <v>-31252</v>
      </c>
      <c r="F3645" s="3" t="s">
        <v>364</v>
      </c>
      <c r="G3645" s="3" t="s">
        <v>8092</v>
      </c>
      <c r="H3645" s="2" t="s">
        <v>62</v>
      </c>
      <c r="I3645" s="2" t="s">
        <v>8394</v>
      </c>
      <c r="J3645" s="3" t="str">
        <f>HYPERLINK("https://www.boe.es/gazeta/dias/1814/06/07/pdfs/GMD-1814-82.pdf#page=10","Abrir facsímil")</f>
        <v>Abrir facsímil</v>
      </c>
      <c r="K3645" s="3" t="s">
        <v>64</v>
      </c>
    </row>
    <row r="3646" spans="1:11" ht="42" customHeight="1">
      <c r="A3646" s="2" t="s">
        <v>8395</v>
      </c>
      <c r="B3646" s="2" t="s">
        <v>8396</v>
      </c>
      <c r="C3646" s="2" t="s">
        <v>38</v>
      </c>
      <c r="D3646" s="2" t="s">
        <v>39</v>
      </c>
      <c r="E3646" s="5">
        <v>-31101</v>
      </c>
      <c r="F3646" s="3" t="s">
        <v>2095</v>
      </c>
      <c r="G3646" s="3" t="s">
        <v>8397</v>
      </c>
      <c r="H3646" s="2" t="s">
        <v>21</v>
      </c>
      <c r="I3646" s="2" t="s">
        <v>8398</v>
      </c>
      <c r="J3646" s="3" t="str">
        <f>HYPERLINK("https://www.boe.es/gazeta/dias/1814/11/05/pdfs/GMD-1814-148.pdf#page=4","Abrir facsímil")</f>
        <v>Abrir facsímil</v>
      </c>
      <c r="K3646" s="3" t="s">
        <v>23</v>
      </c>
    </row>
    <row r="3647" spans="1:11" ht="42" customHeight="1">
      <c r="A3647" s="2" t="s">
        <v>8399</v>
      </c>
      <c r="B3647" s="2" t="s">
        <v>8400</v>
      </c>
      <c r="C3647" s="2" t="s">
        <v>26</v>
      </c>
      <c r="D3647" s="2" t="s">
        <v>27</v>
      </c>
      <c r="E3647" s="5">
        <v>-31243</v>
      </c>
      <c r="F3647" s="3" t="s">
        <v>500</v>
      </c>
      <c r="G3647" s="3" t="s">
        <v>137</v>
      </c>
      <c r="H3647" s="2" t="s">
        <v>62</v>
      </c>
      <c r="I3647" s="2" t="s">
        <v>8401</v>
      </c>
      <c r="J3647" s="3" t="str">
        <f>HYPERLINK("https://www.boe.es/gazeta/dias/1814/06/16/pdfs/GMD-1814-86.pdf#page=9","Abrir facsímil")</f>
        <v>Abrir facsímil</v>
      </c>
      <c r="K3647" s="3" t="s">
        <v>64</v>
      </c>
    </row>
    <row r="3648" spans="1:11" ht="42" customHeight="1">
      <c r="A3648" s="2" t="s">
        <v>8402</v>
      </c>
      <c r="B3648" s="2" t="s">
        <v>8403</v>
      </c>
      <c r="C3648" s="2" t="s">
        <v>45</v>
      </c>
      <c r="D3648" s="2" t="s">
        <v>18</v>
      </c>
      <c r="E3648" s="5">
        <v>-31322</v>
      </c>
      <c r="F3648" s="3" t="s">
        <v>114</v>
      </c>
      <c r="G3648" s="3" t="s">
        <v>52</v>
      </c>
      <c r="H3648" s="2" t="s">
        <v>62</v>
      </c>
      <c r="I3648" s="2" t="s">
        <v>8404</v>
      </c>
      <c r="J3648" s="3" t="str">
        <f>HYPERLINK("https://www.boe.es/gazeta/dias/1814/03/29/pdfs/GRE-1814-44.pdf#page=8","Abrir facsímil")</f>
        <v>Abrir facsímil</v>
      </c>
      <c r="K3648" s="3" t="s">
        <v>64</v>
      </c>
    </row>
    <row r="3649" spans="1:11" ht="42" customHeight="1">
      <c r="A3649" s="2" t="s">
        <v>8405</v>
      </c>
      <c r="B3649" s="2" t="s">
        <v>8406</v>
      </c>
      <c r="C3649" s="2" t="s">
        <v>32</v>
      </c>
      <c r="D3649" s="2" t="s">
        <v>18</v>
      </c>
      <c r="E3649" s="5">
        <v>-31089</v>
      </c>
      <c r="F3649" s="3" t="s">
        <v>531</v>
      </c>
      <c r="G3649" s="3" t="s">
        <v>794</v>
      </c>
      <c r="H3649" s="2" t="s">
        <v>62</v>
      </c>
      <c r="I3649" s="2" t="s">
        <v>8407</v>
      </c>
      <c r="J3649" s="3" t="str">
        <f>HYPERLINK("https://www.boe.es/gazeta/dias/1814/11/17/pdfs/GMD-1814-153.pdf#page=8","Abrir facsímil")</f>
        <v>Abrir facsímil</v>
      </c>
      <c r="K3649" s="3" t="s">
        <v>64</v>
      </c>
    </row>
    <row r="3650" spans="1:11" ht="42" customHeight="1">
      <c r="A3650" s="2" t="s">
        <v>8408</v>
      </c>
      <c r="B3650" s="2" t="s">
        <v>8409</v>
      </c>
      <c r="C3650" s="2" t="s">
        <v>38</v>
      </c>
      <c r="D3650" s="2" t="s">
        <v>39</v>
      </c>
      <c r="E3650" s="5">
        <v>-31131</v>
      </c>
      <c r="F3650" s="3" t="s">
        <v>132</v>
      </c>
      <c r="G3650" s="3" t="s">
        <v>20</v>
      </c>
      <c r="H3650" s="2" t="s">
        <v>62</v>
      </c>
      <c r="I3650" s="2" t="s">
        <v>8410</v>
      </c>
      <c r="J3650" s="3" t="str">
        <f>HYPERLINK("https://www.boe.es/gazeta/dias/1814/10/06/pdfs/GMD-1814-135.pdf#page=7","Abrir facsímil")</f>
        <v>Abrir facsímil</v>
      </c>
      <c r="K3650" s="3" t="s">
        <v>64</v>
      </c>
    </row>
    <row r="3651" spans="1:11" ht="42" customHeight="1">
      <c r="A3651" s="2" t="s">
        <v>8411</v>
      </c>
      <c r="B3651" s="2" t="s">
        <v>8411</v>
      </c>
      <c r="C3651" s="2" t="s">
        <v>38</v>
      </c>
      <c r="D3651" s="2" t="s">
        <v>39</v>
      </c>
      <c r="E3651" s="5">
        <v>-31201</v>
      </c>
      <c r="F3651" s="3" t="s">
        <v>863</v>
      </c>
      <c r="G3651" s="3" t="s">
        <v>41</v>
      </c>
      <c r="H3651" s="2" t="s">
        <v>62</v>
      </c>
      <c r="I3651" s="2" t="s">
        <v>8412</v>
      </c>
      <c r="J3651" s="3" t="str">
        <f>HYPERLINK("https://www.boe.es/gazeta/dias/1814/07/28/pdfs/GMD-1814-104.pdf#page=4","Abrir facsímil")</f>
        <v>Abrir facsímil</v>
      </c>
      <c r="K3651" s="3" t="s">
        <v>64</v>
      </c>
    </row>
    <row r="3652" spans="1:11" ht="42" customHeight="1">
      <c r="A3652" s="2" t="s">
        <v>8411</v>
      </c>
      <c r="B3652" s="2" t="s">
        <v>8411</v>
      </c>
      <c r="C3652" s="2" t="s">
        <v>38</v>
      </c>
      <c r="D3652" s="2" t="s">
        <v>39</v>
      </c>
      <c r="E3652" s="5">
        <v>-31196</v>
      </c>
      <c r="F3652" s="3" t="s">
        <v>828</v>
      </c>
      <c r="G3652" s="3" t="s">
        <v>107</v>
      </c>
      <c r="H3652" s="2" t="s">
        <v>62</v>
      </c>
      <c r="I3652" s="2" t="s">
        <v>8413</v>
      </c>
      <c r="J3652" s="3" t="str">
        <f>HYPERLINK("https://www.boe.es/gazeta/dias/1814/08/02/pdfs/GMD-1814-106.pdf#page=1","Abrir facsímil")</f>
        <v>Abrir facsímil</v>
      </c>
      <c r="K3652" s="3" t="s">
        <v>64</v>
      </c>
    </row>
    <row r="3653" spans="1:11" ht="42" customHeight="1">
      <c r="A3653" s="2" t="s">
        <v>8411</v>
      </c>
      <c r="B3653" s="2" t="s">
        <v>8411</v>
      </c>
      <c r="C3653" s="2" t="s">
        <v>38</v>
      </c>
      <c r="D3653" s="2" t="s">
        <v>39</v>
      </c>
      <c r="E3653" s="5">
        <v>-31194</v>
      </c>
      <c r="F3653" s="3" t="s">
        <v>333</v>
      </c>
      <c r="G3653" s="3" t="s">
        <v>82</v>
      </c>
      <c r="H3653" s="2" t="s">
        <v>62</v>
      </c>
      <c r="I3653" s="2" t="s">
        <v>8414</v>
      </c>
      <c r="J3653" s="3" t="str">
        <f>HYPERLINK("https://www.boe.es/gazeta/dias/1814/08/04/pdfs/GMD-1814-107.pdf#page=3","Abrir facsímil")</f>
        <v>Abrir facsímil</v>
      </c>
      <c r="K3653" s="3" t="s">
        <v>64</v>
      </c>
    </row>
    <row r="3654" spans="1:11" ht="42" customHeight="1">
      <c r="A3654" s="2" t="s">
        <v>8411</v>
      </c>
      <c r="B3654" s="2" t="s">
        <v>8411</v>
      </c>
      <c r="C3654" s="2" t="s">
        <v>38</v>
      </c>
      <c r="D3654" s="2" t="s">
        <v>39</v>
      </c>
      <c r="E3654" s="5">
        <v>-31073</v>
      </c>
      <c r="F3654" s="3" t="s">
        <v>3052</v>
      </c>
      <c r="G3654" s="3" t="s">
        <v>82</v>
      </c>
      <c r="H3654" s="2" t="s">
        <v>62</v>
      </c>
      <c r="I3654" s="2" t="s">
        <v>8415</v>
      </c>
      <c r="J3654" s="3" t="str">
        <f>HYPERLINK("https://www.boe.es/gazeta/dias/1814/12/03/pdfs/GMD-1814-160.pdf#page=3","Abrir facsímil")</f>
        <v>Abrir facsímil</v>
      </c>
      <c r="K3654" s="3" t="s">
        <v>64</v>
      </c>
    </row>
    <row r="3655" spans="1:11" ht="42" customHeight="1">
      <c r="A3655" s="2" t="s">
        <v>8416</v>
      </c>
      <c r="B3655" s="2" t="s">
        <v>8417</v>
      </c>
      <c r="C3655" s="2" t="s">
        <v>26</v>
      </c>
      <c r="D3655" s="2" t="s">
        <v>27</v>
      </c>
      <c r="E3655" s="5">
        <v>-31194</v>
      </c>
      <c r="F3655" s="3" t="s">
        <v>333</v>
      </c>
      <c r="G3655" s="3" t="s">
        <v>3000</v>
      </c>
      <c r="H3655" s="2" t="s">
        <v>62</v>
      </c>
      <c r="I3655" s="2" t="s">
        <v>8418</v>
      </c>
      <c r="J3655" s="3" t="str">
        <f>HYPERLINK("https://www.boe.es/gazeta/dias/1814/08/04/pdfs/GMD-1814-107.pdf#page=4","Abrir facsímil")</f>
        <v>Abrir facsímil</v>
      </c>
      <c r="K3655" s="3" t="s">
        <v>64</v>
      </c>
    </row>
    <row r="3656" spans="1:11" ht="42" customHeight="1">
      <c r="A3656" s="2" t="s">
        <v>8419</v>
      </c>
      <c r="B3656" s="2" t="s">
        <v>8419</v>
      </c>
      <c r="C3656" s="2" t="s">
        <v>38</v>
      </c>
      <c r="D3656" s="2" t="s">
        <v>39</v>
      </c>
      <c r="E3656" s="5">
        <v>-31313</v>
      </c>
      <c r="F3656" s="3" t="s">
        <v>239</v>
      </c>
      <c r="G3656" s="3" t="s">
        <v>87</v>
      </c>
      <c r="H3656" s="2" t="s">
        <v>62</v>
      </c>
      <c r="I3656" s="2" t="s">
        <v>8420</v>
      </c>
      <c r="J3656" s="3" t="str">
        <f>HYPERLINK("https://www.boe.es/gazeta/dias/1814/04/07/pdfs/GRE-1814-50.pdf#page=2","Abrir facsímil")</f>
        <v>Abrir facsímil</v>
      </c>
      <c r="K3656" s="3" t="s">
        <v>64</v>
      </c>
    </row>
    <row r="3657" spans="1:11" ht="42" customHeight="1">
      <c r="A3657" s="2" t="s">
        <v>8419</v>
      </c>
      <c r="B3657" s="2" t="s">
        <v>8419</v>
      </c>
      <c r="C3657" s="2" t="s">
        <v>38</v>
      </c>
      <c r="D3657" s="2" t="s">
        <v>39</v>
      </c>
      <c r="E3657" s="5">
        <v>-31271</v>
      </c>
      <c r="F3657" s="3" t="s">
        <v>243</v>
      </c>
      <c r="G3657" s="3" t="s">
        <v>82</v>
      </c>
      <c r="H3657" s="2" t="s">
        <v>62</v>
      </c>
      <c r="I3657" s="2" t="s">
        <v>8421</v>
      </c>
      <c r="J3657" s="3" t="str">
        <f>HYPERLINK("https://www.boe.es/gazeta/dias/1814/05/19/pdfs/GMD-1814-74.pdf#page=3","Abrir facsímil")</f>
        <v>Abrir facsímil</v>
      </c>
      <c r="K3657" s="3" t="s">
        <v>64</v>
      </c>
    </row>
    <row r="3658" spans="1:11" ht="42" customHeight="1">
      <c r="A3658" s="2" t="s">
        <v>8422</v>
      </c>
      <c r="B3658" s="2" t="s">
        <v>8423</v>
      </c>
      <c r="C3658" s="2" t="s">
        <v>17</v>
      </c>
      <c r="D3658" s="2" t="s">
        <v>18</v>
      </c>
      <c r="E3658" s="5">
        <v>-31087</v>
      </c>
      <c r="F3658" s="3" t="s">
        <v>118</v>
      </c>
      <c r="G3658" s="3" t="s">
        <v>99</v>
      </c>
      <c r="H3658" s="2" t="s">
        <v>62</v>
      </c>
      <c r="I3658" s="2" t="s">
        <v>8424</v>
      </c>
      <c r="J3658" s="3" t="str">
        <f>HYPERLINK("https://www.boe.es/gazeta/dias/1814/11/19/pdfs/GMD-1814-154.pdf#page=5","Abrir facsímil")</f>
        <v>Abrir facsímil</v>
      </c>
      <c r="K3658" s="3" t="s">
        <v>64</v>
      </c>
    </row>
    <row r="3659" spans="1:11" ht="42" customHeight="1">
      <c r="A3659" s="2" t="s">
        <v>8425</v>
      </c>
      <c r="B3659" s="2" t="s">
        <v>8426</v>
      </c>
      <c r="C3659" s="2" t="s">
        <v>144</v>
      </c>
      <c r="D3659" s="2" t="s">
        <v>18</v>
      </c>
      <c r="E3659" s="5">
        <v>-31143</v>
      </c>
      <c r="F3659" s="3" t="s">
        <v>787</v>
      </c>
      <c r="G3659" s="3" t="s">
        <v>52</v>
      </c>
      <c r="H3659" s="2" t="s">
        <v>21</v>
      </c>
      <c r="I3659" s="2" t="s">
        <v>8427</v>
      </c>
      <c r="J3659" s="3" t="str">
        <f>HYPERLINK("https://www.boe.es/gazeta/dias/1814/09/24/pdfs/GMD-1814-130.pdf#page=8","Abrir facsímil")</f>
        <v>Abrir facsímil</v>
      </c>
      <c r="K3659" s="3" t="s">
        <v>23</v>
      </c>
    </row>
    <row r="3660" spans="1:11" ht="42" customHeight="1">
      <c r="A3660" s="2" t="s">
        <v>8428</v>
      </c>
      <c r="B3660" s="2" t="s">
        <v>8429</v>
      </c>
      <c r="C3660" s="2" t="s">
        <v>32</v>
      </c>
      <c r="D3660" s="2" t="s">
        <v>18</v>
      </c>
      <c r="E3660" s="5">
        <v>-31243</v>
      </c>
      <c r="F3660" s="3" t="s">
        <v>500</v>
      </c>
      <c r="G3660" s="3" t="s">
        <v>4656</v>
      </c>
      <c r="H3660" s="2" t="s">
        <v>62</v>
      </c>
      <c r="I3660" s="2" t="s">
        <v>8430</v>
      </c>
      <c r="J3660" s="3" t="str">
        <f>HYPERLINK("https://www.boe.es/gazeta/dias/1814/06/16/pdfs/GMD-1814-86.pdf#page=12","Abrir facsímil")</f>
        <v>Abrir facsímil</v>
      </c>
      <c r="K3660" s="3" t="s">
        <v>64</v>
      </c>
    </row>
    <row r="3661" spans="1:11" ht="42" customHeight="1">
      <c r="A3661" s="2" t="s">
        <v>8431</v>
      </c>
      <c r="B3661" s="2" t="s">
        <v>8432</v>
      </c>
      <c r="C3661" s="2" t="s">
        <v>26</v>
      </c>
      <c r="D3661" s="2" t="s">
        <v>27</v>
      </c>
      <c r="E3661" s="5">
        <v>-31129</v>
      </c>
      <c r="F3661" s="3" t="s">
        <v>418</v>
      </c>
      <c r="G3661" s="3" t="s">
        <v>41</v>
      </c>
      <c r="H3661" s="2" t="s">
        <v>62</v>
      </c>
      <c r="I3661" s="2" t="s">
        <v>8433</v>
      </c>
      <c r="J3661" s="3" t="str">
        <f>HYPERLINK("https://www.boe.es/gazeta/dias/1814/10/08/pdfs/GMD-1814-136.pdf#page=4","Abrir facsímil")</f>
        <v>Abrir facsímil</v>
      </c>
      <c r="K3661" s="3" t="s">
        <v>64</v>
      </c>
    </row>
    <row r="3662" spans="1:11" ht="42" customHeight="1">
      <c r="A3662" s="2" t="s">
        <v>8434</v>
      </c>
      <c r="B3662" s="2" t="s">
        <v>8435</v>
      </c>
      <c r="C3662" s="2" t="s">
        <v>38</v>
      </c>
      <c r="D3662" s="2" t="s">
        <v>39</v>
      </c>
      <c r="E3662" s="5">
        <v>-31355</v>
      </c>
      <c r="F3662" s="3" t="s">
        <v>50</v>
      </c>
      <c r="G3662" s="3" t="s">
        <v>20</v>
      </c>
      <c r="H3662" s="2" t="s">
        <v>62</v>
      </c>
      <c r="I3662" s="2" t="s">
        <v>8436</v>
      </c>
      <c r="J3662" s="3" t="str">
        <f>HYPERLINK("https://www.boe.es/gazeta/dias/1814/02/24/pdfs/GRE-1814-26.pdf#page=7","Abrir facsímil")</f>
        <v>Abrir facsímil</v>
      </c>
      <c r="K3662" s="3" t="s">
        <v>64</v>
      </c>
    </row>
    <row r="3663" spans="1:11" ht="42" customHeight="1">
      <c r="A3663" s="2" t="s">
        <v>8434</v>
      </c>
      <c r="B3663" s="2" t="s">
        <v>8435</v>
      </c>
      <c r="C3663" s="2" t="s">
        <v>38</v>
      </c>
      <c r="D3663" s="2" t="s">
        <v>314</v>
      </c>
      <c r="E3663" s="5">
        <v>-31296</v>
      </c>
      <c r="F3663" s="3" t="s">
        <v>315</v>
      </c>
      <c r="G3663" s="3" t="s">
        <v>52</v>
      </c>
      <c r="H3663" s="2" t="s">
        <v>62</v>
      </c>
      <c r="I3663" s="2" t="s">
        <v>8437</v>
      </c>
      <c r="J3663" s="3" t="str">
        <f>HYPERLINK("https://www.boe.es/gazeta/dias/1814/04/24/pdfs/GRE-1814-60E.pdf#page=8","Abrir facsímil")</f>
        <v>Abrir facsímil</v>
      </c>
      <c r="K3663" s="3" t="s">
        <v>64</v>
      </c>
    </row>
    <row r="3664" spans="1:11" ht="42" customHeight="1">
      <c r="A3664" s="2" t="s">
        <v>8438</v>
      </c>
      <c r="B3664" s="2" t="s">
        <v>8439</v>
      </c>
      <c r="C3664" s="2" t="s">
        <v>45</v>
      </c>
      <c r="D3664" s="2" t="s">
        <v>18</v>
      </c>
      <c r="E3664" s="5">
        <v>-31066</v>
      </c>
      <c r="F3664" s="3" t="s">
        <v>1323</v>
      </c>
      <c r="G3664" s="3" t="s">
        <v>52</v>
      </c>
      <c r="H3664" s="2" t="s">
        <v>62</v>
      </c>
      <c r="I3664" s="2" t="s">
        <v>8440</v>
      </c>
      <c r="J3664" s="3" t="str">
        <f>HYPERLINK("https://www.boe.es/gazeta/dias/1814/12/10/pdfs/GMD-1814-163.pdf#page=8","Abrir facsímil")</f>
        <v>Abrir facsímil</v>
      </c>
      <c r="K3664" s="3" t="s">
        <v>64</v>
      </c>
    </row>
    <row r="3665" spans="1:11" ht="42" customHeight="1">
      <c r="A3665" s="2" t="s">
        <v>8441</v>
      </c>
      <c r="B3665" s="2" t="s">
        <v>8442</v>
      </c>
      <c r="C3665" s="2" t="s">
        <v>38</v>
      </c>
      <c r="D3665" s="2" t="s">
        <v>39</v>
      </c>
      <c r="E3665" s="5">
        <v>-31355</v>
      </c>
      <c r="F3665" s="3" t="s">
        <v>50</v>
      </c>
      <c r="G3665" s="3" t="s">
        <v>20</v>
      </c>
      <c r="H3665" s="2" t="s">
        <v>62</v>
      </c>
      <c r="I3665" s="2" t="s">
        <v>8443</v>
      </c>
      <c r="J3665" s="3" t="str">
        <f>HYPERLINK("https://www.boe.es/gazeta/dias/1814/02/24/pdfs/GRE-1814-26.pdf#page=7","Abrir facsímil")</f>
        <v>Abrir facsímil</v>
      </c>
      <c r="K3665" s="3" t="s">
        <v>64</v>
      </c>
    </row>
    <row r="3666" spans="1:11" ht="42" customHeight="1">
      <c r="A3666" s="2" t="s">
        <v>8444</v>
      </c>
      <c r="B3666" s="2" t="s">
        <v>8445</v>
      </c>
      <c r="C3666" s="2" t="s">
        <v>26</v>
      </c>
      <c r="D3666" s="2" t="s">
        <v>27</v>
      </c>
      <c r="E3666" s="5">
        <v>-31269</v>
      </c>
      <c r="F3666" s="3" t="s">
        <v>496</v>
      </c>
      <c r="G3666" s="3" t="s">
        <v>41</v>
      </c>
      <c r="H3666" s="2" t="s">
        <v>62</v>
      </c>
      <c r="I3666" s="2" t="s">
        <v>8446</v>
      </c>
      <c r="J3666" s="3" t="str">
        <f>HYPERLINK("https://www.boe.es/gazeta/dias/1814/05/21/pdfs/GMD-1814-75.pdf#page=4","Abrir facsímil")</f>
        <v>Abrir facsímil</v>
      </c>
      <c r="K3666" s="3" t="s">
        <v>64</v>
      </c>
    </row>
    <row r="3667" spans="1:11" ht="42" customHeight="1">
      <c r="A3667" s="2" t="s">
        <v>8447</v>
      </c>
      <c r="B3667" s="2" t="s">
        <v>8448</v>
      </c>
      <c r="C3667" s="2" t="s">
        <v>38</v>
      </c>
      <c r="D3667" s="2" t="s">
        <v>39</v>
      </c>
      <c r="E3667" s="5">
        <v>-31390</v>
      </c>
      <c r="F3667" s="3" t="s">
        <v>349</v>
      </c>
      <c r="G3667" s="3" t="s">
        <v>4295</v>
      </c>
      <c r="H3667" s="2" t="s">
        <v>62</v>
      </c>
      <c r="I3667" s="2" t="s">
        <v>8449</v>
      </c>
      <c r="J3667" s="3" t="str">
        <f>HYPERLINK("https://www.boe.es/gazeta/dias/1814/01/20/pdfs/GRE-1814-10.pdf#page=6","Abrir facsímil")</f>
        <v>Abrir facsímil</v>
      </c>
      <c r="K3667" s="3" t="s">
        <v>64</v>
      </c>
    </row>
    <row r="3668" spans="1:11" ht="42" customHeight="1">
      <c r="A3668" s="2" t="s">
        <v>8450</v>
      </c>
      <c r="B3668" s="2" t="s">
        <v>8450</v>
      </c>
      <c r="C3668" s="2" t="s">
        <v>38</v>
      </c>
      <c r="D3668" s="2" t="s">
        <v>39</v>
      </c>
      <c r="E3668" s="5">
        <v>-31385</v>
      </c>
      <c r="F3668" s="3" t="s">
        <v>783</v>
      </c>
      <c r="G3668" s="3" t="s">
        <v>82</v>
      </c>
      <c r="H3668" s="2" t="s">
        <v>62</v>
      </c>
      <c r="I3668" s="2" t="s">
        <v>8451</v>
      </c>
      <c r="J3668" s="3" t="str">
        <f>HYPERLINK("https://www.boe.es/gazeta/dias/1814/01/25/pdfs/GRE-1814-12.pdf#page=3","Abrir facsímil")</f>
        <v>Abrir facsímil</v>
      </c>
      <c r="K3668" s="3" t="s">
        <v>64</v>
      </c>
    </row>
    <row r="3669" spans="1:11" ht="42" customHeight="1">
      <c r="A3669" s="2" t="s">
        <v>8452</v>
      </c>
      <c r="B3669" s="2" t="s">
        <v>8453</v>
      </c>
      <c r="C3669" s="2" t="s">
        <v>38</v>
      </c>
      <c r="D3669" s="2" t="s">
        <v>39</v>
      </c>
      <c r="E3669" s="5">
        <v>-31119</v>
      </c>
      <c r="F3669" s="3" t="s">
        <v>136</v>
      </c>
      <c r="G3669" s="3" t="s">
        <v>704</v>
      </c>
      <c r="H3669" s="2" t="s">
        <v>62</v>
      </c>
      <c r="I3669" s="2" t="s">
        <v>8454</v>
      </c>
      <c r="J3669" s="3" t="str">
        <f>HYPERLINK("https://www.boe.es/gazeta/dias/1814/10/18/pdfs/GMD-1814-140.pdf#page=10","Abrir facsímil")</f>
        <v>Abrir facsímil</v>
      </c>
      <c r="K3669" s="3" t="s">
        <v>64</v>
      </c>
    </row>
    <row r="3670" spans="1:11" ht="42" customHeight="1">
      <c r="A3670" s="2" t="s">
        <v>8455</v>
      </c>
      <c r="B3670" s="2" t="s">
        <v>8455</v>
      </c>
      <c r="C3670" s="2" t="s">
        <v>38</v>
      </c>
      <c r="D3670" s="2" t="s">
        <v>39</v>
      </c>
      <c r="E3670" s="5">
        <v>-31404</v>
      </c>
      <c r="F3670" s="3" t="s">
        <v>630</v>
      </c>
      <c r="G3670" s="3" t="s">
        <v>631</v>
      </c>
      <c r="H3670" s="2" t="s">
        <v>62</v>
      </c>
      <c r="I3670" s="2" t="s">
        <v>8456</v>
      </c>
      <c r="J3670" s="3" t="str">
        <f>HYPERLINK("https://www.boe.es/gazeta/dias/1814/01/06/pdfs/GRE-1814-3.pdf#page=4","Abrir facsímil")</f>
        <v>Abrir facsímil</v>
      </c>
      <c r="K3670" s="3" t="s">
        <v>64</v>
      </c>
    </row>
    <row r="3671" spans="1:11" ht="42" customHeight="1">
      <c r="A3671" s="2" t="s">
        <v>8455</v>
      </c>
      <c r="B3671" s="2" t="s">
        <v>8455</v>
      </c>
      <c r="C3671" s="2" t="s">
        <v>38</v>
      </c>
      <c r="D3671" s="2" t="s">
        <v>39</v>
      </c>
      <c r="E3671" s="5">
        <v>-31350</v>
      </c>
      <c r="F3671" s="3" t="s">
        <v>377</v>
      </c>
      <c r="G3671" s="3" t="s">
        <v>20</v>
      </c>
      <c r="H3671" s="2" t="s">
        <v>62</v>
      </c>
      <c r="I3671" s="2" t="s">
        <v>8457</v>
      </c>
      <c r="J3671" s="3" t="str">
        <f>HYPERLINK("https://www.boe.es/gazeta/dias/1814/03/01/pdfs/GRE-1814-28.pdf#page=7","Abrir facsímil")</f>
        <v>Abrir facsímil</v>
      </c>
      <c r="K3671" s="3" t="s">
        <v>64</v>
      </c>
    </row>
    <row r="3672" spans="1:11" ht="42" customHeight="1">
      <c r="A3672" s="2" t="s">
        <v>8455</v>
      </c>
      <c r="B3672" s="2" t="s">
        <v>8455</v>
      </c>
      <c r="C3672" s="2" t="s">
        <v>38</v>
      </c>
      <c r="D3672" s="2" t="s">
        <v>39</v>
      </c>
      <c r="E3672" s="5">
        <v>-31350</v>
      </c>
      <c r="F3672" s="3" t="s">
        <v>377</v>
      </c>
      <c r="G3672" s="3" t="s">
        <v>52</v>
      </c>
      <c r="H3672" s="2" t="s">
        <v>62</v>
      </c>
      <c r="I3672" s="2" t="s">
        <v>8458</v>
      </c>
      <c r="J3672" s="3" t="str">
        <f>HYPERLINK("https://www.boe.es/gazeta/dias/1814/03/01/pdfs/GRE-1814-28.pdf#page=8","Abrir facsímil")</f>
        <v>Abrir facsímil</v>
      </c>
      <c r="K3672" s="3" t="s">
        <v>64</v>
      </c>
    </row>
    <row r="3673" spans="1:11" ht="42" customHeight="1">
      <c r="A3673" s="2" t="s">
        <v>8455</v>
      </c>
      <c r="B3673" s="2" t="s">
        <v>8455</v>
      </c>
      <c r="C3673" s="2" t="s">
        <v>38</v>
      </c>
      <c r="D3673" s="2" t="s">
        <v>39</v>
      </c>
      <c r="E3673" s="5">
        <v>-31341</v>
      </c>
      <c r="F3673" s="3" t="s">
        <v>360</v>
      </c>
      <c r="G3673" s="3" t="s">
        <v>20</v>
      </c>
      <c r="H3673" s="2" t="s">
        <v>62</v>
      </c>
      <c r="I3673" s="2" t="s">
        <v>8459</v>
      </c>
      <c r="J3673" s="3" t="str">
        <f>HYPERLINK("https://www.boe.es/gazeta/dias/1814/03/10/pdfs/GRE-1814-33.pdf#page=7","Abrir facsímil")</f>
        <v>Abrir facsímil</v>
      </c>
      <c r="K3673" s="3" t="s">
        <v>64</v>
      </c>
    </row>
    <row r="3674" spans="1:11" ht="42" customHeight="1">
      <c r="A3674" s="2" t="s">
        <v>8455</v>
      </c>
      <c r="B3674" s="2" t="s">
        <v>8455</v>
      </c>
      <c r="C3674" s="2" t="s">
        <v>38</v>
      </c>
      <c r="D3674" s="2" t="s">
        <v>39</v>
      </c>
      <c r="E3674" s="5">
        <v>-31318</v>
      </c>
      <c r="F3674" s="3" t="s">
        <v>400</v>
      </c>
      <c r="G3674" s="3" t="s">
        <v>57</v>
      </c>
      <c r="H3674" s="2" t="s">
        <v>62</v>
      </c>
      <c r="I3674" s="2" t="s">
        <v>8460</v>
      </c>
      <c r="J3674" s="3" t="str">
        <f>HYPERLINK("https://www.boe.es/gazeta/dias/1814/04/02/pdfs/GRE-1814-47.pdf#page=6","Abrir facsímil")</f>
        <v>Abrir facsímil</v>
      </c>
      <c r="K3674" s="3" t="s">
        <v>64</v>
      </c>
    </row>
    <row r="3675" spans="1:11" ht="42" customHeight="1">
      <c r="A3675" s="2" t="s">
        <v>8455</v>
      </c>
      <c r="B3675" s="2" t="s">
        <v>8455</v>
      </c>
      <c r="C3675" s="2" t="s">
        <v>38</v>
      </c>
      <c r="D3675" s="2" t="s">
        <v>39</v>
      </c>
      <c r="E3675" s="5">
        <v>-31318</v>
      </c>
      <c r="F3675" s="3" t="s">
        <v>400</v>
      </c>
      <c r="G3675" s="3" t="s">
        <v>20</v>
      </c>
      <c r="H3675" s="2" t="s">
        <v>62</v>
      </c>
      <c r="I3675" s="2" t="s">
        <v>8461</v>
      </c>
      <c r="J3675" s="3" t="str">
        <f>HYPERLINK("https://www.boe.es/gazeta/dias/1814/04/02/pdfs/GRE-1814-47.pdf#page=7","Abrir facsímil")</f>
        <v>Abrir facsímil</v>
      </c>
      <c r="K3675" s="3" t="s">
        <v>64</v>
      </c>
    </row>
    <row r="3676" spans="1:11" ht="42" customHeight="1">
      <c r="A3676" s="2" t="s">
        <v>8455</v>
      </c>
      <c r="B3676" s="2" t="s">
        <v>8455</v>
      </c>
      <c r="C3676" s="2" t="s">
        <v>38</v>
      </c>
      <c r="D3676" s="2" t="s">
        <v>39</v>
      </c>
      <c r="E3676" s="5">
        <v>-31266</v>
      </c>
      <c r="F3676" s="3" t="s">
        <v>191</v>
      </c>
      <c r="G3676" s="3" t="s">
        <v>2560</v>
      </c>
      <c r="H3676" s="2" t="s">
        <v>62</v>
      </c>
      <c r="I3676" s="2" t="s">
        <v>8462</v>
      </c>
      <c r="J3676" s="3" t="str">
        <f>HYPERLINK("https://www.boe.es/gazeta/dias/1814/05/24/pdfs/GMD-1814-76.pdf#page=4","Abrir facsímil")</f>
        <v>Abrir facsímil</v>
      </c>
      <c r="K3676" s="3" t="s">
        <v>64</v>
      </c>
    </row>
    <row r="3677" spans="1:11" ht="42" customHeight="1">
      <c r="A3677" s="2" t="s">
        <v>8463</v>
      </c>
      <c r="B3677" s="2" t="s">
        <v>8464</v>
      </c>
      <c r="C3677" s="2" t="s">
        <v>38</v>
      </c>
      <c r="D3677" s="2" t="s">
        <v>39</v>
      </c>
      <c r="E3677" s="5">
        <v>-31390</v>
      </c>
      <c r="F3677" s="3" t="s">
        <v>349</v>
      </c>
      <c r="G3677" s="3" t="s">
        <v>20</v>
      </c>
      <c r="H3677" s="2" t="s">
        <v>62</v>
      </c>
      <c r="I3677" s="2" t="s">
        <v>8465</v>
      </c>
      <c r="J3677" s="3" t="str">
        <f>HYPERLINK("https://www.boe.es/gazeta/dias/1814/01/20/pdfs/GRE-1814-10.pdf#page=7","Abrir facsímil")</f>
        <v>Abrir facsímil</v>
      </c>
      <c r="K3677" s="3" t="s">
        <v>64</v>
      </c>
    </row>
    <row r="3678" spans="1:11" ht="42" customHeight="1">
      <c r="A3678" s="2" t="s">
        <v>8463</v>
      </c>
      <c r="B3678" s="2" t="s">
        <v>8464</v>
      </c>
      <c r="C3678" s="2" t="s">
        <v>38</v>
      </c>
      <c r="D3678" s="2" t="s">
        <v>39</v>
      </c>
      <c r="E3678" s="5">
        <v>-31367</v>
      </c>
      <c r="F3678" s="3" t="s">
        <v>857</v>
      </c>
      <c r="G3678" s="3" t="s">
        <v>57</v>
      </c>
      <c r="H3678" s="2" t="s">
        <v>62</v>
      </c>
      <c r="I3678" s="2" t="s">
        <v>8466</v>
      </c>
      <c r="J3678" s="3" t="str">
        <f>HYPERLINK("https://www.boe.es/gazeta/dias/1814/02/12/pdfs/GRE-1814-20.pdf#page=6","Abrir facsímil")</f>
        <v>Abrir facsímil</v>
      </c>
      <c r="K3678" s="3" t="s">
        <v>64</v>
      </c>
    </row>
    <row r="3679" spans="1:11" ht="42" customHeight="1">
      <c r="A3679" s="2" t="s">
        <v>8463</v>
      </c>
      <c r="B3679" s="2" t="s">
        <v>8464</v>
      </c>
      <c r="C3679" s="2" t="s">
        <v>38</v>
      </c>
      <c r="D3679" s="2" t="s">
        <v>39</v>
      </c>
      <c r="E3679" s="5">
        <v>-31353</v>
      </c>
      <c r="F3679" s="3" t="s">
        <v>247</v>
      </c>
      <c r="G3679" s="3" t="s">
        <v>57</v>
      </c>
      <c r="H3679" s="2" t="s">
        <v>62</v>
      </c>
      <c r="I3679" s="2" t="s">
        <v>8467</v>
      </c>
      <c r="J3679" s="3" t="str">
        <f>HYPERLINK("https://www.boe.es/gazeta/dias/1814/02/26/pdfs/GRE-1814-27.pdf#page=6","Abrir facsímil")</f>
        <v>Abrir facsímil</v>
      </c>
      <c r="K3679" s="3" t="s">
        <v>64</v>
      </c>
    </row>
    <row r="3680" spans="1:11" ht="42" customHeight="1">
      <c r="A3680" s="2" t="s">
        <v>8463</v>
      </c>
      <c r="B3680" s="2" t="s">
        <v>8464</v>
      </c>
      <c r="C3680" s="2" t="s">
        <v>38</v>
      </c>
      <c r="D3680" s="2" t="s">
        <v>314</v>
      </c>
      <c r="E3680" s="5">
        <v>-31341</v>
      </c>
      <c r="F3680" s="3" t="s">
        <v>354</v>
      </c>
      <c r="G3680" s="3" t="s">
        <v>107</v>
      </c>
      <c r="H3680" s="2" t="s">
        <v>62</v>
      </c>
      <c r="I3680" s="2" t="s">
        <v>8468</v>
      </c>
      <c r="J3680" s="3" t="str">
        <f>HYPERLINK("https://www.boe.es/gazeta/dias/1814/03/10/pdfs/GRE-1814-34E.pdf#page=1","Abrir facsímil")</f>
        <v>Abrir facsímil</v>
      </c>
      <c r="K3680" s="3" t="s">
        <v>64</v>
      </c>
    </row>
    <row r="3681" spans="1:11" ht="42" customHeight="1">
      <c r="A3681" s="2" t="s">
        <v>8463</v>
      </c>
      <c r="B3681" s="2" t="s">
        <v>8464</v>
      </c>
      <c r="C3681" s="2" t="s">
        <v>38</v>
      </c>
      <c r="D3681" s="2" t="s">
        <v>39</v>
      </c>
      <c r="E3681" s="5">
        <v>-31103</v>
      </c>
      <c r="F3681" s="3" t="s">
        <v>1260</v>
      </c>
      <c r="G3681" s="3" t="s">
        <v>20</v>
      </c>
      <c r="H3681" s="2" t="s">
        <v>62</v>
      </c>
      <c r="I3681" s="2" t="s">
        <v>8469</v>
      </c>
      <c r="J3681" s="3" t="str">
        <f>HYPERLINK("https://www.boe.es/gazeta/dias/1814/11/03/pdfs/GMD-1814-147.pdf#page=7","Abrir facsímil")</f>
        <v>Abrir facsímil</v>
      </c>
      <c r="K3681" s="3" t="s">
        <v>64</v>
      </c>
    </row>
    <row r="3682" spans="1:11" ht="42" customHeight="1">
      <c r="A3682" s="2" t="s">
        <v>8463</v>
      </c>
      <c r="B3682" s="2" t="s">
        <v>8464</v>
      </c>
      <c r="C3682" s="2" t="s">
        <v>38</v>
      </c>
      <c r="D3682" s="2" t="s">
        <v>39</v>
      </c>
      <c r="E3682" s="5">
        <v>-31098</v>
      </c>
      <c r="F3682" s="3" t="s">
        <v>290</v>
      </c>
      <c r="G3682" s="3" t="s">
        <v>57</v>
      </c>
      <c r="H3682" s="2" t="s">
        <v>62</v>
      </c>
      <c r="I3682" s="2" t="s">
        <v>8470</v>
      </c>
      <c r="J3682" s="3" t="str">
        <f>HYPERLINK("https://www.boe.es/gazeta/dias/1814/11/08/pdfs/GMD-1814-149.pdf#page=6","Abrir facsímil")</f>
        <v>Abrir facsímil</v>
      </c>
      <c r="K3682" s="3" t="s">
        <v>64</v>
      </c>
    </row>
    <row r="3683" spans="1:11" ht="42" customHeight="1">
      <c r="A3683" s="2" t="s">
        <v>8463</v>
      </c>
      <c r="B3683" s="2" t="s">
        <v>8464</v>
      </c>
      <c r="C3683" s="2" t="s">
        <v>26</v>
      </c>
      <c r="D3683" s="2" t="s">
        <v>27</v>
      </c>
      <c r="E3683" s="5">
        <v>-31073</v>
      </c>
      <c r="F3683" s="3" t="s">
        <v>3052</v>
      </c>
      <c r="G3683" s="3" t="s">
        <v>20</v>
      </c>
      <c r="H3683" s="2" t="s">
        <v>62</v>
      </c>
      <c r="I3683" s="2" t="s">
        <v>8471</v>
      </c>
      <c r="J3683" s="3" t="str">
        <f>HYPERLINK("https://www.boe.es/gazeta/dias/1814/12/03/pdfs/GMD-1814-160.pdf#page=7","Abrir facsímil")</f>
        <v>Abrir facsímil</v>
      </c>
      <c r="K3683" s="3" t="s">
        <v>64</v>
      </c>
    </row>
    <row r="3684" spans="1:11" ht="42" customHeight="1">
      <c r="A3684" s="2" t="s">
        <v>8472</v>
      </c>
      <c r="B3684" s="2" t="s">
        <v>8473</v>
      </c>
      <c r="C3684" s="2" t="s">
        <v>38</v>
      </c>
      <c r="D3684" s="2" t="s">
        <v>39</v>
      </c>
      <c r="E3684" s="5">
        <v>-31166</v>
      </c>
      <c r="F3684" s="3" t="s">
        <v>2799</v>
      </c>
      <c r="G3684" s="3" t="s">
        <v>107</v>
      </c>
      <c r="H3684" s="2" t="s">
        <v>21</v>
      </c>
      <c r="I3684" s="2" t="s">
        <v>8474</v>
      </c>
      <c r="J3684" s="3" t="str">
        <f>HYPERLINK("https://www.boe.es/gazeta/dias/1814/09/01/pdfs/GMD-1814-119.pdf#page=1","Abrir facsímil")</f>
        <v>Abrir facsímil</v>
      </c>
      <c r="K3684" s="3" t="s">
        <v>23</v>
      </c>
    </row>
    <row r="3685" spans="1:11" ht="42" customHeight="1">
      <c r="A3685" s="2" t="s">
        <v>8475</v>
      </c>
      <c r="B3685" s="2" t="s">
        <v>8476</v>
      </c>
      <c r="C3685" s="2" t="s">
        <v>38</v>
      </c>
      <c r="D3685" s="2" t="s">
        <v>39</v>
      </c>
      <c r="E3685" s="5">
        <v>-31203</v>
      </c>
      <c r="F3685" s="3" t="s">
        <v>512</v>
      </c>
      <c r="G3685" s="3" t="s">
        <v>99</v>
      </c>
      <c r="H3685" s="2" t="s">
        <v>62</v>
      </c>
      <c r="I3685" s="2" t="s">
        <v>8477</v>
      </c>
      <c r="J3685" s="3" t="str">
        <f>HYPERLINK("https://www.boe.es/gazeta/dias/1814/07/26/pdfs/GMD-1814-103.pdf#page=5","Abrir facsímil")</f>
        <v>Abrir facsímil</v>
      </c>
      <c r="K3685" s="3" t="s">
        <v>64</v>
      </c>
    </row>
    <row r="3686" spans="1:11" ht="42" customHeight="1">
      <c r="A3686" s="2" t="s">
        <v>8478</v>
      </c>
      <c r="B3686" s="2" t="s">
        <v>8479</v>
      </c>
      <c r="C3686" s="2" t="s">
        <v>38</v>
      </c>
      <c r="D3686" s="2" t="s">
        <v>39</v>
      </c>
      <c r="E3686" s="5">
        <v>-31206</v>
      </c>
      <c r="F3686" s="3" t="s">
        <v>1196</v>
      </c>
      <c r="G3686" s="3" t="s">
        <v>41</v>
      </c>
      <c r="H3686" s="2" t="s">
        <v>62</v>
      </c>
      <c r="I3686" s="2" t="s">
        <v>8480</v>
      </c>
      <c r="J3686" s="3" t="str">
        <f>HYPERLINK("https://www.boe.es/gazeta/dias/1814/07/23/pdfs/GMD-1814-102.pdf#page=4","Abrir facsímil")</f>
        <v>Abrir facsímil</v>
      </c>
      <c r="K3686" s="3" t="s">
        <v>64</v>
      </c>
    </row>
    <row r="3687" spans="1:11" ht="42" customHeight="1">
      <c r="A3687" s="2" t="s">
        <v>8481</v>
      </c>
      <c r="B3687" s="2" t="s">
        <v>8482</v>
      </c>
      <c r="C3687" s="2" t="s">
        <v>32</v>
      </c>
      <c r="D3687" s="2" t="s">
        <v>18</v>
      </c>
      <c r="E3687" s="5">
        <v>-31059</v>
      </c>
      <c r="F3687" s="3" t="s">
        <v>263</v>
      </c>
      <c r="G3687" s="3" t="s">
        <v>264</v>
      </c>
      <c r="H3687" s="2" t="s">
        <v>62</v>
      </c>
      <c r="I3687" s="2" t="s">
        <v>8483</v>
      </c>
      <c r="J3687" s="3" t="str">
        <f>HYPERLINK("https://www.boe.es/gazeta/dias/1814/12/17/pdfs/GMD-1814-167.pdf#page=7","Abrir facsímil")</f>
        <v>Abrir facsímil</v>
      </c>
      <c r="K3687" s="3" t="s">
        <v>64</v>
      </c>
    </row>
    <row r="3688" spans="1:11" ht="42" customHeight="1">
      <c r="A3688" s="2" t="s">
        <v>8484</v>
      </c>
      <c r="B3688" s="2" t="s">
        <v>8485</v>
      </c>
      <c r="C3688" s="2" t="s">
        <v>38</v>
      </c>
      <c r="D3688" s="2" t="s">
        <v>39</v>
      </c>
      <c r="E3688" s="5">
        <v>-31364</v>
      </c>
      <c r="F3688" s="3" t="s">
        <v>594</v>
      </c>
      <c r="G3688" s="3" t="s">
        <v>57</v>
      </c>
      <c r="H3688" s="2" t="s">
        <v>62</v>
      </c>
      <c r="I3688" s="2" t="s">
        <v>8486</v>
      </c>
      <c r="J3688" s="3" t="str">
        <f>HYPERLINK("https://www.boe.es/gazeta/dias/1814/02/15/pdfs/GRE-1814-21.pdf#page=6","Abrir facsímil")</f>
        <v>Abrir facsímil</v>
      </c>
      <c r="K3688" s="3" t="s">
        <v>64</v>
      </c>
    </row>
    <row r="3689" spans="1:11" ht="42" customHeight="1">
      <c r="A3689" s="2" t="s">
        <v>8487</v>
      </c>
      <c r="B3689" s="2" t="s">
        <v>8488</v>
      </c>
      <c r="C3689" s="2" t="s">
        <v>32</v>
      </c>
      <c r="D3689" s="2" t="s">
        <v>18</v>
      </c>
      <c r="E3689" s="5">
        <v>-31383</v>
      </c>
      <c r="F3689" s="3" t="s">
        <v>715</v>
      </c>
      <c r="G3689" s="3" t="s">
        <v>99</v>
      </c>
      <c r="H3689" s="2" t="s">
        <v>62</v>
      </c>
      <c r="I3689" s="2" t="s">
        <v>8489</v>
      </c>
      <c r="J3689" s="3" t="str">
        <f>HYPERLINK("https://www.boe.es/gazeta/dias/1814/01/27/pdfs/GRE-1814-13.pdf#page=5","Abrir facsímil")</f>
        <v>Abrir facsímil</v>
      </c>
      <c r="K3689" s="3" t="s">
        <v>64</v>
      </c>
    </row>
    <row r="3690" spans="1:11" ht="42" customHeight="1">
      <c r="A3690" s="2" t="s">
        <v>8490</v>
      </c>
      <c r="B3690" s="2" t="s">
        <v>8491</v>
      </c>
      <c r="C3690" s="2" t="s">
        <v>26</v>
      </c>
      <c r="D3690" s="2" t="s">
        <v>27</v>
      </c>
      <c r="E3690" s="5">
        <v>-31080</v>
      </c>
      <c r="F3690" s="3" t="s">
        <v>286</v>
      </c>
      <c r="G3690" s="3" t="s">
        <v>677</v>
      </c>
      <c r="H3690" s="2" t="s">
        <v>62</v>
      </c>
      <c r="I3690" s="2" t="s">
        <v>8492</v>
      </c>
      <c r="J3690" s="3" t="str">
        <f>HYPERLINK("https://www.boe.es/gazeta/dias/1814/11/26/pdfs/GMD-1814-157.pdf#page=7","Abrir facsímil")</f>
        <v>Abrir facsímil</v>
      </c>
      <c r="K3690" s="3" t="s">
        <v>64</v>
      </c>
    </row>
    <row r="3691" spans="1:11" ht="42" customHeight="1">
      <c r="A3691" s="2" t="s">
        <v>8493</v>
      </c>
      <c r="B3691" s="2" t="s">
        <v>8493</v>
      </c>
      <c r="C3691" s="2" t="s">
        <v>38</v>
      </c>
      <c r="D3691" s="2" t="s">
        <v>39</v>
      </c>
      <c r="E3691" s="5">
        <v>-31301</v>
      </c>
      <c r="F3691" s="3" t="s">
        <v>81</v>
      </c>
      <c r="G3691" s="3" t="s">
        <v>82</v>
      </c>
      <c r="H3691" s="2" t="s">
        <v>62</v>
      </c>
      <c r="I3691" s="2" t="s">
        <v>8494</v>
      </c>
      <c r="J3691" s="3" t="str">
        <f>HYPERLINK("https://www.boe.es/gazeta/dias/1814/04/19/pdfs/GRE-1814-56.pdf#page=3","Abrir facsímil")</f>
        <v>Abrir facsímil</v>
      </c>
      <c r="K3691" s="3" t="s">
        <v>64</v>
      </c>
    </row>
    <row r="3692" spans="1:11" ht="42" customHeight="1">
      <c r="A3692" s="2" t="s">
        <v>8493</v>
      </c>
      <c r="B3692" s="2" t="s">
        <v>8493</v>
      </c>
      <c r="C3692" s="2" t="s">
        <v>38</v>
      </c>
      <c r="D3692" s="2" t="s">
        <v>39</v>
      </c>
      <c r="E3692" s="5">
        <v>-31301</v>
      </c>
      <c r="F3692" s="3" t="s">
        <v>81</v>
      </c>
      <c r="G3692" s="3" t="s">
        <v>41</v>
      </c>
      <c r="H3692" s="2" t="s">
        <v>62</v>
      </c>
      <c r="I3692" s="2" t="s">
        <v>8495</v>
      </c>
      <c r="J3692" s="3" t="str">
        <f>HYPERLINK("https://www.boe.es/gazeta/dias/1814/04/19/pdfs/GRE-1814-56.pdf#page=4","Abrir facsímil")</f>
        <v>Abrir facsímil</v>
      </c>
      <c r="K3692" s="3" t="s">
        <v>64</v>
      </c>
    </row>
    <row r="3693" spans="1:11" ht="42" customHeight="1">
      <c r="A3693" s="2" t="s">
        <v>8496</v>
      </c>
      <c r="B3693" s="2" t="s">
        <v>8497</v>
      </c>
      <c r="C3693" s="2" t="s">
        <v>38</v>
      </c>
      <c r="D3693" s="2" t="s">
        <v>314</v>
      </c>
      <c r="E3693" s="5">
        <v>-31296</v>
      </c>
      <c r="F3693" s="3" t="s">
        <v>315</v>
      </c>
      <c r="G3693" s="3" t="s">
        <v>52</v>
      </c>
      <c r="H3693" s="2" t="s">
        <v>62</v>
      </c>
      <c r="I3693" s="2" t="s">
        <v>8498</v>
      </c>
      <c r="J3693" s="3" t="str">
        <f>HYPERLINK("https://www.boe.es/gazeta/dias/1814/04/24/pdfs/GRE-1814-60E.pdf#page=8","Abrir facsímil")</f>
        <v>Abrir facsímil</v>
      </c>
      <c r="K3693" s="3" t="s">
        <v>64</v>
      </c>
    </row>
    <row r="3694" spans="1:11" ht="42" customHeight="1">
      <c r="A3694" s="2" t="s">
        <v>8499</v>
      </c>
      <c r="B3694" s="2" t="s">
        <v>8499</v>
      </c>
      <c r="C3694" s="2" t="s">
        <v>38</v>
      </c>
      <c r="D3694" s="2" t="s">
        <v>39</v>
      </c>
      <c r="E3694" s="5">
        <v>-31364</v>
      </c>
      <c r="F3694" s="3" t="s">
        <v>594</v>
      </c>
      <c r="G3694" s="3" t="s">
        <v>82</v>
      </c>
      <c r="H3694" s="2" t="s">
        <v>62</v>
      </c>
      <c r="I3694" s="2" t="s">
        <v>8500</v>
      </c>
      <c r="J3694" s="3" t="str">
        <f>HYPERLINK("https://www.boe.es/gazeta/dias/1814/02/15/pdfs/GRE-1814-21.pdf#page=3","Abrir facsímil")</f>
        <v>Abrir facsímil</v>
      </c>
      <c r="K3694" s="3" t="s">
        <v>64</v>
      </c>
    </row>
    <row r="3695" spans="1:11" ht="42" customHeight="1">
      <c r="A3695" s="2" t="s">
        <v>8501</v>
      </c>
      <c r="B3695" s="2" t="s">
        <v>8501</v>
      </c>
      <c r="C3695" s="2" t="s">
        <v>38</v>
      </c>
      <c r="D3695" s="2" t="s">
        <v>39</v>
      </c>
      <c r="E3695" s="5">
        <v>-31371</v>
      </c>
      <c r="F3695" s="3" t="s">
        <v>476</v>
      </c>
      <c r="G3695" s="3" t="s">
        <v>99</v>
      </c>
      <c r="H3695" s="2" t="s">
        <v>62</v>
      </c>
      <c r="I3695" s="2" t="s">
        <v>8502</v>
      </c>
      <c r="J3695" s="3" t="str">
        <f>HYPERLINK("https://www.boe.es/gazeta/dias/1814/02/08/pdfs/GRE-1814-31.pdf#page=5","Abrir facsímil")</f>
        <v>Abrir facsímil</v>
      </c>
      <c r="K3695" s="3" t="s">
        <v>64</v>
      </c>
    </row>
    <row r="3696" spans="1:11" ht="42" customHeight="1">
      <c r="A3696" s="2" t="s">
        <v>8501</v>
      </c>
      <c r="B3696" s="2" t="s">
        <v>8501</v>
      </c>
      <c r="C3696" s="2" t="s">
        <v>38</v>
      </c>
      <c r="D3696" s="2" t="s">
        <v>39</v>
      </c>
      <c r="E3696" s="5">
        <v>-31367</v>
      </c>
      <c r="F3696" s="3" t="s">
        <v>857</v>
      </c>
      <c r="G3696" s="3" t="s">
        <v>82</v>
      </c>
      <c r="H3696" s="2" t="s">
        <v>62</v>
      </c>
      <c r="I3696" s="2" t="s">
        <v>8503</v>
      </c>
      <c r="J3696" s="3" t="str">
        <f>HYPERLINK("https://www.boe.es/gazeta/dias/1814/02/12/pdfs/GRE-1814-20.pdf#page=3","Abrir facsímil")</f>
        <v>Abrir facsímil</v>
      </c>
      <c r="K3696" s="3" t="s">
        <v>64</v>
      </c>
    </row>
    <row r="3697" spans="1:11" ht="42" customHeight="1">
      <c r="A3697" s="2" t="s">
        <v>8501</v>
      </c>
      <c r="B3697" s="2" t="s">
        <v>8501</v>
      </c>
      <c r="C3697" s="2" t="s">
        <v>38</v>
      </c>
      <c r="D3697" s="2" t="s">
        <v>39</v>
      </c>
      <c r="E3697" s="5">
        <v>-31343</v>
      </c>
      <c r="F3697" s="3" t="s">
        <v>476</v>
      </c>
      <c r="G3697" s="3" t="s">
        <v>99</v>
      </c>
      <c r="H3697" s="2" t="s">
        <v>62</v>
      </c>
      <c r="I3697" s="2" t="s">
        <v>8502</v>
      </c>
      <c r="J3697" s="3" t="str">
        <f>HYPERLINK("https://www.boe.es/gazeta/dias/1814/03/08/pdfs/GRE-1814-31.pdf#page=5","Abrir facsímil")</f>
        <v>Abrir facsímil</v>
      </c>
      <c r="K3697" s="3" t="s">
        <v>64</v>
      </c>
    </row>
    <row r="3698" spans="1:11" ht="42" customHeight="1">
      <c r="A3698" s="2" t="s">
        <v>8501</v>
      </c>
      <c r="B3698" s="2" t="s">
        <v>8501</v>
      </c>
      <c r="C3698" s="2" t="s">
        <v>38</v>
      </c>
      <c r="D3698" s="2" t="s">
        <v>39</v>
      </c>
      <c r="E3698" s="5">
        <v>-31327</v>
      </c>
      <c r="F3698" s="3" t="s">
        <v>180</v>
      </c>
      <c r="G3698" s="3" t="s">
        <v>99</v>
      </c>
      <c r="H3698" s="2" t="s">
        <v>62</v>
      </c>
      <c r="I3698" s="2" t="s">
        <v>8504</v>
      </c>
      <c r="J3698" s="3" t="str">
        <f>HYPERLINK("https://www.boe.es/gazeta/dias/1814/03/24/pdfs/GRE-1814-41.pdf#page=5","Abrir facsímil")</f>
        <v>Abrir facsímil</v>
      </c>
      <c r="K3698" s="3" t="s">
        <v>64</v>
      </c>
    </row>
    <row r="3699" spans="1:11" ht="42" customHeight="1">
      <c r="A3699" s="2" t="s">
        <v>8501</v>
      </c>
      <c r="B3699" s="2" t="s">
        <v>8501</v>
      </c>
      <c r="C3699" s="2" t="s">
        <v>38</v>
      </c>
      <c r="D3699" s="2" t="s">
        <v>39</v>
      </c>
      <c r="E3699" s="5">
        <v>-31322</v>
      </c>
      <c r="F3699" s="3" t="s">
        <v>114</v>
      </c>
      <c r="G3699" s="3" t="s">
        <v>99</v>
      </c>
      <c r="H3699" s="2" t="s">
        <v>62</v>
      </c>
      <c r="I3699" s="2" t="s">
        <v>8505</v>
      </c>
      <c r="J3699" s="3" t="str">
        <f>HYPERLINK("https://www.boe.es/gazeta/dias/1814/03/29/pdfs/GRE-1814-44.pdf#page=5","Abrir facsímil")</f>
        <v>Abrir facsímil</v>
      </c>
      <c r="K3699" s="3" t="s">
        <v>64</v>
      </c>
    </row>
    <row r="3700" spans="1:11" ht="42" customHeight="1">
      <c r="A3700" s="2" t="s">
        <v>8501</v>
      </c>
      <c r="B3700" s="2" t="s">
        <v>8501</v>
      </c>
      <c r="C3700" s="2" t="s">
        <v>309</v>
      </c>
      <c r="D3700" s="2" t="s">
        <v>18</v>
      </c>
      <c r="E3700" s="5">
        <v>-31271</v>
      </c>
      <c r="F3700" s="3" t="s">
        <v>243</v>
      </c>
      <c r="G3700" s="3" t="s">
        <v>87</v>
      </c>
      <c r="H3700" s="2" t="s">
        <v>62</v>
      </c>
      <c r="I3700" s="2" t="s">
        <v>8506</v>
      </c>
      <c r="J3700" s="3" t="str">
        <f>HYPERLINK("https://www.boe.es/gazeta/dias/1814/05/19/pdfs/GMD-1814-74.pdf#page=2","Abrir facsímil")</f>
        <v>Abrir facsímil</v>
      </c>
      <c r="K3700" s="3" t="s">
        <v>64</v>
      </c>
    </row>
    <row r="3701" spans="1:11" ht="42" customHeight="1">
      <c r="A3701" s="2" t="s">
        <v>8507</v>
      </c>
      <c r="B3701" s="2" t="s">
        <v>8508</v>
      </c>
      <c r="C3701" s="2" t="s">
        <v>38</v>
      </c>
      <c r="D3701" s="2" t="s">
        <v>39</v>
      </c>
      <c r="E3701" s="5">
        <v>-31404</v>
      </c>
      <c r="F3701" s="3" t="s">
        <v>630</v>
      </c>
      <c r="G3701" s="3" t="s">
        <v>52</v>
      </c>
      <c r="H3701" s="2" t="s">
        <v>62</v>
      </c>
      <c r="I3701" s="2" t="s">
        <v>8509</v>
      </c>
      <c r="J3701" s="3" t="str">
        <f>HYPERLINK("https://www.boe.es/gazeta/dias/1814/01/06/pdfs/GRE-1814-3.pdf#page=8","Abrir facsímil")</f>
        <v>Abrir facsímil</v>
      </c>
      <c r="K3701" s="3" t="s">
        <v>64</v>
      </c>
    </row>
    <row r="3702" spans="1:11" ht="42" customHeight="1">
      <c r="A3702" s="2" t="s">
        <v>8510</v>
      </c>
      <c r="B3702" s="2" t="s">
        <v>8511</v>
      </c>
      <c r="C3702" s="2" t="s">
        <v>38</v>
      </c>
      <c r="D3702" s="2" t="s">
        <v>39</v>
      </c>
      <c r="E3702" s="5">
        <v>-31089</v>
      </c>
      <c r="F3702" s="3" t="s">
        <v>531</v>
      </c>
      <c r="G3702" s="3" t="s">
        <v>57</v>
      </c>
      <c r="H3702" s="2" t="s">
        <v>21</v>
      </c>
      <c r="I3702" s="2" t="s">
        <v>8512</v>
      </c>
      <c r="J3702" s="3" t="str">
        <f>HYPERLINK("https://www.boe.es/gazeta/dias/1814/11/17/pdfs/GMD-1814-153.pdf#page=6","Abrir facsímil")</f>
        <v>Abrir facsímil</v>
      </c>
      <c r="K3702" s="3" t="s">
        <v>23</v>
      </c>
    </row>
    <row r="3703" spans="1:11" ht="42" customHeight="1">
      <c r="A3703" s="2" t="s">
        <v>8513</v>
      </c>
      <c r="B3703" s="2" t="s">
        <v>8514</v>
      </c>
      <c r="C3703" s="2" t="s">
        <v>38</v>
      </c>
      <c r="D3703" s="2" t="s">
        <v>39</v>
      </c>
      <c r="E3703" s="5">
        <v>-31238</v>
      </c>
      <c r="F3703" s="3" t="s">
        <v>127</v>
      </c>
      <c r="G3703" s="3" t="s">
        <v>322</v>
      </c>
      <c r="H3703" s="2" t="s">
        <v>62</v>
      </c>
      <c r="I3703" s="2" t="s">
        <v>8515</v>
      </c>
      <c r="J3703" s="3" t="str">
        <f>HYPERLINK("https://www.boe.es/gazeta/dias/1814/06/21/pdfs/GMD-1814-88.pdf#page=12","Abrir facsímil")</f>
        <v>Abrir facsímil</v>
      </c>
      <c r="K3703" s="3" t="s">
        <v>64</v>
      </c>
    </row>
    <row r="3704" spans="1:11" ht="42" customHeight="1">
      <c r="A3704" s="2" t="s">
        <v>8516</v>
      </c>
      <c r="B3704" s="2" t="s">
        <v>8517</v>
      </c>
      <c r="C3704" s="2" t="s">
        <v>38</v>
      </c>
      <c r="D3704" s="2" t="s">
        <v>39</v>
      </c>
      <c r="E3704" s="5">
        <v>-31220</v>
      </c>
      <c r="F3704" s="3" t="s">
        <v>122</v>
      </c>
      <c r="G3704" s="3" t="s">
        <v>57</v>
      </c>
      <c r="H3704" s="2" t="s">
        <v>62</v>
      </c>
      <c r="I3704" s="2" t="s">
        <v>8518</v>
      </c>
      <c r="J3704" s="3" t="str">
        <f>HYPERLINK("https://www.boe.es/gazeta/dias/1814/07/09/pdfs/GMD-1814-96.pdf#page=6","Abrir facsímil")</f>
        <v>Abrir facsímil</v>
      </c>
      <c r="K3704" s="3" t="s">
        <v>64</v>
      </c>
    </row>
    <row r="3705" spans="1:11" ht="42" customHeight="1">
      <c r="A3705" s="2" t="s">
        <v>8519</v>
      </c>
      <c r="B3705" s="2" t="s">
        <v>8520</v>
      </c>
      <c r="C3705" s="2" t="s">
        <v>26</v>
      </c>
      <c r="D3705" s="2" t="s">
        <v>27</v>
      </c>
      <c r="E3705" s="5">
        <v>-31124</v>
      </c>
      <c r="F3705" s="3" t="s">
        <v>383</v>
      </c>
      <c r="G3705" s="3" t="s">
        <v>384</v>
      </c>
      <c r="H3705" s="2" t="s">
        <v>62</v>
      </c>
      <c r="I3705" s="2" t="s">
        <v>8521</v>
      </c>
      <c r="J3705" s="3" t="str">
        <f>HYPERLINK("https://www.boe.es/gazeta/dias/1814/10/13/pdfs/GMD-1814-138.pdf#page=11","Abrir facsímil")</f>
        <v>Abrir facsímil</v>
      </c>
      <c r="K3705" s="3" t="s">
        <v>64</v>
      </c>
    </row>
    <row r="3706" spans="1:11" ht="42" customHeight="1">
      <c r="A3706" s="2" t="s">
        <v>8522</v>
      </c>
      <c r="B3706" s="2" t="s">
        <v>8523</v>
      </c>
      <c r="C3706" s="2" t="s">
        <v>17</v>
      </c>
      <c r="D3706" s="2" t="s">
        <v>18</v>
      </c>
      <c r="E3706" s="5">
        <v>-31119</v>
      </c>
      <c r="F3706" s="3" t="s">
        <v>136</v>
      </c>
      <c r="G3706" s="3" t="s">
        <v>137</v>
      </c>
      <c r="H3706" s="2" t="s">
        <v>21</v>
      </c>
      <c r="I3706" s="2" t="s">
        <v>8524</v>
      </c>
      <c r="J3706" s="3" t="str">
        <f>HYPERLINK("https://www.boe.es/gazeta/dias/1814/10/18/pdfs/GMD-1814-140.pdf#page=9","Abrir facsímil")</f>
        <v>Abrir facsímil</v>
      </c>
      <c r="K3706" s="3" t="s">
        <v>23</v>
      </c>
    </row>
    <row r="3707" spans="1:11" ht="42" customHeight="1">
      <c r="A3707" s="2" t="s">
        <v>8525</v>
      </c>
      <c r="B3707" s="2" t="s">
        <v>8526</v>
      </c>
      <c r="C3707" s="2" t="s">
        <v>38</v>
      </c>
      <c r="D3707" s="2" t="s">
        <v>39</v>
      </c>
      <c r="E3707" s="5">
        <v>-31206</v>
      </c>
      <c r="F3707" s="3" t="s">
        <v>1196</v>
      </c>
      <c r="G3707" s="3" t="s">
        <v>3331</v>
      </c>
      <c r="H3707" s="2" t="s">
        <v>62</v>
      </c>
      <c r="I3707" s="2" t="s">
        <v>8527</v>
      </c>
      <c r="J3707" s="3" t="str">
        <f>HYPERLINK("https://www.boe.es/gazeta/dias/1814/07/23/pdfs/GMD-1814-102.pdf#page=6","Abrir facsímil")</f>
        <v>Abrir facsímil</v>
      </c>
      <c r="K3707" s="3" t="s">
        <v>64</v>
      </c>
    </row>
    <row r="3708" spans="1:11" ht="42" customHeight="1">
      <c r="A3708" s="2" t="s">
        <v>8528</v>
      </c>
      <c r="B3708" s="2" t="s">
        <v>8529</v>
      </c>
      <c r="C3708" s="2" t="s">
        <v>38</v>
      </c>
      <c r="D3708" s="2" t="s">
        <v>39</v>
      </c>
      <c r="E3708" s="5">
        <v>-31054</v>
      </c>
      <c r="F3708" s="3" t="s">
        <v>952</v>
      </c>
      <c r="G3708" s="3" t="s">
        <v>52</v>
      </c>
      <c r="H3708" s="2" t="s">
        <v>62</v>
      </c>
      <c r="I3708" s="2" t="s">
        <v>8530</v>
      </c>
      <c r="J3708" s="3" t="str">
        <f>HYPERLINK("https://www.boe.es/gazeta/dias/1814/12/22/pdfs/GMD-1814-169.pdf#page=8","Abrir facsímil")</f>
        <v>Abrir facsímil</v>
      </c>
      <c r="K3708" s="3" t="s">
        <v>64</v>
      </c>
    </row>
    <row r="3709" spans="1:11" ht="42" customHeight="1">
      <c r="A3709" s="2" t="s">
        <v>8531</v>
      </c>
      <c r="B3709" s="2" t="s">
        <v>8532</v>
      </c>
      <c r="C3709" s="2" t="s">
        <v>38</v>
      </c>
      <c r="D3709" s="2" t="s">
        <v>39</v>
      </c>
      <c r="E3709" s="5">
        <v>-31049</v>
      </c>
      <c r="F3709" s="3" t="s">
        <v>542</v>
      </c>
      <c r="G3709" s="3" t="s">
        <v>99</v>
      </c>
      <c r="H3709" s="2" t="s">
        <v>62</v>
      </c>
      <c r="I3709" s="2" t="s">
        <v>8533</v>
      </c>
      <c r="J3709" s="3" t="str">
        <f>HYPERLINK("https://www.boe.es/gazeta/dias/1814/12/27/pdfs/GMD-1814-171.pdf#page=5","Abrir facsímil")</f>
        <v>Abrir facsímil</v>
      </c>
      <c r="K3709" s="3" t="s">
        <v>64</v>
      </c>
    </row>
    <row r="3710" spans="1:11" ht="42" customHeight="1">
      <c r="A3710" s="2" t="s">
        <v>8534</v>
      </c>
      <c r="B3710" s="2" t="s">
        <v>8535</v>
      </c>
      <c r="C3710" s="2" t="s">
        <v>144</v>
      </c>
      <c r="D3710" s="2" t="s">
        <v>18</v>
      </c>
      <c r="E3710" s="5">
        <v>-31264</v>
      </c>
      <c r="F3710" s="3" t="s">
        <v>396</v>
      </c>
      <c r="G3710" s="3" t="s">
        <v>57</v>
      </c>
      <c r="H3710" s="2" t="s">
        <v>21</v>
      </c>
      <c r="I3710" s="2" t="s">
        <v>8536</v>
      </c>
      <c r="J3710" s="3" t="str">
        <f>HYPERLINK("https://www.boe.es/gazeta/dias/1814/05/26/pdfs/GMD-1814-77.pdf#page=6","Abrir facsímil")</f>
        <v>Abrir facsímil</v>
      </c>
      <c r="K3710" s="3" t="s">
        <v>23</v>
      </c>
    </row>
    <row r="3711" spans="1:11" ht="42" customHeight="1">
      <c r="A3711" s="2" t="s">
        <v>8537</v>
      </c>
      <c r="B3711" s="2" t="s">
        <v>8538</v>
      </c>
      <c r="C3711" s="2" t="s">
        <v>38</v>
      </c>
      <c r="D3711" s="2" t="s">
        <v>39</v>
      </c>
      <c r="E3711" s="5">
        <v>-31049</v>
      </c>
      <c r="F3711" s="3" t="s">
        <v>542</v>
      </c>
      <c r="G3711" s="3" t="s">
        <v>41</v>
      </c>
      <c r="H3711" s="2" t="s">
        <v>62</v>
      </c>
      <c r="I3711" s="2" t="s">
        <v>8539</v>
      </c>
      <c r="J3711" s="3" t="str">
        <f>HYPERLINK("https://www.boe.es/gazeta/dias/1814/12/27/pdfs/GMD-1814-171.pdf#page=4","Abrir facsímil")</f>
        <v>Abrir facsímil</v>
      </c>
      <c r="K3711" s="3" t="s">
        <v>64</v>
      </c>
    </row>
    <row r="3712" spans="1:11" ht="42" customHeight="1">
      <c r="A3712" s="2" t="s">
        <v>8540</v>
      </c>
      <c r="B3712" s="2" t="s">
        <v>8541</v>
      </c>
      <c r="C3712" s="2" t="s">
        <v>38</v>
      </c>
      <c r="D3712" s="2" t="s">
        <v>39</v>
      </c>
      <c r="E3712" s="5">
        <v>-31103</v>
      </c>
      <c r="F3712" s="3" t="s">
        <v>1260</v>
      </c>
      <c r="G3712" s="3" t="s">
        <v>20</v>
      </c>
      <c r="H3712" s="2" t="s">
        <v>62</v>
      </c>
      <c r="I3712" s="2" t="s">
        <v>8542</v>
      </c>
      <c r="J3712" s="3" t="str">
        <f>HYPERLINK("https://www.boe.es/gazeta/dias/1814/11/03/pdfs/GMD-1814-147.pdf#page=7","Abrir facsímil")</f>
        <v>Abrir facsímil</v>
      </c>
      <c r="K3712" s="3" t="s">
        <v>64</v>
      </c>
    </row>
    <row r="3713" spans="1:11" ht="42" customHeight="1">
      <c r="A3713" s="2" t="s">
        <v>8543</v>
      </c>
      <c r="B3713" s="2" t="s">
        <v>8544</v>
      </c>
      <c r="C3713" s="2" t="s">
        <v>26</v>
      </c>
      <c r="D3713" s="2" t="s">
        <v>27</v>
      </c>
      <c r="E3713" s="5">
        <v>-31360</v>
      </c>
      <c r="F3713" s="3" t="s">
        <v>480</v>
      </c>
      <c r="G3713" s="3" t="s">
        <v>52</v>
      </c>
      <c r="H3713" s="2" t="s">
        <v>62</v>
      </c>
      <c r="I3713" s="2" t="s">
        <v>8545</v>
      </c>
      <c r="J3713" s="3" t="str">
        <f>HYPERLINK("https://www.boe.es/gazeta/dias/1814/02/19/pdfs/GRE-1814-23.pdf#page=8","Abrir facsímil")</f>
        <v>Abrir facsímil</v>
      </c>
      <c r="K3713" s="3" t="s">
        <v>64</v>
      </c>
    </row>
    <row r="3714" spans="1:11" ht="42" customHeight="1">
      <c r="A3714" s="2" t="s">
        <v>8543</v>
      </c>
      <c r="B3714" s="2" t="s">
        <v>8544</v>
      </c>
      <c r="C3714" s="2" t="s">
        <v>26</v>
      </c>
      <c r="D3714" s="2" t="s">
        <v>27</v>
      </c>
      <c r="E3714" s="5">
        <v>-31262</v>
      </c>
      <c r="F3714" s="3" t="s">
        <v>254</v>
      </c>
      <c r="G3714" s="3" t="s">
        <v>99</v>
      </c>
      <c r="H3714" s="2" t="s">
        <v>62</v>
      </c>
      <c r="I3714" s="2" t="s">
        <v>8546</v>
      </c>
      <c r="J3714" s="3" t="str">
        <f>HYPERLINK("https://www.boe.es/gazeta/dias/1814/05/28/pdfs/GMD-1814-78.pdf#page=5","Abrir facsímil")</f>
        <v>Abrir facsímil</v>
      </c>
      <c r="K3714" s="3" t="s">
        <v>64</v>
      </c>
    </row>
    <row r="3715" spans="1:11" ht="42" customHeight="1">
      <c r="A3715" s="2" t="s">
        <v>8547</v>
      </c>
      <c r="B3715" s="2" t="s">
        <v>8548</v>
      </c>
      <c r="C3715" s="2" t="s">
        <v>26</v>
      </c>
      <c r="D3715" s="2" t="s">
        <v>27</v>
      </c>
      <c r="E3715" s="5">
        <v>-31250</v>
      </c>
      <c r="F3715" s="3" t="s">
        <v>177</v>
      </c>
      <c r="G3715" s="3" t="s">
        <v>52</v>
      </c>
      <c r="H3715" s="2" t="s">
        <v>62</v>
      </c>
      <c r="I3715" s="2" t="s">
        <v>8549</v>
      </c>
      <c r="J3715" s="3" t="str">
        <f>HYPERLINK("https://www.boe.es/gazeta/dias/1814/06/09/pdfs/GMD-1814-83.pdf#page=8","Abrir facsímil")</f>
        <v>Abrir facsímil</v>
      </c>
      <c r="K3715" s="3" t="s">
        <v>64</v>
      </c>
    </row>
    <row r="3716" spans="1:11" ht="42" customHeight="1">
      <c r="A3716" s="2" t="s">
        <v>8543</v>
      </c>
      <c r="B3716" s="2" t="s">
        <v>8544</v>
      </c>
      <c r="C3716" s="2" t="s">
        <v>17</v>
      </c>
      <c r="D3716" s="2" t="s">
        <v>18</v>
      </c>
      <c r="E3716" s="5">
        <v>-31224</v>
      </c>
      <c r="F3716" s="3" t="s">
        <v>609</v>
      </c>
      <c r="G3716" s="3" t="s">
        <v>322</v>
      </c>
      <c r="H3716" s="2" t="s">
        <v>62</v>
      </c>
      <c r="I3716" s="2" t="s">
        <v>8550</v>
      </c>
      <c r="J3716" s="3" t="str">
        <f>HYPERLINK("https://www.boe.es/gazeta/dias/1814/07/05/pdfs/GMD-1814-94.pdf#page=12","Abrir facsímil")</f>
        <v>Abrir facsímil</v>
      </c>
      <c r="K3716" s="3" t="s">
        <v>64</v>
      </c>
    </row>
    <row r="3717" spans="1:11" ht="42" customHeight="1">
      <c r="A3717" s="2" t="s">
        <v>8543</v>
      </c>
      <c r="B3717" s="2" t="s">
        <v>8544</v>
      </c>
      <c r="C3717" s="2" t="s">
        <v>38</v>
      </c>
      <c r="D3717" s="2" t="s">
        <v>39</v>
      </c>
      <c r="E3717" s="5">
        <v>-31157</v>
      </c>
      <c r="F3717" s="3" t="s">
        <v>206</v>
      </c>
      <c r="G3717" s="3" t="s">
        <v>1072</v>
      </c>
      <c r="H3717" s="2" t="s">
        <v>62</v>
      </c>
      <c r="I3717" s="2" t="s">
        <v>8551</v>
      </c>
      <c r="J3717" s="3" t="str">
        <f>HYPERLINK("https://www.boe.es/gazeta/dias/1814/09/10/pdfs/GMD-1814-124.pdf#page=7","Abrir facsímil")</f>
        <v>Abrir facsímil</v>
      </c>
      <c r="K3717" s="3" t="s">
        <v>64</v>
      </c>
    </row>
    <row r="3718" spans="1:11" ht="42" customHeight="1">
      <c r="A3718" s="2" t="s">
        <v>8543</v>
      </c>
      <c r="B3718" s="2" t="s">
        <v>8544</v>
      </c>
      <c r="C3718" s="2" t="s">
        <v>26</v>
      </c>
      <c r="D3718" s="2" t="s">
        <v>27</v>
      </c>
      <c r="E3718" s="5">
        <v>-31157</v>
      </c>
      <c r="F3718" s="3" t="s">
        <v>206</v>
      </c>
      <c r="G3718" s="3" t="s">
        <v>52</v>
      </c>
      <c r="H3718" s="2" t="s">
        <v>62</v>
      </c>
      <c r="I3718" s="2" t="s">
        <v>8552</v>
      </c>
      <c r="J3718" s="3" t="str">
        <f>HYPERLINK("https://www.boe.es/gazeta/dias/1814/09/10/pdfs/GMD-1814-124.pdf#page=8","Abrir facsímil")</f>
        <v>Abrir facsímil</v>
      </c>
      <c r="K3718" s="3" t="s">
        <v>64</v>
      </c>
    </row>
    <row r="3719" spans="1:11" ht="42" customHeight="1">
      <c r="A3719" s="2" t="s">
        <v>8553</v>
      </c>
      <c r="B3719" s="2" t="s">
        <v>8554</v>
      </c>
      <c r="C3719" s="2" t="s">
        <v>26</v>
      </c>
      <c r="D3719" s="2" t="s">
        <v>27</v>
      </c>
      <c r="E3719" s="5">
        <v>-31138</v>
      </c>
      <c r="F3719" s="3" t="s">
        <v>1363</v>
      </c>
      <c r="G3719" s="3" t="s">
        <v>1364</v>
      </c>
      <c r="H3719" s="2" t="s">
        <v>62</v>
      </c>
      <c r="I3719" s="2" t="s">
        <v>8555</v>
      </c>
      <c r="J3719" s="3" t="str">
        <f>HYPERLINK("https://www.boe.es/gazeta/dias/1814/09/29/pdfs/GMD-1814-132.pdf#page=7","Abrir facsímil")</f>
        <v>Abrir facsímil</v>
      </c>
      <c r="K3719" s="3" t="s">
        <v>64</v>
      </c>
    </row>
    <row r="3720" spans="1:11" ht="42" customHeight="1">
      <c r="A3720" s="2" t="s">
        <v>8543</v>
      </c>
      <c r="B3720" s="2" t="s">
        <v>8544</v>
      </c>
      <c r="C3720" s="2" t="s">
        <v>26</v>
      </c>
      <c r="D3720" s="2" t="s">
        <v>27</v>
      </c>
      <c r="E3720" s="5">
        <v>-31124</v>
      </c>
      <c r="F3720" s="3" t="s">
        <v>383</v>
      </c>
      <c r="G3720" s="3" t="s">
        <v>841</v>
      </c>
      <c r="H3720" s="2" t="s">
        <v>62</v>
      </c>
      <c r="I3720" s="2" t="s">
        <v>8556</v>
      </c>
      <c r="J3720" s="3" t="str">
        <f>HYPERLINK("https://www.boe.es/gazeta/dias/1814/10/13/pdfs/GMD-1814-138.pdf#page=9","Abrir facsímil")</f>
        <v>Abrir facsímil</v>
      </c>
      <c r="K3720" s="3" t="s">
        <v>64</v>
      </c>
    </row>
    <row r="3721" spans="1:11" ht="42" customHeight="1">
      <c r="A3721" s="2" t="s">
        <v>8543</v>
      </c>
      <c r="B3721" s="2" t="s">
        <v>8544</v>
      </c>
      <c r="C3721" s="2" t="s">
        <v>26</v>
      </c>
      <c r="D3721" s="2" t="s">
        <v>27</v>
      </c>
      <c r="E3721" s="5">
        <v>-31119</v>
      </c>
      <c r="F3721" s="3" t="s">
        <v>136</v>
      </c>
      <c r="G3721" s="3" t="s">
        <v>20</v>
      </c>
      <c r="H3721" s="2" t="s">
        <v>62</v>
      </c>
      <c r="I3721" s="2" t="s">
        <v>8557</v>
      </c>
      <c r="J3721" s="3" t="str">
        <f>HYPERLINK("https://www.boe.es/gazeta/dias/1814/10/18/pdfs/GMD-1814-140.pdf#page=7","Abrir facsímil")</f>
        <v>Abrir facsímil</v>
      </c>
      <c r="K3721" s="3" t="s">
        <v>64</v>
      </c>
    </row>
    <row r="3722" spans="1:11" ht="42" customHeight="1">
      <c r="A3722" s="2" t="s">
        <v>8543</v>
      </c>
      <c r="B3722" s="2" t="s">
        <v>8544</v>
      </c>
      <c r="C3722" s="2" t="s">
        <v>26</v>
      </c>
      <c r="D3722" s="2" t="s">
        <v>27</v>
      </c>
      <c r="E3722" s="5">
        <v>-31096</v>
      </c>
      <c r="F3722" s="3" t="s">
        <v>223</v>
      </c>
      <c r="G3722" s="3" t="s">
        <v>57</v>
      </c>
      <c r="H3722" s="2" t="s">
        <v>62</v>
      </c>
      <c r="I3722" s="2" t="s">
        <v>8558</v>
      </c>
      <c r="J3722" s="3" t="str">
        <f>HYPERLINK("https://www.boe.es/gazeta/dias/1814/11/10/pdfs/GMD-1814-150.pdf#page=6","Abrir facsímil")</f>
        <v>Abrir facsímil</v>
      </c>
      <c r="K3722" s="3" t="s">
        <v>64</v>
      </c>
    </row>
    <row r="3723" spans="1:11" ht="42" customHeight="1">
      <c r="A3723" s="2" t="s">
        <v>8559</v>
      </c>
      <c r="B3723" s="2" t="s">
        <v>8560</v>
      </c>
      <c r="C3723" s="2" t="s">
        <v>26</v>
      </c>
      <c r="D3723" s="2" t="s">
        <v>27</v>
      </c>
      <c r="E3723" s="5">
        <v>-31143</v>
      </c>
      <c r="F3723" s="3" t="s">
        <v>787</v>
      </c>
      <c r="G3723" s="3" t="s">
        <v>20</v>
      </c>
      <c r="H3723" s="2" t="s">
        <v>62</v>
      </c>
      <c r="I3723" s="2" t="s">
        <v>8561</v>
      </c>
      <c r="J3723" s="3" t="str">
        <f>HYPERLINK("https://www.boe.es/gazeta/dias/1814/09/24/pdfs/GMD-1814-130.pdf#page=7","Abrir facsímil")</f>
        <v>Abrir facsímil</v>
      </c>
      <c r="K3723" s="3" t="s">
        <v>64</v>
      </c>
    </row>
    <row r="3724" spans="1:11" ht="42" customHeight="1">
      <c r="A3724" s="2" t="s">
        <v>8562</v>
      </c>
      <c r="B3724" s="2" t="s">
        <v>8563</v>
      </c>
      <c r="C3724" s="2" t="s">
        <v>38</v>
      </c>
      <c r="D3724" s="2" t="s">
        <v>39</v>
      </c>
      <c r="E3724" s="5">
        <v>-31355</v>
      </c>
      <c r="F3724" s="3" t="s">
        <v>50</v>
      </c>
      <c r="G3724" s="3" t="s">
        <v>20</v>
      </c>
      <c r="H3724" s="2" t="s">
        <v>62</v>
      </c>
      <c r="I3724" s="2" t="s">
        <v>8564</v>
      </c>
      <c r="J3724" s="3" t="str">
        <f>HYPERLINK("https://www.boe.es/gazeta/dias/1814/02/24/pdfs/GRE-1814-26.pdf#page=7","Abrir facsímil")</f>
        <v>Abrir facsímil</v>
      </c>
      <c r="K3724" s="3" t="s">
        <v>64</v>
      </c>
    </row>
    <row r="3725" spans="1:11" ht="42" customHeight="1">
      <c r="A3725" s="2" t="s">
        <v>8565</v>
      </c>
      <c r="B3725" s="2" t="s">
        <v>8566</v>
      </c>
      <c r="C3725" s="2" t="s">
        <v>38</v>
      </c>
      <c r="D3725" s="2" t="s">
        <v>39</v>
      </c>
      <c r="E3725" s="5">
        <v>-31320</v>
      </c>
      <c r="F3725" s="3" t="s">
        <v>40</v>
      </c>
      <c r="G3725" s="3" t="s">
        <v>82</v>
      </c>
      <c r="H3725" s="2" t="s">
        <v>62</v>
      </c>
      <c r="I3725" s="2" t="s">
        <v>8567</v>
      </c>
      <c r="J3725" s="3" t="str">
        <f>HYPERLINK("https://www.boe.es/gazeta/dias/1814/03/31/pdfs/GRE-1814-46.pdf#page=3","Abrir facsímil")</f>
        <v>Abrir facsímil</v>
      </c>
      <c r="K3725" s="3" t="s">
        <v>64</v>
      </c>
    </row>
    <row r="3726" spans="1:11" ht="42" customHeight="1">
      <c r="A3726" s="2" t="s">
        <v>8568</v>
      </c>
      <c r="B3726" s="2" t="s">
        <v>8568</v>
      </c>
      <c r="C3726" s="2" t="s">
        <v>38</v>
      </c>
      <c r="D3726" s="2" t="s">
        <v>39</v>
      </c>
      <c r="E3726" s="5">
        <v>-31355</v>
      </c>
      <c r="F3726" s="3" t="s">
        <v>50</v>
      </c>
      <c r="G3726" s="3" t="s">
        <v>52</v>
      </c>
      <c r="H3726" s="2" t="s">
        <v>62</v>
      </c>
      <c r="I3726" s="2" t="s">
        <v>8569</v>
      </c>
      <c r="J3726" s="3" t="str">
        <f>HYPERLINK("https://www.boe.es/gazeta/dias/1814/02/24/pdfs/GRE-1814-26.pdf#page=8","Abrir facsímil")</f>
        <v>Abrir facsímil</v>
      </c>
      <c r="K3726" s="3" t="s">
        <v>64</v>
      </c>
    </row>
    <row r="3727" spans="1:11" ht="42" customHeight="1">
      <c r="A3727" s="2" t="s">
        <v>8568</v>
      </c>
      <c r="B3727" s="2" t="s">
        <v>8568</v>
      </c>
      <c r="C3727" s="2" t="s">
        <v>38</v>
      </c>
      <c r="D3727" s="2" t="s">
        <v>39</v>
      </c>
      <c r="E3727" s="5">
        <v>-31306</v>
      </c>
      <c r="F3727" s="3" t="s">
        <v>670</v>
      </c>
      <c r="G3727" s="3" t="s">
        <v>20</v>
      </c>
      <c r="H3727" s="2" t="s">
        <v>62</v>
      </c>
      <c r="I3727" s="2" t="s">
        <v>8570</v>
      </c>
      <c r="J3727" s="3" t="str">
        <f>HYPERLINK("https://www.boe.es/gazeta/dias/1814/04/14/pdfs/GRE-1814-53.pdf#page=7","Abrir facsímil")</f>
        <v>Abrir facsímil</v>
      </c>
      <c r="K3727" s="3" t="s">
        <v>64</v>
      </c>
    </row>
    <row r="3728" spans="1:11" ht="42" customHeight="1">
      <c r="A3728" s="2" t="s">
        <v>8568</v>
      </c>
      <c r="B3728" s="2" t="s">
        <v>8568</v>
      </c>
      <c r="C3728" s="2" t="s">
        <v>17</v>
      </c>
      <c r="D3728" s="2" t="s">
        <v>18</v>
      </c>
      <c r="E3728" s="5">
        <v>-31192</v>
      </c>
      <c r="F3728" s="3" t="s">
        <v>388</v>
      </c>
      <c r="G3728" s="3" t="s">
        <v>8571</v>
      </c>
      <c r="H3728" s="2" t="s">
        <v>62</v>
      </c>
      <c r="I3728" s="2" t="s">
        <v>8572</v>
      </c>
      <c r="J3728" s="3" t="str">
        <f>HYPERLINK("https://www.boe.es/gazeta/dias/1814/08/06/pdfs/GMD-1814-108.pdf#page=3","Abrir facsímil")</f>
        <v>Abrir facsímil</v>
      </c>
      <c r="K3728" s="3" t="s">
        <v>64</v>
      </c>
    </row>
    <row r="3729" spans="1:11" ht="42" customHeight="1">
      <c r="A3729" s="2" t="s">
        <v>8568</v>
      </c>
      <c r="B3729" s="2" t="s">
        <v>8568</v>
      </c>
      <c r="C3729" s="2" t="s">
        <v>38</v>
      </c>
      <c r="D3729" s="2" t="s">
        <v>39</v>
      </c>
      <c r="E3729" s="5">
        <v>-31082</v>
      </c>
      <c r="F3729" s="3" t="s">
        <v>535</v>
      </c>
      <c r="G3729" s="3" t="s">
        <v>82</v>
      </c>
      <c r="H3729" s="2" t="s">
        <v>62</v>
      </c>
      <c r="I3729" s="2" t="s">
        <v>8573</v>
      </c>
      <c r="J3729" s="3" t="str">
        <f>HYPERLINK("https://www.boe.es/gazeta/dias/1814/11/24/pdfs/GMD-1814-156.pdf#page=3","Abrir facsímil")</f>
        <v>Abrir facsímil</v>
      </c>
      <c r="K3729" s="3" t="s">
        <v>64</v>
      </c>
    </row>
    <row r="3730" spans="1:11" ht="42" customHeight="1">
      <c r="A3730" s="2" t="s">
        <v>8574</v>
      </c>
      <c r="B3730" s="2" t="s">
        <v>8575</v>
      </c>
      <c r="C3730" s="2" t="s">
        <v>32</v>
      </c>
      <c r="D3730" s="2" t="s">
        <v>18</v>
      </c>
      <c r="E3730" s="5">
        <v>-31180</v>
      </c>
      <c r="F3730" s="3" t="s">
        <v>520</v>
      </c>
      <c r="G3730" s="3" t="s">
        <v>521</v>
      </c>
      <c r="H3730" s="2" t="s">
        <v>21</v>
      </c>
      <c r="I3730" s="2" t="s">
        <v>8576</v>
      </c>
      <c r="J3730" s="3" t="str">
        <f>HYPERLINK("https://www.boe.es/gazeta/dias/1814/08/18/pdfs/GMD-1814-113.pdf#page=2","Abrir facsímil")</f>
        <v>Abrir facsímil</v>
      </c>
      <c r="K3730" s="3" t="s">
        <v>23</v>
      </c>
    </row>
    <row r="3731" spans="1:11" ht="42" customHeight="1">
      <c r="A3731" s="2" t="s">
        <v>8577</v>
      </c>
      <c r="B3731" s="2" t="s">
        <v>8578</v>
      </c>
      <c r="C3731" s="2" t="s">
        <v>38</v>
      </c>
      <c r="D3731" s="2" t="s">
        <v>39</v>
      </c>
      <c r="E3731" s="5">
        <v>-31054</v>
      </c>
      <c r="F3731" s="3" t="s">
        <v>952</v>
      </c>
      <c r="G3731" s="3" t="s">
        <v>52</v>
      </c>
      <c r="H3731" s="2" t="s">
        <v>21</v>
      </c>
      <c r="I3731" s="2" t="s">
        <v>8579</v>
      </c>
      <c r="J3731" s="3" t="str">
        <f>HYPERLINK("https://www.boe.es/gazeta/dias/1814/12/22/pdfs/GMD-1814-169.pdf#page=8","Abrir facsímil")</f>
        <v>Abrir facsímil</v>
      </c>
      <c r="K3731" s="3" t="s">
        <v>23</v>
      </c>
    </row>
    <row r="3732" spans="1:11" ht="42" customHeight="1">
      <c r="A3732" s="2" t="s">
        <v>8580</v>
      </c>
      <c r="B3732" s="2" t="s">
        <v>8581</v>
      </c>
      <c r="C3732" s="2" t="s">
        <v>26</v>
      </c>
      <c r="D3732" s="2" t="s">
        <v>27</v>
      </c>
      <c r="E3732" s="5">
        <v>-31192</v>
      </c>
      <c r="F3732" s="3" t="s">
        <v>388</v>
      </c>
      <c r="G3732" s="3" t="s">
        <v>57</v>
      </c>
      <c r="H3732" s="2" t="s">
        <v>62</v>
      </c>
      <c r="I3732" s="2" t="s">
        <v>8582</v>
      </c>
      <c r="J3732" s="3" t="str">
        <f>HYPERLINK("https://www.boe.es/gazeta/dias/1814/08/06/pdfs/GMD-1814-108.pdf#page=6","Abrir facsímil")</f>
        <v>Abrir facsímil</v>
      </c>
      <c r="K3732" s="3" t="s">
        <v>64</v>
      </c>
    </row>
    <row r="3733" spans="1:11" ht="42" customHeight="1">
      <c r="A3733" s="2" t="s">
        <v>8583</v>
      </c>
      <c r="B3733" s="2" t="s">
        <v>8584</v>
      </c>
      <c r="C3733" s="2" t="s">
        <v>144</v>
      </c>
      <c r="D3733" s="2" t="s">
        <v>18</v>
      </c>
      <c r="E3733" s="5">
        <v>-31119</v>
      </c>
      <c r="F3733" s="3" t="s">
        <v>136</v>
      </c>
      <c r="G3733" s="3" t="s">
        <v>87</v>
      </c>
      <c r="H3733" s="2" t="s">
        <v>62</v>
      </c>
      <c r="I3733" s="2" t="s">
        <v>8585</v>
      </c>
      <c r="J3733" s="3" t="str">
        <f>HYPERLINK("https://www.boe.es/gazeta/dias/1814/10/18/pdfs/GMD-1814-140.pdf#page=2","Abrir facsímil")</f>
        <v>Abrir facsímil</v>
      </c>
      <c r="K3733" s="3" t="s">
        <v>64</v>
      </c>
    </row>
    <row r="3734" spans="1:11" ht="42" customHeight="1">
      <c r="A3734" s="2" t="s">
        <v>8586</v>
      </c>
      <c r="B3734" s="2" t="s">
        <v>8587</v>
      </c>
      <c r="C3734" s="2" t="s">
        <v>26</v>
      </c>
      <c r="D3734" s="2" t="s">
        <v>27</v>
      </c>
      <c r="E3734" s="5">
        <v>-31091</v>
      </c>
      <c r="F3734" s="3" t="s">
        <v>1156</v>
      </c>
      <c r="G3734" s="3" t="s">
        <v>20</v>
      </c>
      <c r="H3734" s="2" t="s">
        <v>21</v>
      </c>
      <c r="I3734" s="2" t="s">
        <v>8588</v>
      </c>
      <c r="J3734" s="3" t="str">
        <f>HYPERLINK("https://www.boe.es/gazeta/dias/1814/11/15/pdfs/GMD-1814-152.pdf#page=7","Abrir facsímil")</f>
        <v>Abrir facsímil</v>
      </c>
      <c r="K3734" s="3" t="s">
        <v>23</v>
      </c>
    </row>
    <row r="3735" spans="1:11" ht="42" customHeight="1">
      <c r="A3735" s="2" t="s">
        <v>8589</v>
      </c>
      <c r="B3735" s="2" t="s">
        <v>8589</v>
      </c>
      <c r="C3735" s="2" t="s">
        <v>38</v>
      </c>
      <c r="D3735" s="2" t="s">
        <v>39</v>
      </c>
      <c r="E3735" s="5">
        <v>-31329</v>
      </c>
      <c r="F3735" s="3" t="s">
        <v>621</v>
      </c>
      <c r="G3735" s="3" t="s">
        <v>107</v>
      </c>
      <c r="H3735" s="2" t="s">
        <v>62</v>
      </c>
      <c r="I3735" s="2" t="s">
        <v>8590</v>
      </c>
      <c r="J3735" s="3" t="str">
        <f>HYPERLINK("https://www.boe.es/gazeta/dias/1814/03/22/pdfs/GRE-1814-39.pdf#page=1","Abrir facsímil")</f>
        <v>Abrir facsímil</v>
      </c>
      <c r="K3735" s="3" t="s">
        <v>64</v>
      </c>
    </row>
    <row r="3736" spans="1:11" ht="42" customHeight="1">
      <c r="A3736" s="2" t="s">
        <v>8591</v>
      </c>
      <c r="B3736" s="2" t="s">
        <v>8592</v>
      </c>
      <c r="C3736" s="2" t="s">
        <v>45</v>
      </c>
      <c r="D3736" s="2" t="s">
        <v>18</v>
      </c>
      <c r="E3736" s="5">
        <v>-31131</v>
      </c>
      <c r="F3736" s="3" t="s">
        <v>132</v>
      </c>
      <c r="G3736" s="3" t="s">
        <v>20</v>
      </c>
      <c r="H3736" s="2" t="s">
        <v>62</v>
      </c>
      <c r="I3736" s="2" t="s">
        <v>8593</v>
      </c>
      <c r="J3736" s="3" t="str">
        <f>HYPERLINK("https://www.boe.es/gazeta/dias/1814/10/06/pdfs/GMD-1814-135.pdf#page=7","Abrir facsímil")</f>
        <v>Abrir facsímil</v>
      </c>
      <c r="K3736" s="3" t="s">
        <v>64</v>
      </c>
    </row>
    <row r="3737" spans="1:11" ht="42" customHeight="1">
      <c r="A3737" s="2" t="s">
        <v>8594</v>
      </c>
      <c r="B3737" s="2" t="s">
        <v>8595</v>
      </c>
      <c r="C3737" s="2" t="s">
        <v>38</v>
      </c>
      <c r="D3737" s="2" t="s">
        <v>39</v>
      </c>
      <c r="E3737" s="5">
        <v>-31059</v>
      </c>
      <c r="F3737" s="3" t="s">
        <v>263</v>
      </c>
      <c r="G3737" s="3" t="s">
        <v>7951</v>
      </c>
      <c r="H3737" s="2" t="s">
        <v>62</v>
      </c>
      <c r="I3737" s="2" t="s">
        <v>8596</v>
      </c>
      <c r="J3737" s="3" t="str">
        <f>HYPERLINK("https://www.boe.es/gazeta/dias/1814/12/17/pdfs/GMD-1814-167.pdf#page=5","Abrir facsímil")</f>
        <v>Abrir facsímil</v>
      </c>
      <c r="K3737" s="3" t="s">
        <v>64</v>
      </c>
    </row>
    <row r="3738" spans="1:11" ht="42" customHeight="1">
      <c r="A3738" s="2" t="s">
        <v>8597</v>
      </c>
      <c r="B3738" s="2" t="s">
        <v>8597</v>
      </c>
      <c r="C3738" s="2" t="s">
        <v>38</v>
      </c>
      <c r="D3738" s="2" t="s">
        <v>39</v>
      </c>
      <c r="E3738" s="5">
        <v>-31364</v>
      </c>
      <c r="F3738" s="3" t="s">
        <v>594</v>
      </c>
      <c r="G3738" s="3" t="s">
        <v>41</v>
      </c>
      <c r="H3738" s="2" t="s">
        <v>62</v>
      </c>
      <c r="I3738" s="2" t="s">
        <v>8598</v>
      </c>
      <c r="J3738" s="3" t="str">
        <f>HYPERLINK("https://www.boe.es/gazeta/dias/1814/02/15/pdfs/GRE-1814-21.pdf#page=4","Abrir facsímil")</f>
        <v>Abrir facsímil</v>
      </c>
      <c r="K3738" s="3" t="s">
        <v>64</v>
      </c>
    </row>
    <row r="3739" spans="1:11" ht="42" customHeight="1">
      <c r="A3739" s="2" t="s">
        <v>8599</v>
      </c>
      <c r="B3739" s="2" t="s">
        <v>8599</v>
      </c>
      <c r="C3739" s="2" t="s">
        <v>38</v>
      </c>
      <c r="D3739" s="2" t="s">
        <v>39</v>
      </c>
      <c r="E3739" s="5">
        <v>-31362</v>
      </c>
      <c r="F3739" s="3" t="s">
        <v>302</v>
      </c>
      <c r="G3739" s="3" t="s">
        <v>41</v>
      </c>
      <c r="H3739" s="2" t="s">
        <v>62</v>
      </c>
      <c r="I3739" s="2" t="s">
        <v>8600</v>
      </c>
      <c r="J3739" s="3" t="str">
        <f>HYPERLINK("https://www.boe.es/gazeta/dias/1814/02/17/pdfs/GRE-1814-22.pdf#page=4","Abrir facsímil")</f>
        <v>Abrir facsímil</v>
      </c>
      <c r="K3739" s="3" t="s">
        <v>64</v>
      </c>
    </row>
    <row r="3740" spans="1:11" ht="42" customHeight="1">
      <c r="A3740" s="2" t="s">
        <v>8601</v>
      </c>
      <c r="B3740" s="2" t="s">
        <v>8602</v>
      </c>
      <c r="C3740" s="2" t="s">
        <v>38</v>
      </c>
      <c r="D3740" s="2" t="s">
        <v>39</v>
      </c>
      <c r="E3740" s="5">
        <v>-31367</v>
      </c>
      <c r="F3740" s="3" t="s">
        <v>857</v>
      </c>
      <c r="G3740" s="3" t="s">
        <v>20</v>
      </c>
      <c r="H3740" s="2" t="s">
        <v>62</v>
      </c>
      <c r="I3740" s="2" t="s">
        <v>8603</v>
      </c>
      <c r="J3740" s="3" t="str">
        <f>HYPERLINK("https://www.boe.es/gazeta/dias/1814/02/12/pdfs/GRE-1814-20.pdf#page=7","Abrir facsímil")</f>
        <v>Abrir facsímil</v>
      </c>
      <c r="K3740" s="3" t="s">
        <v>64</v>
      </c>
    </row>
    <row r="3741" spans="1:11" ht="42" customHeight="1">
      <c r="A3741" s="2" t="s">
        <v>8604</v>
      </c>
      <c r="B3741" s="2" t="s">
        <v>8605</v>
      </c>
      <c r="C3741" s="2" t="s">
        <v>32</v>
      </c>
      <c r="D3741" s="2" t="s">
        <v>18</v>
      </c>
      <c r="E3741" s="5">
        <v>-31320</v>
      </c>
      <c r="F3741" s="3" t="s">
        <v>40</v>
      </c>
      <c r="G3741" s="3" t="s">
        <v>52</v>
      </c>
      <c r="H3741" s="2" t="s">
        <v>62</v>
      </c>
      <c r="I3741" s="2" t="s">
        <v>8606</v>
      </c>
      <c r="J3741" s="3" t="str">
        <f>HYPERLINK("https://www.boe.es/gazeta/dias/1814/03/31/pdfs/GRE-1814-46.pdf#page=8","Abrir facsímil")</f>
        <v>Abrir facsímil</v>
      </c>
      <c r="K3741" s="3" t="s">
        <v>64</v>
      </c>
    </row>
    <row r="3742" spans="1:11" ht="42" customHeight="1">
      <c r="A3742" s="2" t="s">
        <v>8607</v>
      </c>
      <c r="B3742" s="2" t="s">
        <v>8608</v>
      </c>
      <c r="C3742" s="2" t="s">
        <v>38</v>
      </c>
      <c r="D3742" s="2" t="s">
        <v>314</v>
      </c>
      <c r="E3742" s="5">
        <v>-31296</v>
      </c>
      <c r="F3742" s="3" t="s">
        <v>315</v>
      </c>
      <c r="G3742" s="3" t="s">
        <v>52</v>
      </c>
      <c r="H3742" s="2" t="s">
        <v>62</v>
      </c>
      <c r="I3742" s="2" t="s">
        <v>8609</v>
      </c>
      <c r="J3742" s="3" t="str">
        <f>HYPERLINK("https://www.boe.es/gazeta/dias/1814/04/24/pdfs/GRE-1814-60E.pdf#page=8","Abrir facsímil")</f>
        <v>Abrir facsímil</v>
      </c>
      <c r="K3742" s="3" t="s">
        <v>64</v>
      </c>
    </row>
    <row r="3743" spans="1:11" ht="42" customHeight="1">
      <c r="A3743" s="2" t="s">
        <v>8610</v>
      </c>
      <c r="B3743" s="2" t="s">
        <v>8611</v>
      </c>
      <c r="C3743" s="2" t="s">
        <v>26</v>
      </c>
      <c r="D3743" s="2" t="s">
        <v>27</v>
      </c>
      <c r="E3743" s="5">
        <v>-31124</v>
      </c>
      <c r="F3743" s="3" t="s">
        <v>383</v>
      </c>
      <c r="G3743" s="3" t="s">
        <v>841</v>
      </c>
      <c r="H3743" s="2" t="s">
        <v>62</v>
      </c>
      <c r="I3743" s="2" t="s">
        <v>8612</v>
      </c>
      <c r="J3743" s="3" t="str">
        <f>HYPERLINK("https://www.boe.es/gazeta/dias/1814/10/13/pdfs/GMD-1814-138.pdf#page=9","Abrir facsímil")</f>
        <v>Abrir facsímil</v>
      </c>
      <c r="K3743" s="3" t="s">
        <v>64</v>
      </c>
    </row>
    <row r="3744" spans="1:11" ht="42" customHeight="1">
      <c r="A3744" s="2" t="s">
        <v>8613</v>
      </c>
      <c r="B3744" s="2" t="s">
        <v>8614</v>
      </c>
      <c r="C3744" s="2" t="s">
        <v>17</v>
      </c>
      <c r="D3744" s="2" t="s">
        <v>18</v>
      </c>
      <c r="E3744" s="5">
        <v>-31117</v>
      </c>
      <c r="F3744" s="3" t="s">
        <v>172</v>
      </c>
      <c r="G3744" s="3" t="s">
        <v>173</v>
      </c>
      <c r="H3744" s="2" t="s">
        <v>62</v>
      </c>
      <c r="I3744" s="2" t="s">
        <v>8615</v>
      </c>
      <c r="J3744" s="3" t="str">
        <f>HYPERLINK("https://www.boe.es/gazeta/dias/1814/10/20/pdfs/GMD-1814-141.pdf#page=7","Abrir facsímil")</f>
        <v>Abrir facsímil</v>
      </c>
      <c r="K3744" s="3" t="s">
        <v>64</v>
      </c>
    </row>
    <row r="3745" spans="1:11" ht="42" customHeight="1">
      <c r="A3745" s="2" t="s">
        <v>8616</v>
      </c>
      <c r="B3745" s="2" t="s">
        <v>8617</v>
      </c>
      <c r="C3745" s="2" t="s">
        <v>38</v>
      </c>
      <c r="D3745" s="2" t="s">
        <v>39</v>
      </c>
      <c r="E3745" s="5">
        <v>-31367</v>
      </c>
      <c r="F3745" s="3" t="s">
        <v>857</v>
      </c>
      <c r="G3745" s="3" t="s">
        <v>20</v>
      </c>
      <c r="H3745" s="2" t="s">
        <v>62</v>
      </c>
      <c r="I3745" s="2" t="s">
        <v>8618</v>
      </c>
      <c r="J3745" s="3" t="str">
        <f>HYPERLINK("https://www.boe.es/gazeta/dias/1814/02/12/pdfs/GRE-1814-20.pdf#page=7","Abrir facsímil")</f>
        <v>Abrir facsímil</v>
      </c>
      <c r="K3745" s="3" t="s">
        <v>64</v>
      </c>
    </row>
    <row r="3746" spans="1:11" ht="42" customHeight="1">
      <c r="A3746" s="2" t="s">
        <v>8619</v>
      </c>
      <c r="B3746" s="2" t="s">
        <v>8620</v>
      </c>
      <c r="C3746" s="2" t="s">
        <v>309</v>
      </c>
      <c r="D3746" s="2" t="s">
        <v>18</v>
      </c>
      <c r="E3746" s="5">
        <v>-31304</v>
      </c>
      <c r="F3746" s="3" t="s">
        <v>1964</v>
      </c>
      <c r="G3746" s="3" t="s">
        <v>3403</v>
      </c>
      <c r="H3746" s="2" t="s">
        <v>21</v>
      </c>
      <c r="I3746" s="2" t="s">
        <v>8621</v>
      </c>
      <c r="J3746" s="3" t="str">
        <f>HYPERLINK("https://www.boe.es/gazeta/dias/1814/04/16/pdfs/GRE-1814-55.pdf#page=8","Abrir facsímil")</f>
        <v>Abrir facsímil</v>
      </c>
      <c r="K3746" s="3" t="s">
        <v>23</v>
      </c>
    </row>
    <row r="3747" spans="1:11" ht="42" customHeight="1">
      <c r="A3747" s="2" t="s">
        <v>8622</v>
      </c>
      <c r="B3747" s="2" t="s">
        <v>8623</v>
      </c>
      <c r="C3747" s="2" t="s">
        <v>38</v>
      </c>
      <c r="D3747" s="2" t="s">
        <v>39</v>
      </c>
      <c r="E3747" s="5">
        <v>-31192</v>
      </c>
      <c r="F3747" s="3" t="s">
        <v>388</v>
      </c>
      <c r="G3747" s="3" t="s">
        <v>20</v>
      </c>
      <c r="H3747" s="2" t="s">
        <v>62</v>
      </c>
      <c r="I3747" s="2" t="s">
        <v>8624</v>
      </c>
      <c r="J3747" s="3" t="str">
        <f>HYPERLINK("https://www.boe.es/gazeta/dias/1814/08/06/pdfs/GMD-1814-108.pdf#page=7","Abrir facsímil")</f>
        <v>Abrir facsímil</v>
      </c>
      <c r="K3747" s="3" t="s">
        <v>64</v>
      </c>
    </row>
    <row r="3748" spans="1:11" ht="42" customHeight="1">
      <c r="A3748" s="2" t="s">
        <v>8625</v>
      </c>
      <c r="B3748" s="2" t="s">
        <v>8626</v>
      </c>
      <c r="C3748" s="2" t="s">
        <v>38</v>
      </c>
      <c r="D3748" s="2" t="s">
        <v>39</v>
      </c>
      <c r="E3748" s="5">
        <v>-31133</v>
      </c>
      <c r="F3748" s="3" t="s">
        <v>184</v>
      </c>
      <c r="G3748" s="3" t="s">
        <v>20</v>
      </c>
      <c r="H3748" s="2" t="s">
        <v>62</v>
      </c>
      <c r="I3748" s="2" t="s">
        <v>8627</v>
      </c>
      <c r="J3748" s="3" t="str">
        <f>HYPERLINK("https://www.boe.es/gazeta/dias/1814/10/04/pdfs/GMD-1814-134.pdf#page=7","Abrir facsímil")</f>
        <v>Abrir facsímil</v>
      </c>
      <c r="K3748" s="3" t="s">
        <v>64</v>
      </c>
    </row>
    <row r="3749" spans="1:11" ht="42" customHeight="1">
      <c r="A3749" s="2" t="s">
        <v>8628</v>
      </c>
      <c r="B3749" s="2" t="s">
        <v>8629</v>
      </c>
      <c r="C3749" s="2" t="s">
        <v>38</v>
      </c>
      <c r="D3749" s="2" t="s">
        <v>39</v>
      </c>
      <c r="E3749" s="5">
        <v>-31192</v>
      </c>
      <c r="F3749" s="3" t="s">
        <v>388</v>
      </c>
      <c r="G3749" s="3" t="s">
        <v>20</v>
      </c>
      <c r="H3749" s="2" t="s">
        <v>62</v>
      </c>
      <c r="I3749" s="2" t="s">
        <v>8630</v>
      </c>
      <c r="J3749" s="3" t="str">
        <f>HYPERLINK("https://www.boe.es/gazeta/dias/1814/08/06/pdfs/GMD-1814-108.pdf#page=7","Abrir facsímil")</f>
        <v>Abrir facsímil</v>
      </c>
      <c r="K3749" s="3" t="s">
        <v>64</v>
      </c>
    </row>
    <row r="3750" spans="1:11" ht="42" customHeight="1">
      <c r="A3750" s="2" t="s">
        <v>8631</v>
      </c>
      <c r="B3750" s="2" t="s">
        <v>8631</v>
      </c>
      <c r="C3750" s="2" t="s">
        <v>38</v>
      </c>
      <c r="D3750" s="2" t="s">
        <v>39</v>
      </c>
      <c r="E3750" s="5">
        <v>-31136</v>
      </c>
      <c r="F3750" s="3" t="s">
        <v>956</v>
      </c>
      <c r="G3750" s="3" t="s">
        <v>87</v>
      </c>
      <c r="H3750" s="2" t="s">
        <v>62</v>
      </c>
      <c r="I3750" s="2" t="s">
        <v>8632</v>
      </c>
      <c r="J3750" s="3" t="str">
        <f>HYPERLINK("https://www.boe.es/gazeta/dias/1814/10/01/pdfs/GMD-1814-133.pdf#page=2","Abrir facsímil")</f>
        <v>Abrir facsímil</v>
      </c>
      <c r="K3750" s="3" t="s">
        <v>64</v>
      </c>
    </row>
    <row r="3751" spans="1:11" ht="42" customHeight="1">
      <c r="A3751" s="2" t="s">
        <v>8633</v>
      </c>
      <c r="B3751" s="2" t="s">
        <v>8634</v>
      </c>
      <c r="C3751" s="2" t="s">
        <v>45</v>
      </c>
      <c r="D3751" s="2" t="s">
        <v>18</v>
      </c>
      <c r="E3751" s="5">
        <v>-31075</v>
      </c>
      <c r="F3751" s="3" t="s">
        <v>537</v>
      </c>
      <c r="G3751" s="3" t="s">
        <v>57</v>
      </c>
      <c r="H3751" s="2" t="s">
        <v>62</v>
      </c>
      <c r="I3751" s="2" t="s">
        <v>8635</v>
      </c>
      <c r="J3751" s="3" t="str">
        <f>HYPERLINK("https://www.boe.es/gazeta/dias/1814/12/01/pdfs/GMD-1814-159.pdf#page=6","Abrir facsímil")</f>
        <v>Abrir facsímil</v>
      </c>
      <c r="K3751" s="3" t="s">
        <v>64</v>
      </c>
    </row>
    <row r="3752" spans="1:11" ht="42" customHeight="1">
      <c r="A3752" s="2" t="s">
        <v>8636</v>
      </c>
      <c r="B3752" s="2" t="s">
        <v>8637</v>
      </c>
      <c r="C3752" s="2" t="s">
        <v>38</v>
      </c>
      <c r="D3752" s="2" t="s">
        <v>39</v>
      </c>
      <c r="E3752" s="5">
        <v>-31259</v>
      </c>
      <c r="F3752" s="3" t="s">
        <v>853</v>
      </c>
      <c r="G3752" s="3" t="s">
        <v>1732</v>
      </c>
      <c r="H3752" s="2" t="s">
        <v>62</v>
      </c>
      <c r="I3752" s="2" t="s">
        <v>8638</v>
      </c>
      <c r="J3752" s="3" t="str">
        <f>HYPERLINK("https://www.boe.es/gazeta/dias/1814/05/31/pdfs/GMD-1814-79.pdf#page=5","Abrir facsímil")</f>
        <v>Abrir facsímil</v>
      </c>
      <c r="K3752" s="3" t="s">
        <v>64</v>
      </c>
    </row>
    <row r="3753" spans="1:11" ht="42" customHeight="1">
      <c r="A3753" s="2" t="s">
        <v>8639</v>
      </c>
      <c r="B3753" s="2" t="s">
        <v>8639</v>
      </c>
      <c r="C3753" s="2" t="s">
        <v>144</v>
      </c>
      <c r="D3753" s="2" t="s">
        <v>18</v>
      </c>
      <c r="E3753" s="5">
        <v>-31292</v>
      </c>
      <c r="F3753" s="3" t="s">
        <v>557</v>
      </c>
      <c r="G3753" s="3" t="s">
        <v>87</v>
      </c>
      <c r="H3753" s="2" t="s">
        <v>62</v>
      </c>
      <c r="I3753" s="2" t="s">
        <v>8640</v>
      </c>
      <c r="J3753" s="3" t="str">
        <f>HYPERLINK("https://www.boe.es/gazeta/dias/1814/04/28/pdfs/GRE-1814-63.pdf#page=2","Abrir facsímil")</f>
        <v>Abrir facsímil</v>
      </c>
      <c r="K3753" s="3" t="s">
        <v>64</v>
      </c>
    </row>
    <row r="3754" spans="1:11" ht="42" customHeight="1">
      <c r="A3754" s="2" t="s">
        <v>8639</v>
      </c>
      <c r="B3754" s="2" t="s">
        <v>8639</v>
      </c>
      <c r="C3754" s="2" t="s">
        <v>38</v>
      </c>
      <c r="D3754" s="2" t="s">
        <v>39</v>
      </c>
      <c r="E3754" s="5">
        <v>-31171</v>
      </c>
      <c r="F3754" s="3" t="s">
        <v>157</v>
      </c>
      <c r="G3754" s="3" t="s">
        <v>107</v>
      </c>
      <c r="H3754" s="2" t="s">
        <v>62</v>
      </c>
      <c r="I3754" s="2" t="s">
        <v>8641</v>
      </c>
      <c r="J3754" s="3" t="str">
        <f>HYPERLINK("https://www.boe.es/gazeta/dias/1814/08/27/pdfs/GMD-1814-117.pdf#page=1","Abrir facsímil")</f>
        <v>Abrir facsímil</v>
      </c>
      <c r="K3754" s="3" t="s">
        <v>64</v>
      </c>
    </row>
    <row r="3755" spans="1:11" ht="42" customHeight="1">
      <c r="A3755" s="2" t="s">
        <v>8642</v>
      </c>
      <c r="B3755" s="2" t="s">
        <v>8643</v>
      </c>
      <c r="C3755" s="2" t="s">
        <v>17</v>
      </c>
      <c r="D3755" s="2" t="s">
        <v>18</v>
      </c>
      <c r="E3755" s="5">
        <v>-31222</v>
      </c>
      <c r="F3755" s="3" t="s">
        <v>153</v>
      </c>
      <c r="G3755" s="3" t="s">
        <v>99</v>
      </c>
      <c r="H3755" s="2" t="s">
        <v>62</v>
      </c>
      <c r="I3755" s="2" t="s">
        <v>8644</v>
      </c>
      <c r="J3755" s="3" t="str">
        <f>HYPERLINK("https://www.boe.es/gazeta/dias/1814/07/07/pdfs/GMD-1814-95.pdf#page=5","Abrir facsímil")</f>
        <v>Abrir facsímil</v>
      </c>
      <c r="K3755" s="3" t="s">
        <v>64</v>
      </c>
    </row>
    <row r="3756" spans="1:11" ht="42" customHeight="1">
      <c r="A3756" s="2" t="s">
        <v>8645</v>
      </c>
      <c r="B3756" s="2" t="s">
        <v>8646</v>
      </c>
      <c r="C3756" s="2" t="s">
        <v>38</v>
      </c>
      <c r="D3756" s="2" t="s">
        <v>314</v>
      </c>
      <c r="E3756" s="5">
        <v>-31296</v>
      </c>
      <c r="F3756" s="3" t="s">
        <v>315</v>
      </c>
      <c r="G3756" s="3" t="s">
        <v>20</v>
      </c>
      <c r="H3756" s="2" t="s">
        <v>62</v>
      </c>
      <c r="I3756" s="2" t="s">
        <v>8647</v>
      </c>
      <c r="J3756" s="3" t="str">
        <f>HYPERLINK("https://www.boe.es/gazeta/dias/1814/04/24/pdfs/GRE-1814-60E.pdf#page=7","Abrir facsímil")</f>
        <v>Abrir facsímil</v>
      </c>
      <c r="K3756" s="3" t="s">
        <v>64</v>
      </c>
    </row>
    <row r="3757" spans="1:11" ht="42" customHeight="1">
      <c r="A3757" s="2" t="s">
        <v>8648</v>
      </c>
      <c r="B3757" s="2" t="s">
        <v>8648</v>
      </c>
      <c r="C3757" s="2" t="s">
        <v>38</v>
      </c>
      <c r="D3757" s="2" t="s">
        <v>314</v>
      </c>
      <c r="E3757" s="5">
        <v>-31294</v>
      </c>
      <c r="F3757" s="3" t="s">
        <v>2505</v>
      </c>
      <c r="G3757" s="3" t="s">
        <v>107</v>
      </c>
      <c r="H3757" s="2" t="s">
        <v>62</v>
      </c>
      <c r="I3757" s="2" t="s">
        <v>8649</v>
      </c>
      <c r="J3757" s="3" t="str">
        <f>HYPERLINK("https://www.boe.es/gazeta/dias/1814/04/26/pdfs/GRE-1814-62E.pdf#page=1","Abrir facsímil")</f>
        <v>Abrir facsímil</v>
      </c>
      <c r="K3757" s="3" t="s">
        <v>64</v>
      </c>
    </row>
    <row r="3758" spans="1:11" ht="42" customHeight="1">
      <c r="A3758" s="2" t="s">
        <v>8650</v>
      </c>
      <c r="B3758" s="2" t="s">
        <v>8651</v>
      </c>
      <c r="C3758" s="2" t="s">
        <v>26</v>
      </c>
      <c r="D3758" s="2" t="s">
        <v>27</v>
      </c>
      <c r="E3758" s="5">
        <v>-31213</v>
      </c>
      <c r="F3758" s="3" t="s">
        <v>276</v>
      </c>
      <c r="G3758" s="3" t="s">
        <v>57</v>
      </c>
      <c r="H3758" s="2" t="s">
        <v>62</v>
      </c>
      <c r="I3758" s="2" t="s">
        <v>8652</v>
      </c>
      <c r="J3758" s="3" t="str">
        <f>HYPERLINK("https://www.boe.es/gazeta/dias/1814/07/16/pdfs/GMD-1814-99.pdf#page=6","Abrir facsímil")</f>
        <v>Abrir facsímil</v>
      </c>
      <c r="K3758" s="3" t="s">
        <v>64</v>
      </c>
    </row>
    <row r="3759" spans="1:11" ht="42" customHeight="1">
      <c r="A3759" s="2" t="s">
        <v>8653</v>
      </c>
      <c r="B3759" s="2" t="s">
        <v>8654</v>
      </c>
      <c r="C3759" s="2" t="s">
        <v>26</v>
      </c>
      <c r="D3759" s="2" t="s">
        <v>27</v>
      </c>
      <c r="E3759" s="5">
        <v>-31287</v>
      </c>
      <c r="F3759" s="3" t="s">
        <v>491</v>
      </c>
      <c r="G3759" s="3" t="s">
        <v>57</v>
      </c>
      <c r="H3759" s="2" t="s">
        <v>62</v>
      </c>
      <c r="I3759" s="2" t="s">
        <v>8655</v>
      </c>
      <c r="J3759" s="3" t="str">
        <f>HYPERLINK("https://www.boe.es/gazeta/dias/1814/05/03/pdfs/GRE-1814-65.pdf#page=6","Abrir facsímil")</f>
        <v>Abrir facsímil</v>
      </c>
      <c r="K3759" s="3" t="s">
        <v>64</v>
      </c>
    </row>
    <row r="3760" spans="1:11" ht="42" customHeight="1">
      <c r="A3760" s="2" t="s">
        <v>8656</v>
      </c>
      <c r="B3760" s="2" t="s">
        <v>8657</v>
      </c>
      <c r="C3760" s="2" t="s">
        <v>26</v>
      </c>
      <c r="D3760" s="2" t="s">
        <v>27</v>
      </c>
      <c r="E3760" s="5">
        <v>-31124</v>
      </c>
      <c r="F3760" s="3" t="s">
        <v>383</v>
      </c>
      <c r="G3760" s="3" t="s">
        <v>574</v>
      </c>
      <c r="H3760" s="2" t="s">
        <v>62</v>
      </c>
      <c r="I3760" s="2" t="s">
        <v>8658</v>
      </c>
      <c r="J3760" s="3" t="str">
        <f>HYPERLINK("https://www.boe.es/gazeta/dias/1814/10/13/pdfs/GMD-1814-138.pdf#page=10","Abrir facsímil")</f>
        <v>Abrir facsímil</v>
      </c>
      <c r="K3760" s="3" t="s">
        <v>64</v>
      </c>
    </row>
    <row r="3761" spans="1:11" ht="42" customHeight="1">
      <c r="A3761" s="2" t="s">
        <v>8659</v>
      </c>
      <c r="B3761" s="2" t="s">
        <v>8660</v>
      </c>
      <c r="C3761" s="2" t="s">
        <v>38</v>
      </c>
      <c r="D3761" s="2" t="s">
        <v>39</v>
      </c>
      <c r="E3761" s="5">
        <v>-31355</v>
      </c>
      <c r="F3761" s="3" t="s">
        <v>50</v>
      </c>
      <c r="G3761" s="3" t="s">
        <v>20</v>
      </c>
      <c r="H3761" s="2" t="s">
        <v>62</v>
      </c>
      <c r="I3761" s="2" t="s">
        <v>8661</v>
      </c>
      <c r="J3761" s="3" t="str">
        <f>HYPERLINK("https://www.boe.es/gazeta/dias/1814/02/24/pdfs/GRE-1814-26.pdf#page=7","Abrir facsímil")</f>
        <v>Abrir facsímil</v>
      </c>
      <c r="K3761" s="3" t="s">
        <v>64</v>
      </c>
    </row>
    <row r="3762" spans="1:11" ht="42" customHeight="1">
      <c r="A3762" s="2" t="s">
        <v>8662</v>
      </c>
      <c r="B3762" s="2" t="s">
        <v>8663</v>
      </c>
      <c r="C3762" s="2" t="s">
        <v>32</v>
      </c>
      <c r="D3762" s="2" t="s">
        <v>18</v>
      </c>
      <c r="E3762" s="5">
        <v>-31371</v>
      </c>
      <c r="F3762" s="3" t="s">
        <v>1017</v>
      </c>
      <c r="G3762" s="3" t="s">
        <v>8664</v>
      </c>
      <c r="H3762" s="2" t="s">
        <v>62</v>
      </c>
      <c r="I3762" s="2" t="s">
        <v>8665</v>
      </c>
      <c r="J3762" s="3" t="str">
        <f>HYPERLINK("https://www.boe.es/gazeta/dias/1814/02/08/pdfs/GRE-1814-18.pdf#page=6","Abrir facsímil")</f>
        <v>Abrir facsímil</v>
      </c>
      <c r="K3762" s="3" t="s">
        <v>64</v>
      </c>
    </row>
    <row r="3763" spans="1:11" ht="42" customHeight="1">
      <c r="A3763" s="2" t="s">
        <v>8666</v>
      </c>
      <c r="B3763" s="2" t="s">
        <v>8667</v>
      </c>
      <c r="C3763" s="2" t="s">
        <v>105</v>
      </c>
      <c r="D3763" s="2" t="s">
        <v>18</v>
      </c>
      <c r="E3763" s="5">
        <v>-31371</v>
      </c>
      <c r="F3763" s="3" t="s">
        <v>1017</v>
      </c>
      <c r="G3763" s="3" t="s">
        <v>20</v>
      </c>
      <c r="H3763" s="2" t="s">
        <v>62</v>
      </c>
      <c r="I3763" s="2" t="s">
        <v>8668</v>
      </c>
      <c r="J3763" s="3" t="str">
        <f>HYPERLINK("https://www.boe.es/gazeta/dias/1814/02/08/pdfs/GRE-1814-18.pdf#page=7","Abrir facsímil")</f>
        <v>Abrir facsímil</v>
      </c>
      <c r="K3763" s="3" t="s">
        <v>64</v>
      </c>
    </row>
    <row r="3764" spans="1:11" ht="42" customHeight="1">
      <c r="A3764" s="2" t="s">
        <v>8669</v>
      </c>
      <c r="B3764" s="2" t="s">
        <v>8669</v>
      </c>
      <c r="C3764" s="2" t="s">
        <v>38</v>
      </c>
      <c r="D3764" s="2" t="s">
        <v>39</v>
      </c>
      <c r="E3764" s="5">
        <v>-31371</v>
      </c>
      <c r="F3764" s="3" t="s">
        <v>476</v>
      </c>
      <c r="G3764" s="3" t="s">
        <v>87</v>
      </c>
      <c r="H3764" s="2" t="s">
        <v>62</v>
      </c>
      <c r="I3764" s="2" t="s">
        <v>8670</v>
      </c>
      <c r="J3764" s="3" t="str">
        <f>HYPERLINK("https://www.boe.es/gazeta/dias/1814/02/08/pdfs/GRE-1814-31.pdf#page=2","Abrir facsímil")</f>
        <v>Abrir facsímil</v>
      </c>
      <c r="K3764" s="3" t="s">
        <v>64</v>
      </c>
    </row>
    <row r="3765" spans="1:11" ht="42" customHeight="1">
      <c r="A3765" s="2" t="s">
        <v>8669</v>
      </c>
      <c r="B3765" s="2" t="s">
        <v>8669</v>
      </c>
      <c r="C3765" s="2" t="s">
        <v>38</v>
      </c>
      <c r="D3765" s="2" t="s">
        <v>39</v>
      </c>
      <c r="E3765" s="5">
        <v>-31343</v>
      </c>
      <c r="F3765" s="3" t="s">
        <v>476</v>
      </c>
      <c r="G3765" s="3" t="s">
        <v>87</v>
      </c>
      <c r="H3765" s="2" t="s">
        <v>62</v>
      </c>
      <c r="I3765" s="2" t="s">
        <v>8670</v>
      </c>
      <c r="J3765" s="3" t="str">
        <f>HYPERLINK("https://www.boe.es/gazeta/dias/1814/03/08/pdfs/GRE-1814-31.pdf#page=2","Abrir facsímil")</f>
        <v>Abrir facsímil</v>
      </c>
      <c r="K3765" s="3" t="s">
        <v>64</v>
      </c>
    </row>
    <row r="3766" spans="1:11" ht="42" customHeight="1">
      <c r="A3766" s="2" t="s">
        <v>8671</v>
      </c>
      <c r="B3766" s="2" t="s">
        <v>8671</v>
      </c>
      <c r="C3766" s="2" t="s">
        <v>38</v>
      </c>
      <c r="D3766" s="2" t="s">
        <v>39</v>
      </c>
      <c r="E3766" s="5">
        <v>-31371</v>
      </c>
      <c r="F3766" s="3" t="s">
        <v>476</v>
      </c>
      <c r="G3766" s="3" t="s">
        <v>87</v>
      </c>
      <c r="H3766" s="2" t="s">
        <v>62</v>
      </c>
      <c r="I3766" s="2" t="s">
        <v>8672</v>
      </c>
      <c r="J3766" s="3" t="str">
        <f>HYPERLINK("https://www.boe.es/gazeta/dias/1814/02/08/pdfs/GRE-1814-31.pdf#page=2","Abrir facsímil")</f>
        <v>Abrir facsímil</v>
      </c>
      <c r="K3766" s="3" t="s">
        <v>64</v>
      </c>
    </row>
    <row r="3767" spans="1:11" ht="42" customHeight="1">
      <c r="A3767" s="2" t="s">
        <v>8671</v>
      </c>
      <c r="B3767" s="2" t="s">
        <v>8671</v>
      </c>
      <c r="C3767" s="2" t="s">
        <v>38</v>
      </c>
      <c r="D3767" s="2" t="s">
        <v>39</v>
      </c>
      <c r="E3767" s="5">
        <v>-31343</v>
      </c>
      <c r="F3767" s="3" t="s">
        <v>476</v>
      </c>
      <c r="G3767" s="3" t="s">
        <v>87</v>
      </c>
      <c r="H3767" s="2" t="s">
        <v>62</v>
      </c>
      <c r="I3767" s="2" t="s">
        <v>8672</v>
      </c>
      <c r="J3767" s="3" t="str">
        <f>HYPERLINK("https://www.boe.es/gazeta/dias/1814/03/08/pdfs/GRE-1814-31.pdf#page=2","Abrir facsímil")</f>
        <v>Abrir facsímil</v>
      </c>
      <c r="K3767" s="3" t="s">
        <v>64</v>
      </c>
    </row>
    <row r="3768" spans="1:11" ht="42" customHeight="1">
      <c r="A3768" s="2" t="s">
        <v>8673</v>
      </c>
      <c r="B3768" s="2" t="s">
        <v>8674</v>
      </c>
      <c r="C3768" s="2" t="s">
        <v>32</v>
      </c>
      <c r="D3768" s="2" t="s">
        <v>18</v>
      </c>
      <c r="E3768" s="5">
        <v>-31096</v>
      </c>
      <c r="F3768" s="3" t="s">
        <v>223</v>
      </c>
      <c r="G3768" s="3" t="s">
        <v>41</v>
      </c>
      <c r="H3768" s="2" t="s">
        <v>21</v>
      </c>
      <c r="I3768" s="2" t="s">
        <v>8675</v>
      </c>
      <c r="J3768" s="3" t="str">
        <f>HYPERLINK("https://www.boe.es/gazeta/dias/1814/11/10/pdfs/GMD-1814-150.pdf#page=4","Abrir facsímil")</f>
        <v>Abrir facsímil</v>
      </c>
      <c r="K3768" s="3" t="s">
        <v>23</v>
      </c>
    </row>
    <row r="3769" spans="1:11" ht="42" customHeight="1">
      <c r="A3769" s="2" t="s">
        <v>8676</v>
      </c>
      <c r="B3769" s="2" t="s">
        <v>8677</v>
      </c>
      <c r="C3769" s="2" t="s">
        <v>38</v>
      </c>
      <c r="D3769" s="2" t="s">
        <v>39</v>
      </c>
      <c r="E3769" s="5">
        <v>-31196</v>
      </c>
      <c r="F3769" s="3" t="s">
        <v>828</v>
      </c>
      <c r="G3769" s="3" t="s">
        <v>52</v>
      </c>
      <c r="H3769" s="2" t="s">
        <v>62</v>
      </c>
      <c r="I3769" s="2" t="s">
        <v>8678</v>
      </c>
      <c r="J3769" s="3" t="str">
        <f>HYPERLINK("https://www.boe.es/gazeta/dias/1814/08/02/pdfs/GMD-1814-106.pdf#page=8","Abrir facsímil")</f>
        <v>Abrir facsímil</v>
      </c>
      <c r="K3769" s="3" t="s">
        <v>64</v>
      </c>
    </row>
    <row r="3770" spans="1:11" ht="42" customHeight="1">
      <c r="A3770" s="2" t="s">
        <v>8679</v>
      </c>
      <c r="B3770" s="2" t="s">
        <v>8680</v>
      </c>
      <c r="C3770" s="2" t="s">
        <v>26</v>
      </c>
      <c r="D3770" s="2" t="s">
        <v>27</v>
      </c>
      <c r="E3770" s="5">
        <v>-31075</v>
      </c>
      <c r="F3770" s="3" t="s">
        <v>537</v>
      </c>
      <c r="G3770" s="3" t="s">
        <v>52</v>
      </c>
      <c r="H3770" s="2" t="s">
        <v>62</v>
      </c>
      <c r="I3770" s="2" t="s">
        <v>8681</v>
      </c>
      <c r="J3770" s="3" t="str">
        <f>HYPERLINK("https://www.boe.es/gazeta/dias/1814/12/01/pdfs/GMD-1814-159.pdf#page=8","Abrir facsímil")</f>
        <v>Abrir facsímil</v>
      </c>
      <c r="K3770" s="3" t="s">
        <v>64</v>
      </c>
    </row>
    <row r="3771" spans="1:11" ht="42" customHeight="1">
      <c r="A3771" s="2" t="s">
        <v>8682</v>
      </c>
      <c r="B3771" s="2" t="s">
        <v>8683</v>
      </c>
      <c r="C3771" s="2" t="s">
        <v>17</v>
      </c>
      <c r="D3771" s="2" t="s">
        <v>18</v>
      </c>
      <c r="E3771" s="5">
        <v>-31201</v>
      </c>
      <c r="F3771" s="3" t="s">
        <v>863</v>
      </c>
      <c r="G3771" s="3" t="s">
        <v>52</v>
      </c>
      <c r="H3771" s="2" t="s">
        <v>62</v>
      </c>
      <c r="I3771" s="2" t="s">
        <v>8684</v>
      </c>
      <c r="J3771" s="3" t="str">
        <f>HYPERLINK("https://www.boe.es/gazeta/dias/1814/07/28/pdfs/GMD-1814-104.pdf#page=8","Abrir facsímil")</f>
        <v>Abrir facsímil</v>
      </c>
      <c r="K3771" s="3" t="s">
        <v>64</v>
      </c>
    </row>
    <row r="3772" spans="1:11" ht="42" customHeight="1">
      <c r="A3772" s="2" t="s">
        <v>8685</v>
      </c>
      <c r="B3772" s="2" t="s">
        <v>8686</v>
      </c>
      <c r="C3772" s="2" t="s">
        <v>17</v>
      </c>
      <c r="D3772" s="2" t="s">
        <v>18</v>
      </c>
      <c r="E3772" s="5">
        <v>-31217</v>
      </c>
      <c r="F3772" s="3" t="s">
        <v>506</v>
      </c>
      <c r="G3772" s="3" t="s">
        <v>41</v>
      </c>
      <c r="H3772" s="2" t="s">
        <v>62</v>
      </c>
      <c r="I3772" s="2" t="s">
        <v>8687</v>
      </c>
      <c r="J3772" s="3" t="str">
        <f>HYPERLINK("https://www.boe.es/gazeta/dias/1814/07/12/pdfs/GMD-1814-97.pdf#page=4","Abrir facsímil")</f>
        <v>Abrir facsímil</v>
      </c>
      <c r="K3772" s="3" t="s">
        <v>64</v>
      </c>
    </row>
    <row r="3773" spans="1:11" ht="42" customHeight="1">
      <c r="A3773" s="2" t="s">
        <v>8688</v>
      </c>
      <c r="B3773" s="2" t="s">
        <v>8688</v>
      </c>
      <c r="C3773" s="2" t="s">
        <v>38</v>
      </c>
      <c r="D3773" s="2" t="s">
        <v>39</v>
      </c>
      <c r="E3773" s="5">
        <v>-31409</v>
      </c>
      <c r="F3773" s="3" t="s">
        <v>168</v>
      </c>
      <c r="G3773" s="3" t="s">
        <v>87</v>
      </c>
      <c r="H3773" s="2" t="s">
        <v>62</v>
      </c>
      <c r="I3773" s="2" t="s">
        <v>8689</v>
      </c>
      <c r="J3773" s="3" t="str">
        <f>HYPERLINK("https://www.boe.es/gazeta/dias/1814/01/01/pdfs/GRE-1814-1.pdf#page=2","Abrir facsímil")</f>
        <v>Abrir facsímil</v>
      </c>
      <c r="K3773" s="3" t="s">
        <v>64</v>
      </c>
    </row>
    <row r="3774" spans="1:11" ht="42" customHeight="1">
      <c r="A3774" s="2" t="s">
        <v>8688</v>
      </c>
      <c r="B3774" s="2" t="s">
        <v>8688</v>
      </c>
      <c r="C3774" s="2" t="s">
        <v>38</v>
      </c>
      <c r="D3774" s="2" t="s">
        <v>39</v>
      </c>
      <c r="E3774" s="5">
        <v>-31409</v>
      </c>
      <c r="F3774" s="3" t="s">
        <v>168</v>
      </c>
      <c r="G3774" s="3" t="s">
        <v>82</v>
      </c>
      <c r="H3774" s="2" t="s">
        <v>62</v>
      </c>
      <c r="I3774" s="2" t="s">
        <v>8690</v>
      </c>
      <c r="J3774" s="3" t="str">
        <f>HYPERLINK("https://www.boe.es/gazeta/dias/1814/01/01/pdfs/GRE-1814-1.pdf#page=3","Abrir facsímil")</f>
        <v>Abrir facsímil</v>
      </c>
      <c r="K3774" s="3" t="s">
        <v>64</v>
      </c>
    </row>
    <row r="3775" spans="1:11" ht="42" customHeight="1">
      <c r="A3775" s="2" t="s">
        <v>8688</v>
      </c>
      <c r="B3775" s="2" t="s">
        <v>8688</v>
      </c>
      <c r="C3775" s="2" t="s">
        <v>38</v>
      </c>
      <c r="D3775" s="2" t="s">
        <v>39</v>
      </c>
      <c r="E3775" s="5">
        <v>-31399</v>
      </c>
      <c r="F3775" s="3" t="s">
        <v>218</v>
      </c>
      <c r="G3775" s="3" t="s">
        <v>99</v>
      </c>
      <c r="H3775" s="2" t="s">
        <v>62</v>
      </c>
      <c r="I3775" s="2" t="s">
        <v>8691</v>
      </c>
      <c r="J3775" s="3" t="str">
        <f>HYPERLINK("https://www.boe.es/gazeta/dias/1814/01/11/pdfs/GRE-1814-6.pdf#page=5","Abrir facsímil")</f>
        <v>Abrir facsímil</v>
      </c>
      <c r="K3775" s="3" t="s">
        <v>64</v>
      </c>
    </row>
    <row r="3776" spans="1:11" ht="42" customHeight="1">
      <c r="A3776" s="2" t="s">
        <v>8688</v>
      </c>
      <c r="B3776" s="2" t="s">
        <v>8688</v>
      </c>
      <c r="C3776" s="2" t="s">
        <v>38</v>
      </c>
      <c r="D3776" s="2" t="s">
        <v>39</v>
      </c>
      <c r="E3776" s="5">
        <v>-31360</v>
      </c>
      <c r="F3776" s="3" t="s">
        <v>480</v>
      </c>
      <c r="G3776" s="3" t="s">
        <v>99</v>
      </c>
      <c r="H3776" s="2" t="s">
        <v>62</v>
      </c>
      <c r="I3776" s="2" t="s">
        <v>8692</v>
      </c>
      <c r="J3776" s="3" t="str">
        <f>HYPERLINK("https://www.boe.es/gazeta/dias/1814/02/19/pdfs/GRE-1814-23.pdf#page=5","Abrir facsímil")</f>
        <v>Abrir facsímil</v>
      </c>
      <c r="K3776" s="3" t="s">
        <v>64</v>
      </c>
    </row>
    <row r="3777" spans="1:11" ht="42" customHeight="1">
      <c r="A3777" s="2" t="s">
        <v>8688</v>
      </c>
      <c r="B3777" s="2" t="s">
        <v>8688</v>
      </c>
      <c r="C3777" s="2" t="s">
        <v>38</v>
      </c>
      <c r="D3777" s="2" t="s">
        <v>39</v>
      </c>
      <c r="E3777" s="5">
        <v>-31329</v>
      </c>
      <c r="F3777" s="3" t="s">
        <v>621</v>
      </c>
      <c r="G3777" s="3" t="s">
        <v>99</v>
      </c>
      <c r="H3777" s="2" t="s">
        <v>62</v>
      </c>
      <c r="I3777" s="2" t="s">
        <v>8693</v>
      </c>
      <c r="J3777" s="3" t="str">
        <f>HYPERLINK("https://www.boe.es/gazeta/dias/1814/03/22/pdfs/GRE-1814-39.pdf#page=5","Abrir facsímil")</f>
        <v>Abrir facsímil</v>
      </c>
      <c r="K3777" s="3" t="s">
        <v>64</v>
      </c>
    </row>
    <row r="3778" spans="1:11" ht="42" customHeight="1">
      <c r="A3778" s="2" t="s">
        <v>8688</v>
      </c>
      <c r="B3778" s="2" t="s">
        <v>8688</v>
      </c>
      <c r="C3778" s="2" t="s">
        <v>38</v>
      </c>
      <c r="D3778" s="2" t="s">
        <v>39</v>
      </c>
      <c r="E3778" s="5">
        <v>-31297</v>
      </c>
      <c r="F3778" s="3" t="s">
        <v>737</v>
      </c>
      <c r="G3778" s="3" t="s">
        <v>3866</v>
      </c>
      <c r="H3778" s="2" t="s">
        <v>62</v>
      </c>
      <c r="I3778" s="2" t="s">
        <v>8694</v>
      </c>
      <c r="J3778" s="3" t="str">
        <f>HYPERLINK("https://www.boe.es/gazeta/dias/1814/04/23/pdfs/GRE-1814-59.pdf#page=7","Abrir facsímil")</f>
        <v>Abrir facsímil</v>
      </c>
      <c r="K3778" s="3" t="s">
        <v>64</v>
      </c>
    </row>
    <row r="3779" spans="1:11" ht="42" customHeight="1">
      <c r="A3779" s="2" t="s">
        <v>8688</v>
      </c>
      <c r="B3779" s="2" t="s">
        <v>8688</v>
      </c>
      <c r="C3779" s="2" t="s">
        <v>45</v>
      </c>
      <c r="D3779" s="2" t="s">
        <v>18</v>
      </c>
      <c r="E3779" s="5">
        <v>-31292</v>
      </c>
      <c r="F3779" s="3" t="s">
        <v>557</v>
      </c>
      <c r="G3779" s="3" t="s">
        <v>41</v>
      </c>
      <c r="H3779" s="2" t="s">
        <v>62</v>
      </c>
      <c r="I3779" s="2" t="s">
        <v>8695</v>
      </c>
      <c r="J3779" s="3" t="str">
        <f>HYPERLINK("https://www.boe.es/gazeta/dias/1814/04/28/pdfs/GRE-1814-63.pdf#page=4","Abrir facsímil")</f>
        <v>Abrir facsímil</v>
      </c>
      <c r="K3779" s="3" t="s">
        <v>64</v>
      </c>
    </row>
    <row r="3780" spans="1:11" ht="42" customHeight="1">
      <c r="A3780" s="2" t="s">
        <v>8696</v>
      </c>
      <c r="B3780" s="2" t="s">
        <v>8696</v>
      </c>
      <c r="C3780" s="2" t="s">
        <v>38</v>
      </c>
      <c r="D3780" s="2" t="s">
        <v>39</v>
      </c>
      <c r="E3780" s="5">
        <v>-31399</v>
      </c>
      <c r="F3780" s="3" t="s">
        <v>218</v>
      </c>
      <c r="G3780" s="3" t="s">
        <v>41</v>
      </c>
      <c r="H3780" s="2" t="s">
        <v>62</v>
      </c>
      <c r="I3780" s="2" t="s">
        <v>8697</v>
      </c>
      <c r="J3780" s="3" t="str">
        <f>HYPERLINK("https://www.boe.es/gazeta/dias/1814/01/11/pdfs/GRE-1814-6.pdf#page=4","Abrir facsímil")</f>
        <v>Abrir facsímil</v>
      </c>
      <c r="K3780" s="3" t="s">
        <v>64</v>
      </c>
    </row>
    <row r="3781" spans="1:11" ht="42" customHeight="1">
      <c r="A3781" s="2" t="s">
        <v>8698</v>
      </c>
      <c r="B3781" s="2" t="s">
        <v>8699</v>
      </c>
      <c r="C3781" s="2" t="s">
        <v>38</v>
      </c>
      <c r="D3781" s="2" t="s">
        <v>39</v>
      </c>
      <c r="E3781" s="5">
        <v>-31161</v>
      </c>
      <c r="F3781" s="3" t="s">
        <v>407</v>
      </c>
      <c r="G3781" s="3" t="s">
        <v>8700</v>
      </c>
      <c r="H3781" s="2" t="s">
        <v>62</v>
      </c>
      <c r="I3781" s="2" t="s">
        <v>8701</v>
      </c>
      <c r="J3781" s="3" t="str">
        <f>HYPERLINK("https://www.boe.es/gazeta/dias/1814/09/06/pdfs/GMD-1814-122.pdf#page=2","Abrir facsímil")</f>
        <v>Abrir facsímil</v>
      </c>
      <c r="K3781" s="3" t="s">
        <v>64</v>
      </c>
    </row>
    <row r="3782" spans="1:11" ht="42" customHeight="1">
      <c r="A3782" s="2" t="s">
        <v>8702</v>
      </c>
      <c r="B3782" s="2" t="s">
        <v>8703</v>
      </c>
      <c r="C3782" s="2" t="s">
        <v>38</v>
      </c>
      <c r="D3782" s="2" t="s">
        <v>39</v>
      </c>
      <c r="E3782" s="5">
        <v>-31329</v>
      </c>
      <c r="F3782" s="3" t="s">
        <v>621</v>
      </c>
      <c r="G3782" s="3" t="s">
        <v>2755</v>
      </c>
      <c r="H3782" s="2" t="s">
        <v>21</v>
      </c>
      <c r="I3782" s="2" t="s">
        <v>8704</v>
      </c>
      <c r="J3782" s="3" t="str">
        <f>HYPERLINK("https://www.boe.es/gazeta/dias/1814/03/22/pdfs/GRE-1814-39.pdf#page=8","Abrir facsímil")</f>
        <v>Abrir facsímil</v>
      </c>
      <c r="K3782" s="3" t="s">
        <v>23</v>
      </c>
    </row>
    <row r="3783" spans="1:11" ht="42" customHeight="1">
      <c r="A3783" s="2" t="s">
        <v>8705</v>
      </c>
      <c r="B3783" s="2" t="s">
        <v>8705</v>
      </c>
      <c r="C3783" s="2" t="s">
        <v>38</v>
      </c>
      <c r="D3783" s="2" t="s">
        <v>39</v>
      </c>
      <c r="E3783" s="5">
        <v>-31395</v>
      </c>
      <c r="F3783" s="3" t="s">
        <v>662</v>
      </c>
      <c r="G3783" s="3" t="s">
        <v>57</v>
      </c>
      <c r="H3783" s="2" t="s">
        <v>62</v>
      </c>
      <c r="I3783" s="2" t="s">
        <v>8706</v>
      </c>
      <c r="J3783" s="3" t="str">
        <f>HYPERLINK("https://www.boe.es/gazeta/dias/1814/01/15/pdfs/GRE-1814-8.pdf#page=6","Abrir facsímil")</f>
        <v>Abrir facsímil</v>
      </c>
      <c r="K3783" s="3" t="s">
        <v>64</v>
      </c>
    </row>
    <row r="3784" spans="1:11" ht="42" customHeight="1">
      <c r="A3784" s="2" t="s">
        <v>8705</v>
      </c>
      <c r="B3784" s="2" t="s">
        <v>8705</v>
      </c>
      <c r="C3784" s="2" t="s">
        <v>38</v>
      </c>
      <c r="D3784" s="2" t="s">
        <v>39</v>
      </c>
      <c r="E3784" s="5">
        <v>-31362</v>
      </c>
      <c r="F3784" s="3" t="s">
        <v>302</v>
      </c>
      <c r="G3784" s="3" t="s">
        <v>87</v>
      </c>
      <c r="H3784" s="2" t="s">
        <v>62</v>
      </c>
      <c r="I3784" s="2" t="s">
        <v>8707</v>
      </c>
      <c r="J3784" s="3" t="str">
        <f>HYPERLINK("https://www.boe.es/gazeta/dias/1814/02/17/pdfs/GRE-1814-22.pdf#page=2","Abrir facsímil")</f>
        <v>Abrir facsímil</v>
      </c>
      <c r="K3784" s="3" t="s">
        <v>64</v>
      </c>
    </row>
    <row r="3785" spans="1:11" ht="42" customHeight="1">
      <c r="A3785" s="2" t="s">
        <v>8708</v>
      </c>
      <c r="B3785" s="2" t="s">
        <v>8708</v>
      </c>
      <c r="C3785" s="2" t="s">
        <v>38</v>
      </c>
      <c r="D3785" s="2" t="s">
        <v>39</v>
      </c>
      <c r="E3785" s="5">
        <v>-31399</v>
      </c>
      <c r="F3785" s="3" t="s">
        <v>218</v>
      </c>
      <c r="G3785" s="3" t="s">
        <v>82</v>
      </c>
      <c r="H3785" s="2" t="s">
        <v>62</v>
      </c>
      <c r="I3785" s="2" t="s">
        <v>8709</v>
      </c>
      <c r="J3785" s="3" t="str">
        <f>HYPERLINK("https://www.boe.es/gazeta/dias/1814/01/11/pdfs/GRE-1814-6.pdf#page=3","Abrir facsímil")</f>
        <v>Abrir facsímil</v>
      </c>
      <c r="K3785" s="3" t="s">
        <v>64</v>
      </c>
    </row>
    <row r="3786" spans="1:11" ht="42" customHeight="1">
      <c r="A3786" s="2" t="s">
        <v>8710</v>
      </c>
      <c r="B3786" s="2" t="s">
        <v>8710</v>
      </c>
      <c r="C3786" s="2" t="s">
        <v>38</v>
      </c>
      <c r="D3786" s="2" t="s">
        <v>39</v>
      </c>
      <c r="E3786" s="5">
        <v>-31390</v>
      </c>
      <c r="F3786" s="3" t="s">
        <v>349</v>
      </c>
      <c r="G3786" s="3" t="s">
        <v>87</v>
      </c>
      <c r="H3786" s="2" t="s">
        <v>62</v>
      </c>
      <c r="I3786" s="2" t="s">
        <v>8711</v>
      </c>
      <c r="J3786" s="3" t="str">
        <f>HYPERLINK("https://www.boe.es/gazeta/dias/1814/01/20/pdfs/GRE-1814-10.pdf#page=2","Abrir facsímil")</f>
        <v>Abrir facsímil</v>
      </c>
      <c r="K3786" s="3" t="s">
        <v>64</v>
      </c>
    </row>
    <row r="3787" spans="1:11" ht="42" customHeight="1">
      <c r="A3787" s="2" t="s">
        <v>8710</v>
      </c>
      <c r="B3787" s="2" t="s">
        <v>8710</v>
      </c>
      <c r="C3787" s="2" t="s">
        <v>38</v>
      </c>
      <c r="D3787" s="2" t="s">
        <v>39</v>
      </c>
      <c r="E3787" s="5">
        <v>-31325</v>
      </c>
      <c r="F3787" s="3" t="s">
        <v>67</v>
      </c>
      <c r="G3787" s="3" t="s">
        <v>99</v>
      </c>
      <c r="H3787" s="2" t="s">
        <v>62</v>
      </c>
      <c r="I3787" s="2" t="s">
        <v>8712</v>
      </c>
      <c r="J3787" s="3" t="str">
        <f>HYPERLINK("https://www.boe.es/gazeta/dias/1814/03/26/pdfs/GRE-1814-43.pdf#page=5","Abrir facsímil")</f>
        <v>Abrir facsímil</v>
      </c>
      <c r="K3787" s="3" t="s">
        <v>64</v>
      </c>
    </row>
    <row r="3788" spans="1:11" ht="42" customHeight="1">
      <c r="A3788" s="2" t="s">
        <v>8713</v>
      </c>
      <c r="B3788" s="2" t="s">
        <v>8714</v>
      </c>
      <c r="C3788" s="2" t="s">
        <v>26</v>
      </c>
      <c r="D3788" s="2" t="s">
        <v>27</v>
      </c>
      <c r="E3788" s="5">
        <v>-31052</v>
      </c>
      <c r="F3788" s="3" t="s">
        <v>1407</v>
      </c>
      <c r="G3788" s="3" t="s">
        <v>82</v>
      </c>
      <c r="H3788" s="2" t="s">
        <v>62</v>
      </c>
      <c r="I3788" s="2" t="s">
        <v>8715</v>
      </c>
      <c r="J3788" s="3" t="str">
        <f>HYPERLINK("https://www.boe.es/gazeta/dias/1814/12/24/pdfs/GMD-1814-170.pdf#page=3","Abrir facsímil")</f>
        <v>Abrir facsímil</v>
      </c>
      <c r="K3788" s="3" t="s">
        <v>64</v>
      </c>
    </row>
    <row r="3789" spans="1:11" ht="42" customHeight="1">
      <c r="A3789" s="2" t="s">
        <v>8716</v>
      </c>
      <c r="B3789" s="2" t="s">
        <v>8717</v>
      </c>
      <c r="C3789" s="2" t="s">
        <v>38</v>
      </c>
      <c r="D3789" s="2" t="s">
        <v>39</v>
      </c>
      <c r="E3789" s="5">
        <v>-31306</v>
      </c>
      <c r="F3789" s="3" t="s">
        <v>670</v>
      </c>
      <c r="G3789" s="3" t="s">
        <v>82</v>
      </c>
      <c r="H3789" s="2" t="s">
        <v>62</v>
      </c>
      <c r="I3789" s="2" t="s">
        <v>8718</v>
      </c>
      <c r="J3789" s="3" t="str">
        <f>HYPERLINK("https://www.boe.es/gazeta/dias/1814/04/14/pdfs/GRE-1814-53.pdf#page=3","Abrir facsímil")</f>
        <v>Abrir facsímil</v>
      </c>
      <c r="K3789" s="3" t="s">
        <v>64</v>
      </c>
    </row>
    <row r="3790" spans="1:11" ht="42" customHeight="1">
      <c r="A3790" s="2" t="s">
        <v>8719</v>
      </c>
      <c r="B3790" s="2" t="s">
        <v>8720</v>
      </c>
      <c r="C3790" s="2" t="s">
        <v>32</v>
      </c>
      <c r="D3790" s="2" t="s">
        <v>18</v>
      </c>
      <c r="E3790" s="5">
        <v>-31136</v>
      </c>
      <c r="F3790" s="3" t="s">
        <v>956</v>
      </c>
      <c r="G3790" s="3" t="s">
        <v>1254</v>
      </c>
      <c r="H3790" s="2" t="s">
        <v>62</v>
      </c>
      <c r="I3790" s="2" t="s">
        <v>8721</v>
      </c>
      <c r="J3790" s="3" t="str">
        <f>HYPERLINK("https://www.boe.es/gazeta/dias/1814/10/01/pdfs/GMD-1814-133.pdf#page=9","Abrir facsímil")</f>
        <v>Abrir facsímil</v>
      </c>
      <c r="K3790" s="3" t="s">
        <v>64</v>
      </c>
    </row>
    <row r="3791" spans="1:11" ht="42" customHeight="1">
      <c r="A3791" s="2" t="s">
        <v>8722</v>
      </c>
      <c r="B3791" s="2" t="s">
        <v>8723</v>
      </c>
      <c r="C3791" s="2" t="s">
        <v>38</v>
      </c>
      <c r="D3791" s="2" t="s">
        <v>39</v>
      </c>
      <c r="E3791" s="5">
        <v>-31222</v>
      </c>
      <c r="F3791" s="3" t="s">
        <v>153</v>
      </c>
      <c r="G3791" s="3" t="s">
        <v>322</v>
      </c>
      <c r="H3791" s="2" t="s">
        <v>62</v>
      </c>
      <c r="I3791" s="2" t="s">
        <v>8724</v>
      </c>
      <c r="J3791" s="3" t="str">
        <f>HYPERLINK("https://www.boe.es/gazeta/dias/1814/07/07/pdfs/GMD-1814-95.pdf#page=12","Abrir facsímil")</f>
        <v>Abrir facsímil</v>
      </c>
      <c r="K3791" s="3" t="s">
        <v>64</v>
      </c>
    </row>
    <row r="3792" spans="1:11" ht="42" customHeight="1">
      <c r="A3792" s="2" t="s">
        <v>8725</v>
      </c>
      <c r="B3792" s="2" t="s">
        <v>8726</v>
      </c>
      <c r="C3792" s="2" t="s">
        <v>45</v>
      </c>
      <c r="D3792" s="2" t="s">
        <v>18</v>
      </c>
      <c r="E3792" s="5">
        <v>-31115</v>
      </c>
      <c r="F3792" s="3" t="s">
        <v>805</v>
      </c>
      <c r="G3792" s="3" t="s">
        <v>99</v>
      </c>
      <c r="H3792" s="2" t="s">
        <v>62</v>
      </c>
      <c r="I3792" s="2" t="s">
        <v>8727</v>
      </c>
      <c r="J3792" s="3" t="str">
        <f>HYPERLINK("https://www.boe.es/gazeta/dias/1814/10/22/pdfs/GMD-1814-142.pdf#page=5","Abrir facsímil")</f>
        <v>Abrir facsímil</v>
      </c>
      <c r="K3792" s="3" t="s">
        <v>64</v>
      </c>
    </row>
    <row r="3793" spans="1:11" ht="42" customHeight="1">
      <c r="A3793" s="2" t="s">
        <v>8728</v>
      </c>
      <c r="B3793" s="2" t="s">
        <v>8729</v>
      </c>
      <c r="C3793" s="2" t="s">
        <v>26</v>
      </c>
      <c r="D3793" s="2" t="s">
        <v>27</v>
      </c>
      <c r="E3793" s="5">
        <v>-31213</v>
      </c>
      <c r="F3793" s="3" t="s">
        <v>276</v>
      </c>
      <c r="G3793" s="3" t="s">
        <v>57</v>
      </c>
      <c r="H3793" s="2" t="s">
        <v>62</v>
      </c>
      <c r="I3793" s="2" t="s">
        <v>8730</v>
      </c>
      <c r="J3793" s="3" t="str">
        <f>HYPERLINK("https://www.boe.es/gazeta/dias/1814/07/16/pdfs/GMD-1814-99.pdf#page=6","Abrir facsímil")</f>
        <v>Abrir facsímil</v>
      </c>
      <c r="K3793" s="3" t="s">
        <v>64</v>
      </c>
    </row>
    <row r="3794" spans="1:11" ht="42" customHeight="1">
      <c r="A3794" s="2" t="s">
        <v>8731</v>
      </c>
      <c r="B3794" s="2" t="s">
        <v>8732</v>
      </c>
      <c r="C3794" s="2" t="s">
        <v>45</v>
      </c>
      <c r="D3794" s="2" t="s">
        <v>18</v>
      </c>
      <c r="E3794" s="5">
        <v>-31278</v>
      </c>
      <c r="F3794" s="3" t="s">
        <v>773</v>
      </c>
      <c r="G3794" s="3" t="s">
        <v>774</v>
      </c>
      <c r="H3794" s="2" t="s">
        <v>62</v>
      </c>
      <c r="I3794" s="2" t="s">
        <v>8733</v>
      </c>
      <c r="J3794" s="3" t="str">
        <f>HYPERLINK("https://www.boe.es/gazeta/dias/1814/05/12/pdfs/GMD-1814-69.pdf#page=8","Abrir facsímil")</f>
        <v>Abrir facsímil</v>
      </c>
      <c r="K3794" s="3" t="s">
        <v>64</v>
      </c>
    </row>
    <row r="3795" spans="1:11" ht="42" customHeight="1">
      <c r="A3795" s="2" t="s">
        <v>8734</v>
      </c>
      <c r="B3795" s="2" t="s">
        <v>8735</v>
      </c>
      <c r="C3795" s="2" t="s">
        <v>38</v>
      </c>
      <c r="D3795" s="2" t="s">
        <v>39</v>
      </c>
      <c r="E3795" s="5">
        <v>-31294</v>
      </c>
      <c r="F3795" s="3" t="s">
        <v>680</v>
      </c>
      <c r="G3795" s="3" t="s">
        <v>4621</v>
      </c>
      <c r="H3795" s="2" t="s">
        <v>62</v>
      </c>
      <c r="I3795" s="2" t="s">
        <v>8736</v>
      </c>
      <c r="J3795" s="3" t="str">
        <f>HYPERLINK("https://www.boe.es/gazeta/dias/1814/04/26/pdfs/GRE-1814-61.pdf#page=8","Abrir facsímil")</f>
        <v>Abrir facsímil</v>
      </c>
      <c r="K3795" s="3" t="s">
        <v>64</v>
      </c>
    </row>
    <row r="3796" spans="1:11" ht="42" customHeight="1">
      <c r="A3796" s="2" t="s">
        <v>8737</v>
      </c>
      <c r="B3796" s="2" t="s">
        <v>8738</v>
      </c>
      <c r="C3796" s="2" t="s">
        <v>105</v>
      </c>
      <c r="D3796" s="2" t="s">
        <v>18</v>
      </c>
      <c r="E3796" s="5">
        <v>-31301</v>
      </c>
      <c r="F3796" s="3" t="s">
        <v>81</v>
      </c>
      <c r="G3796" s="3" t="s">
        <v>20</v>
      </c>
      <c r="H3796" s="2" t="s">
        <v>62</v>
      </c>
      <c r="I3796" s="2" t="s">
        <v>8739</v>
      </c>
      <c r="J3796" s="3" t="str">
        <f>HYPERLINK("https://www.boe.es/gazeta/dias/1814/04/19/pdfs/GRE-1814-56.pdf#page=7","Abrir facsímil")</f>
        <v>Abrir facsímil</v>
      </c>
      <c r="K3796" s="3" t="s">
        <v>64</v>
      </c>
    </row>
    <row r="3797" spans="1:11" ht="42" customHeight="1">
      <c r="A3797" s="2" t="s">
        <v>8737</v>
      </c>
      <c r="B3797" s="2" t="s">
        <v>8738</v>
      </c>
      <c r="C3797" s="2" t="s">
        <v>26</v>
      </c>
      <c r="D3797" s="2" t="s">
        <v>27</v>
      </c>
      <c r="E3797" s="5">
        <v>-31294</v>
      </c>
      <c r="F3797" s="3" t="s">
        <v>680</v>
      </c>
      <c r="G3797" s="3" t="s">
        <v>4621</v>
      </c>
      <c r="H3797" s="2" t="s">
        <v>62</v>
      </c>
      <c r="I3797" s="2" t="s">
        <v>8740</v>
      </c>
      <c r="J3797" s="3" t="str">
        <f>HYPERLINK("https://www.boe.es/gazeta/dias/1814/04/26/pdfs/GRE-1814-61.pdf#page=8","Abrir facsímil")</f>
        <v>Abrir facsímil</v>
      </c>
      <c r="K3797" s="3" t="s">
        <v>64</v>
      </c>
    </row>
    <row r="3798" spans="1:11" ht="42" customHeight="1">
      <c r="A3798" s="2" t="s">
        <v>8737</v>
      </c>
      <c r="B3798" s="2" t="s">
        <v>8738</v>
      </c>
      <c r="C3798" s="2" t="s">
        <v>26</v>
      </c>
      <c r="D3798" s="2" t="s">
        <v>27</v>
      </c>
      <c r="E3798" s="5">
        <v>-31290</v>
      </c>
      <c r="F3798" s="3" t="s">
        <v>488</v>
      </c>
      <c r="G3798" s="3" t="s">
        <v>57</v>
      </c>
      <c r="H3798" s="2" t="s">
        <v>62</v>
      </c>
      <c r="I3798" s="2" t="s">
        <v>8741</v>
      </c>
      <c r="J3798" s="3" t="str">
        <f>HYPERLINK("https://www.boe.es/gazeta/dias/1814/04/30/pdfs/GRE-1814-64.pdf#page=6","Abrir facsímil")</f>
        <v>Abrir facsímil</v>
      </c>
      <c r="K3798" s="3" t="s">
        <v>64</v>
      </c>
    </row>
    <row r="3799" spans="1:11" ht="42" customHeight="1">
      <c r="A3799" s="2" t="s">
        <v>8737</v>
      </c>
      <c r="B3799" s="2" t="s">
        <v>8738</v>
      </c>
      <c r="C3799" s="2" t="s">
        <v>17</v>
      </c>
      <c r="D3799" s="2" t="s">
        <v>18</v>
      </c>
      <c r="E3799" s="5">
        <v>-31283</v>
      </c>
      <c r="F3799" s="3" t="s">
        <v>701</v>
      </c>
      <c r="G3799" s="3" t="s">
        <v>52</v>
      </c>
      <c r="H3799" s="2" t="s">
        <v>62</v>
      </c>
      <c r="I3799" s="2" t="s">
        <v>8742</v>
      </c>
      <c r="J3799" s="3" t="str">
        <f>HYPERLINK("https://www.boe.es/gazeta/dias/1814/05/07/pdfs/GRE-1814-67.pdf#page=8","Abrir facsímil")</f>
        <v>Abrir facsímil</v>
      </c>
      <c r="K3799" s="3" t="s">
        <v>64</v>
      </c>
    </row>
    <row r="3800" spans="1:11" ht="42" customHeight="1">
      <c r="A3800" s="2" t="s">
        <v>8743</v>
      </c>
      <c r="B3800" s="2" t="s">
        <v>8744</v>
      </c>
      <c r="C3800" s="2" t="s">
        <v>32</v>
      </c>
      <c r="D3800" s="2" t="s">
        <v>18</v>
      </c>
      <c r="E3800" s="5">
        <v>-31136</v>
      </c>
      <c r="F3800" s="3" t="s">
        <v>956</v>
      </c>
      <c r="G3800" s="3" t="s">
        <v>1254</v>
      </c>
      <c r="H3800" s="2" t="s">
        <v>62</v>
      </c>
      <c r="I3800" s="2" t="s">
        <v>8745</v>
      </c>
      <c r="J3800" s="3" t="str">
        <f>HYPERLINK("https://www.boe.es/gazeta/dias/1814/10/01/pdfs/GMD-1814-133.pdf#page=9","Abrir facsímil")</f>
        <v>Abrir facsímil</v>
      </c>
      <c r="K3800" s="3" t="s">
        <v>64</v>
      </c>
    </row>
    <row r="3801" spans="1:11" ht="42" customHeight="1">
      <c r="A3801" s="2" t="s">
        <v>8746</v>
      </c>
      <c r="B3801" s="2" t="s">
        <v>8747</v>
      </c>
      <c r="C3801" s="2" t="s">
        <v>26</v>
      </c>
      <c r="D3801" s="2" t="s">
        <v>27</v>
      </c>
      <c r="E3801" s="5">
        <v>-31236</v>
      </c>
      <c r="F3801" s="3" t="s">
        <v>33</v>
      </c>
      <c r="G3801" s="3" t="s">
        <v>20</v>
      </c>
      <c r="H3801" s="2" t="s">
        <v>62</v>
      </c>
      <c r="I3801" s="2" t="s">
        <v>8748</v>
      </c>
      <c r="J3801" s="3" t="str">
        <f>HYPERLINK("https://www.boe.es/gazeta/dias/1814/06/23/pdfs/GMD-1814-89.pdf#page=7","Abrir facsímil")</f>
        <v>Abrir facsímil</v>
      </c>
      <c r="K3801" s="3" t="s">
        <v>64</v>
      </c>
    </row>
    <row r="3802" spans="1:11" ht="42" customHeight="1">
      <c r="A3802" s="2" t="s">
        <v>8749</v>
      </c>
      <c r="B3802" s="2" t="s">
        <v>8750</v>
      </c>
      <c r="C3802" s="2" t="s">
        <v>687</v>
      </c>
      <c r="D3802" s="2" t="s">
        <v>27</v>
      </c>
      <c r="E3802" s="5">
        <v>-31059</v>
      </c>
      <c r="F3802" s="3" t="s">
        <v>263</v>
      </c>
      <c r="G3802" s="3" t="s">
        <v>297</v>
      </c>
      <c r="H3802" s="2" t="s">
        <v>21</v>
      </c>
      <c r="I3802" s="2" t="s">
        <v>8751</v>
      </c>
      <c r="J3802" s="3" t="str">
        <f>HYPERLINK("https://www.boe.es/gazeta/dias/1814/12/17/pdfs/GMD-1814-167.pdf#page=8","Abrir facsímil")</f>
        <v>Abrir facsímil</v>
      </c>
      <c r="K3802" s="3" t="s">
        <v>23</v>
      </c>
    </row>
    <row r="3803" spans="1:11" ht="42" customHeight="1">
      <c r="A3803" s="2" t="s">
        <v>8752</v>
      </c>
      <c r="B3803" s="2" t="s">
        <v>8753</v>
      </c>
      <c r="C3803" s="2" t="s">
        <v>45</v>
      </c>
      <c r="D3803" s="2" t="s">
        <v>18</v>
      </c>
      <c r="E3803" s="5">
        <v>-31131</v>
      </c>
      <c r="F3803" s="3" t="s">
        <v>132</v>
      </c>
      <c r="G3803" s="3" t="s">
        <v>4347</v>
      </c>
      <c r="H3803" s="2" t="s">
        <v>62</v>
      </c>
      <c r="I3803" s="2" t="s">
        <v>8754</v>
      </c>
      <c r="J3803" s="3" t="str">
        <f>HYPERLINK("https://www.boe.es/gazeta/dias/1814/10/06/pdfs/GMD-1814-135.pdf#page=8","Abrir facsímil")</f>
        <v>Abrir facsímil</v>
      </c>
      <c r="K3803" s="3" t="s">
        <v>64</v>
      </c>
    </row>
    <row r="3804" spans="1:11" ht="42" customHeight="1">
      <c r="A3804" s="2" t="s">
        <v>8755</v>
      </c>
      <c r="B3804" s="2" t="s">
        <v>8756</v>
      </c>
      <c r="C3804" s="2" t="s">
        <v>38</v>
      </c>
      <c r="D3804" s="2" t="s">
        <v>39</v>
      </c>
      <c r="E3804" s="5">
        <v>-31159</v>
      </c>
      <c r="F3804" s="3" t="s">
        <v>1175</v>
      </c>
      <c r="G3804" s="3" t="s">
        <v>52</v>
      </c>
      <c r="H3804" s="2" t="s">
        <v>21</v>
      </c>
      <c r="I3804" s="2" t="s">
        <v>8757</v>
      </c>
      <c r="J3804" s="3" t="str">
        <f>HYPERLINK("https://www.boe.es/gazeta/dias/1814/09/08/pdfs/GMD-1814-123.pdf#page=8","Abrir facsímil")</f>
        <v>Abrir facsímil</v>
      </c>
      <c r="K3804" s="3" t="s">
        <v>23</v>
      </c>
    </row>
    <row r="3805" spans="1:11" ht="42" customHeight="1">
      <c r="A3805" s="2" t="s">
        <v>8758</v>
      </c>
      <c r="B3805" s="2" t="s">
        <v>8759</v>
      </c>
      <c r="C3805" s="2" t="s">
        <v>38</v>
      </c>
      <c r="D3805" s="2" t="s">
        <v>39</v>
      </c>
      <c r="E3805" s="5">
        <v>-31341</v>
      </c>
      <c r="F3805" s="3" t="s">
        <v>360</v>
      </c>
      <c r="G3805" s="3" t="s">
        <v>52</v>
      </c>
      <c r="H3805" s="2" t="s">
        <v>21</v>
      </c>
      <c r="I3805" s="2" t="s">
        <v>8760</v>
      </c>
      <c r="J3805" s="3" t="str">
        <f>HYPERLINK("https://www.boe.es/gazeta/dias/1814/03/10/pdfs/GRE-1814-33.pdf#page=8","Abrir facsímil")</f>
        <v>Abrir facsímil</v>
      </c>
      <c r="K3805" s="3" t="s">
        <v>23</v>
      </c>
    </row>
    <row r="3806" spans="1:11" ht="42" customHeight="1">
      <c r="A3806" s="2" t="s">
        <v>8761</v>
      </c>
      <c r="B3806" s="2" t="s">
        <v>8762</v>
      </c>
      <c r="C3806" s="2" t="s">
        <v>38</v>
      </c>
      <c r="D3806" s="2" t="s">
        <v>39</v>
      </c>
      <c r="E3806" s="5">
        <v>-31371</v>
      </c>
      <c r="F3806" s="3" t="s">
        <v>476</v>
      </c>
      <c r="G3806" s="3" t="s">
        <v>52</v>
      </c>
      <c r="H3806" s="2" t="s">
        <v>21</v>
      </c>
      <c r="I3806" s="2" t="s">
        <v>8763</v>
      </c>
      <c r="J3806" s="3" t="str">
        <f>HYPERLINK("https://www.boe.es/gazeta/dias/1814/02/08/pdfs/GRE-1814-31.pdf#page=8","Abrir facsímil")</f>
        <v>Abrir facsímil</v>
      </c>
      <c r="K3806" s="3" t="s">
        <v>23</v>
      </c>
    </row>
    <row r="3807" spans="1:11" ht="42" customHeight="1">
      <c r="A3807" s="2" t="s">
        <v>8761</v>
      </c>
      <c r="B3807" s="2" t="s">
        <v>8762</v>
      </c>
      <c r="C3807" s="2" t="s">
        <v>38</v>
      </c>
      <c r="D3807" s="2" t="s">
        <v>39</v>
      </c>
      <c r="E3807" s="5">
        <v>-31343</v>
      </c>
      <c r="F3807" s="3" t="s">
        <v>476</v>
      </c>
      <c r="G3807" s="3" t="s">
        <v>52</v>
      </c>
      <c r="H3807" s="2" t="s">
        <v>21</v>
      </c>
      <c r="I3807" s="2" t="s">
        <v>8763</v>
      </c>
      <c r="J3807" s="3" t="str">
        <f>HYPERLINK("https://www.boe.es/gazeta/dias/1814/03/08/pdfs/GRE-1814-31.pdf#page=8","Abrir facsímil")</f>
        <v>Abrir facsímil</v>
      </c>
      <c r="K3807" s="3" t="s">
        <v>23</v>
      </c>
    </row>
    <row r="3808" spans="1:11" ht="42" customHeight="1">
      <c r="A3808" s="2" t="s">
        <v>8761</v>
      </c>
      <c r="B3808" s="2" t="s">
        <v>8762</v>
      </c>
      <c r="C3808" s="2" t="s">
        <v>38</v>
      </c>
      <c r="D3808" s="2" t="s">
        <v>314</v>
      </c>
      <c r="E3808" s="5">
        <v>-31342</v>
      </c>
      <c r="F3808" s="3" t="s">
        <v>4519</v>
      </c>
      <c r="G3808" s="3" t="s">
        <v>107</v>
      </c>
      <c r="H3808" s="2" t="s">
        <v>21</v>
      </c>
      <c r="I3808" s="2" t="s">
        <v>8764</v>
      </c>
      <c r="J3808" s="3" t="str">
        <f>HYPERLINK("https://www.boe.es/gazeta/dias/1814/03/09/pdfs/GRE-1814-32E.pdf#page=1","Abrir facsímil")</f>
        <v>Abrir facsímil</v>
      </c>
      <c r="K3808" s="3" t="s">
        <v>23</v>
      </c>
    </row>
    <row r="3809" spans="1:11" ht="42" customHeight="1">
      <c r="A3809" s="2" t="s">
        <v>8765</v>
      </c>
      <c r="B3809" s="2" t="s">
        <v>8766</v>
      </c>
      <c r="C3809" s="2" t="s">
        <v>38</v>
      </c>
      <c r="D3809" s="2" t="s">
        <v>39</v>
      </c>
      <c r="E3809" s="5">
        <v>-31332</v>
      </c>
      <c r="F3809" s="3" t="s">
        <v>343</v>
      </c>
      <c r="G3809" s="3" t="s">
        <v>107</v>
      </c>
      <c r="H3809" s="2" t="s">
        <v>21</v>
      </c>
      <c r="I3809" s="2" t="s">
        <v>8767</v>
      </c>
      <c r="J3809" s="3" t="str">
        <f>HYPERLINK("https://www.boe.es/gazeta/dias/1814/03/19/pdfs/GRE-1814-38.pdf#page=1","Abrir facsímil")</f>
        <v>Abrir facsímil</v>
      </c>
      <c r="K3809" s="3" t="s">
        <v>23</v>
      </c>
    </row>
    <row r="3810" spans="1:11" ht="42" customHeight="1">
      <c r="A3810" s="2" t="s">
        <v>8768</v>
      </c>
      <c r="B3810" s="2" t="s">
        <v>8769</v>
      </c>
      <c r="C3810" s="2" t="s">
        <v>38</v>
      </c>
      <c r="D3810" s="2" t="s">
        <v>39</v>
      </c>
      <c r="E3810" s="5">
        <v>-31089</v>
      </c>
      <c r="F3810" s="3" t="s">
        <v>531</v>
      </c>
      <c r="G3810" s="3" t="s">
        <v>57</v>
      </c>
      <c r="H3810" s="2" t="s">
        <v>21</v>
      </c>
      <c r="I3810" s="2" t="s">
        <v>8770</v>
      </c>
      <c r="J3810" s="3" t="str">
        <f>HYPERLINK("https://www.boe.es/gazeta/dias/1814/11/17/pdfs/GMD-1814-153.pdf#page=6","Abrir facsímil")</f>
        <v>Abrir facsímil</v>
      </c>
      <c r="K3810" s="3" t="s">
        <v>23</v>
      </c>
    </row>
    <row r="3811" spans="1:11" ht="42" customHeight="1">
      <c r="A3811" s="2" t="s">
        <v>8771</v>
      </c>
      <c r="B3811" s="2" t="s">
        <v>8772</v>
      </c>
      <c r="C3811" s="2" t="s">
        <v>144</v>
      </c>
      <c r="D3811" s="2" t="s">
        <v>18</v>
      </c>
      <c r="E3811" s="5">
        <v>-31194</v>
      </c>
      <c r="F3811" s="3" t="s">
        <v>333</v>
      </c>
      <c r="G3811" s="3" t="s">
        <v>99</v>
      </c>
      <c r="H3811" s="2" t="s">
        <v>62</v>
      </c>
      <c r="I3811" s="2" t="s">
        <v>8773</v>
      </c>
      <c r="J3811" s="3" t="str">
        <f>HYPERLINK("https://www.boe.es/gazeta/dias/1814/08/04/pdfs/GMD-1814-107.pdf#page=5","Abrir facsímil")</f>
        <v>Abrir facsímil</v>
      </c>
      <c r="K3811" s="3" t="s">
        <v>64</v>
      </c>
    </row>
    <row r="3812" spans="1:11" ht="42" customHeight="1">
      <c r="A3812" s="2" t="s">
        <v>8774</v>
      </c>
      <c r="B3812" s="2" t="s">
        <v>8775</v>
      </c>
      <c r="C3812" s="2" t="s">
        <v>17</v>
      </c>
      <c r="D3812" s="2" t="s">
        <v>18</v>
      </c>
      <c r="E3812" s="5">
        <v>-31110</v>
      </c>
      <c r="F3812" s="3" t="s">
        <v>149</v>
      </c>
      <c r="G3812" s="3" t="s">
        <v>20</v>
      </c>
      <c r="H3812" s="2" t="s">
        <v>21</v>
      </c>
      <c r="I3812" s="2" t="s">
        <v>8776</v>
      </c>
      <c r="J3812" s="3" t="str">
        <f>HYPERLINK("https://www.boe.es/gazeta/dias/1814/10/27/pdfs/GMD-1814-144.pdf#page=7","Abrir facsímil")</f>
        <v>Abrir facsímil</v>
      </c>
      <c r="K3812" s="3" t="s">
        <v>23</v>
      </c>
    </row>
    <row r="3813" spans="1:11" ht="42" customHeight="1">
      <c r="A3813" s="2" t="s">
        <v>8777</v>
      </c>
      <c r="B3813" s="2" t="s">
        <v>8778</v>
      </c>
      <c r="C3813" s="2" t="s">
        <v>38</v>
      </c>
      <c r="D3813" s="2" t="s">
        <v>39</v>
      </c>
      <c r="E3813" s="5">
        <v>-31152</v>
      </c>
      <c r="F3813" s="3" t="s">
        <v>199</v>
      </c>
      <c r="G3813" s="3" t="s">
        <v>52</v>
      </c>
      <c r="H3813" s="2" t="s">
        <v>62</v>
      </c>
      <c r="I3813" s="2" t="s">
        <v>8779</v>
      </c>
      <c r="J3813" s="3" t="str">
        <f>HYPERLINK("https://www.boe.es/gazeta/dias/1814/09/15/pdfs/GMD-1814-126.pdf#page=8","Abrir facsímil")</f>
        <v>Abrir facsímil</v>
      </c>
      <c r="K3813" s="3" t="s">
        <v>64</v>
      </c>
    </row>
    <row r="3814" spans="1:11" ht="42" customHeight="1">
      <c r="A3814" s="2" t="s">
        <v>8780</v>
      </c>
      <c r="B3814" s="2" t="s">
        <v>8781</v>
      </c>
      <c r="C3814" s="2" t="s">
        <v>26</v>
      </c>
      <c r="D3814" s="2" t="s">
        <v>27</v>
      </c>
      <c r="E3814" s="5">
        <v>-31297</v>
      </c>
      <c r="F3814" s="3" t="s">
        <v>737</v>
      </c>
      <c r="G3814" s="3" t="s">
        <v>52</v>
      </c>
      <c r="H3814" s="2" t="s">
        <v>62</v>
      </c>
      <c r="I3814" s="2" t="s">
        <v>8782</v>
      </c>
      <c r="J3814" s="3" t="str">
        <f>HYPERLINK("https://www.boe.es/gazeta/dias/1814/04/23/pdfs/GRE-1814-59.pdf#page=8","Abrir facsímil")</f>
        <v>Abrir facsímil</v>
      </c>
      <c r="K3814" s="3" t="s">
        <v>64</v>
      </c>
    </row>
    <row r="3815" spans="1:11" ht="42" customHeight="1">
      <c r="A3815" s="2" t="s">
        <v>8783</v>
      </c>
      <c r="B3815" s="2" t="s">
        <v>8784</v>
      </c>
      <c r="C3815" s="2" t="s">
        <v>38</v>
      </c>
      <c r="D3815" s="2" t="s">
        <v>39</v>
      </c>
      <c r="E3815" s="5">
        <v>-31122</v>
      </c>
      <c r="F3815" s="3" t="s">
        <v>28</v>
      </c>
      <c r="G3815" s="3" t="s">
        <v>20</v>
      </c>
      <c r="H3815" s="2" t="s">
        <v>62</v>
      </c>
      <c r="I3815" s="2" t="s">
        <v>8785</v>
      </c>
      <c r="J3815" s="3" t="str">
        <f>HYPERLINK("https://www.boe.es/gazeta/dias/1814/10/15/pdfs/GMD-1814-139.pdf#page=7","Abrir facsímil")</f>
        <v>Abrir facsímil</v>
      </c>
      <c r="K3815" s="3" t="s">
        <v>64</v>
      </c>
    </row>
    <row r="3816" spans="1:11" ht="42" customHeight="1">
      <c r="A3816" s="2" t="s">
        <v>8786</v>
      </c>
      <c r="B3816" s="2" t="s">
        <v>8786</v>
      </c>
      <c r="C3816" s="2" t="s">
        <v>26</v>
      </c>
      <c r="D3816" s="2" t="s">
        <v>27</v>
      </c>
      <c r="E3816" s="5">
        <v>-31192</v>
      </c>
      <c r="F3816" s="3" t="s">
        <v>388</v>
      </c>
      <c r="G3816" s="3" t="s">
        <v>5776</v>
      </c>
      <c r="H3816" s="2" t="s">
        <v>62</v>
      </c>
      <c r="I3816" s="2" t="s">
        <v>8787</v>
      </c>
      <c r="J3816" s="3" t="str">
        <f>HYPERLINK("https://www.boe.es/gazeta/dias/1814/08/06/pdfs/GMD-1814-108.pdf#page=4","Abrir facsímil")</f>
        <v>Abrir facsímil</v>
      </c>
      <c r="K3816" s="3" t="s">
        <v>64</v>
      </c>
    </row>
    <row r="3817" spans="1:11" ht="42" customHeight="1">
      <c r="A3817" s="2" t="s">
        <v>8788</v>
      </c>
      <c r="B3817" s="2" t="s">
        <v>8788</v>
      </c>
      <c r="C3817" s="2" t="s">
        <v>17</v>
      </c>
      <c r="D3817" s="2" t="s">
        <v>18</v>
      </c>
      <c r="E3817" s="5">
        <v>-31290</v>
      </c>
      <c r="F3817" s="3" t="s">
        <v>488</v>
      </c>
      <c r="G3817" s="3" t="s">
        <v>87</v>
      </c>
      <c r="H3817" s="2" t="s">
        <v>62</v>
      </c>
      <c r="I3817" s="2" t="s">
        <v>8789</v>
      </c>
      <c r="J3817" s="3" t="str">
        <f>HYPERLINK("https://www.boe.es/gazeta/dias/1814/04/30/pdfs/GRE-1814-64.pdf#page=2","Abrir facsímil")</f>
        <v>Abrir facsímil</v>
      </c>
      <c r="K3817" s="3" t="s">
        <v>64</v>
      </c>
    </row>
    <row r="3818" spans="1:11" ht="42" customHeight="1">
      <c r="A3818" s="2" t="s">
        <v>8790</v>
      </c>
      <c r="B3818" s="2" t="s">
        <v>8791</v>
      </c>
      <c r="C3818" s="2" t="s">
        <v>38</v>
      </c>
      <c r="D3818" s="2" t="s">
        <v>314</v>
      </c>
      <c r="E3818" s="5">
        <v>-31296</v>
      </c>
      <c r="F3818" s="3" t="s">
        <v>315</v>
      </c>
      <c r="G3818" s="3" t="s">
        <v>52</v>
      </c>
      <c r="H3818" s="2" t="s">
        <v>62</v>
      </c>
      <c r="I3818" s="2" t="s">
        <v>8792</v>
      </c>
      <c r="J3818" s="3" t="str">
        <f>HYPERLINK("https://www.boe.es/gazeta/dias/1814/04/24/pdfs/GRE-1814-60E.pdf#page=8","Abrir facsímil")</f>
        <v>Abrir facsímil</v>
      </c>
      <c r="K3818" s="3" t="s">
        <v>64</v>
      </c>
    </row>
    <row r="3819" spans="1:11" ht="42" customHeight="1">
      <c r="A3819" s="2" t="s">
        <v>8793</v>
      </c>
      <c r="B3819" s="2" t="s">
        <v>8793</v>
      </c>
      <c r="C3819" s="2" t="s">
        <v>38</v>
      </c>
      <c r="D3819" s="2" t="s">
        <v>39</v>
      </c>
      <c r="E3819" s="5">
        <v>-31252</v>
      </c>
      <c r="F3819" s="3" t="s">
        <v>364</v>
      </c>
      <c r="G3819" s="3" t="s">
        <v>82</v>
      </c>
      <c r="H3819" s="2" t="s">
        <v>62</v>
      </c>
      <c r="I3819" s="2" t="s">
        <v>8794</v>
      </c>
      <c r="J3819" s="3" t="str">
        <f>HYPERLINK("https://www.boe.es/gazeta/dias/1814/06/07/pdfs/GMD-1814-82.pdf#page=3","Abrir facsímil")</f>
        <v>Abrir facsímil</v>
      </c>
      <c r="K3819" s="3" t="s">
        <v>64</v>
      </c>
    </row>
    <row r="3820" spans="1:11" ht="42" customHeight="1">
      <c r="A3820" s="2" t="s">
        <v>8795</v>
      </c>
      <c r="B3820" s="2" t="s">
        <v>8795</v>
      </c>
      <c r="C3820" s="2" t="s">
        <v>26</v>
      </c>
      <c r="D3820" s="2" t="s">
        <v>27</v>
      </c>
      <c r="E3820" s="5">
        <v>-31189</v>
      </c>
      <c r="F3820" s="3" t="s">
        <v>379</v>
      </c>
      <c r="G3820" s="3" t="s">
        <v>107</v>
      </c>
      <c r="H3820" s="2" t="s">
        <v>62</v>
      </c>
      <c r="I3820" s="2" t="s">
        <v>8796</v>
      </c>
      <c r="J3820" s="3" t="str">
        <f>HYPERLINK("https://www.boe.es/gazeta/dias/1814/08/09/pdfs/GMD-1814-109.pdf#page=1","Abrir facsímil")</f>
        <v>Abrir facsímil</v>
      </c>
      <c r="K3820" s="3" t="s">
        <v>64</v>
      </c>
    </row>
    <row r="3821" spans="1:11" ht="42" customHeight="1">
      <c r="A3821" s="2" t="s">
        <v>8797</v>
      </c>
      <c r="B3821" s="2" t="s">
        <v>8798</v>
      </c>
      <c r="C3821" s="2" t="s">
        <v>38</v>
      </c>
      <c r="D3821" s="2" t="s">
        <v>314</v>
      </c>
      <c r="E3821" s="5">
        <v>-31328</v>
      </c>
      <c r="F3821" s="3" t="s">
        <v>442</v>
      </c>
      <c r="G3821" s="3" t="s">
        <v>87</v>
      </c>
      <c r="H3821" s="2" t="s">
        <v>62</v>
      </c>
      <c r="I3821" s="2" t="s">
        <v>8799</v>
      </c>
      <c r="J3821" s="3" t="str">
        <f>HYPERLINK("https://www.boe.es/gazeta/dias/1814/03/23/pdfs/GRE-1814-40E.pdf#page=2","Abrir facsímil")</f>
        <v>Abrir facsímil</v>
      </c>
      <c r="K3821" s="3" t="s">
        <v>64</v>
      </c>
    </row>
    <row r="3822" spans="1:11" ht="42" customHeight="1">
      <c r="A3822" s="2" t="s">
        <v>8797</v>
      </c>
      <c r="B3822" s="2" t="s">
        <v>8798</v>
      </c>
      <c r="C3822" s="2" t="s">
        <v>38</v>
      </c>
      <c r="D3822" s="2" t="s">
        <v>314</v>
      </c>
      <c r="E3822" s="5">
        <v>-31328</v>
      </c>
      <c r="F3822" s="3" t="s">
        <v>442</v>
      </c>
      <c r="G3822" s="3" t="s">
        <v>82</v>
      </c>
      <c r="H3822" s="2" t="s">
        <v>62</v>
      </c>
      <c r="I3822" s="2" t="s">
        <v>8800</v>
      </c>
      <c r="J3822" s="3" t="str">
        <f>HYPERLINK("https://www.boe.es/gazeta/dias/1814/03/23/pdfs/GRE-1814-40E.pdf#page=3","Abrir facsímil")</f>
        <v>Abrir facsímil</v>
      </c>
      <c r="K3822" s="3" t="s">
        <v>64</v>
      </c>
    </row>
    <row r="3823" spans="1:11" ht="42" customHeight="1">
      <c r="A3823" s="2" t="s">
        <v>8801</v>
      </c>
      <c r="B3823" s="2" t="s">
        <v>8801</v>
      </c>
      <c r="C3823" s="2" t="s">
        <v>26</v>
      </c>
      <c r="D3823" s="2" t="s">
        <v>27</v>
      </c>
      <c r="E3823" s="5">
        <v>-31357</v>
      </c>
      <c r="F3823" s="3" t="s">
        <v>1460</v>
      </c>
      <c r="G3823" s="3" t="s">
        <v>52</v>
      </c>
      <c r="H3823" s="2" t="s">
        <v>62</v>
      </c>
      <c r="I3823" s="2" t="s">
        <v>8802</v>
      </c>
      <c r="J3823" s="3" t="str">
        <f>HYPERLINK("https://www.boe.es/gazeta/dias/1814/02/22/pdfs/GRE-1814-25.pdf#page=8","Abrir facsímil")</f>
        <v>Abrir facsímil</v>
      </c>
      <c r="K3823" s="3" t="s">
        <v>64</v>
      </c>
    </row>
    <row r="3824" spans="1:11" ht="42" customHeight="1">
      <c r="A3824" s="2" t="s">
        <v>8801</v>
      </c>
      <c r="B3824" s="2" t="s">
        <v>8801</v>
      </c>
      <c r="C3824" s="2" t="s">
        <v>32</v>
      </c>
      <c r="D3824" s="2" t="s">
        <v>18</v>
      </c>
      <c r="E3824" s="5">
        <v>-31173</v>
      </c>
      <c r="F3824" s="3" t="s">
        <v>46</v>
      </c>
      <c r="G3824" s="3" t="s">
        <v>52</v>
      </c>
      <c r="H3824" s="2" t="s">
        <v>62</v>
      </c>
      <c r="I3824" s="2" t="s">
        <v>8803</v>
      </c>
      <c r="J3824" s="3" t="str">
        <f>HYPERLINK("https://www.boe.es/gazeta/dias/1814/08/25/pdfs/GMD-1814-116.pdf#page=8","Abrir facsímil")</f>
        <v>Abrir facsímil</v>
      </c>
      <c r="K3824" s="3" t="s">
        <v>64</v>
      </c>
    </row>
    <row r="3825" spans="1:11" ht="42" customHeight="1">
      <c r="A3825" s="2" t="s">
        <v>8804</v>
      </c>
      <c r="B3825" s="2" t="s">
        <v>8805</v>
      </c>
      <c r="C3825" s="2" t="s">
        <v>38</v>
      </c>
      <c r="D3825" s="2" t="s">
        <v>39</v>
      </c>
      <c r="E3825" s="5">
        <v>-31264</v>
      </c>
      <c r="F3825" s="3" t="s">
        <v>396</v>
      </c>
      <c r="G3825" s="3" t="s">
        <v>82</v>
      </c>
      <c r="H3825" s="2" t="s">
        <v>62</v>
      </c>
      <c r="I3825" s="2" t="s">
        <v>8806</v>
      </c>
      <c r="J3825" s="3" t="str">
        <f>HYPERLINK("https://www.boe.es/gazeta/dias/1814/05/26/pdfs/GMD-1814-77.pdf#page=3","Abrir facsímil")</f>
        <v>Abrir facsímil</v>
      </c>
      <c r="K3825" s="3" t="s">
        <v>64</v>
      </c>
    </row>
    <row r="3826" spans="1:11" ht="42" customHeight="1">
      <c r="A3826" s="2" t="s">
        <v>8807</v>
      </c>
      <c r="B3826" s="2" t="s">
        <v>8808</v>
      </c>
      <c r="C3826" s="2" t="s">
        <v>26</v>
      </c>
      <c r="D3826" s="2" t="s">
        <v>27</v>
      </c>
      <c r="E3826" s="5">
        <v>-31262</v>
      </c>
      <c r="F3826" s="3" t="s">
        <v>254</v>
      </c>
      <c r="G3826" s="3" t="s">
        <v>99</v>
      </c>
      <c r="H3826" s="2" t="s">
        <v>62</v>
      </c>
      <c r="I3826" s="2" t="s">
        <v>8809</v>
      </c>
      <c r="J3826" s="3" t="str">
        <f>HYPERLINK("https://www.boe.es/gazeta/dias/1814/05/28/pdfs/GMD-1814-78.pdf#page=5","Abrir facsímil")</f>
        <v>Abrir facsímil</v>
      </c>
      <c r="K3826" s="3" t="s">
        <v>64</v>
      </c>
    </row>
    <row r="3827" spans="1:11" ht="42" customHeight="1">
      <c r="A3827" s="2" t="s">
        <v>8810</v>
      </c>
      <c r="B3827" s="2" t="s">
        <v>8811</v>
      </c>
      <c r="C3827" s="2" t="s">
        <v>45</v>
      </c>
      <c r="D3827" s="2" t="s">
        <v>18</v>
      </c>
      <c r="E3827" s="5">
        <v>-31082</v>
      </c>
      <c r="F3827" s="3" t="s">
        <v>535</v>
      </c>
      <c r="G3827" s="3" t="s">
        <v>2461</v>
      </c>
      <c r="H3827" s="2" t="s">
        <v>62</v>
      </c>
      <c r="I3827" s="2" t="s">
        <v>8812</v>
      </c>
      <c r="J3827" s="3" t="str">
        <f>HYPERLINK("https://www.boe.es/gazeta/dias/1814/11/24/pdfs/GMD-1814-156.pdf#page=7","Abrir facsímil")</f>
        <v>Abrir facsímil</v>
      </c>
      <c r="K3827" s="3" t="s">
        <v>64</v>
      </c>
    </row>
    <row r="3828" spans="1:11" ht="42" customHeight="1">
      <c r="A3828" s="2" t="s">
        <v>8813</v>
      </c>
      <c r="B3828" s="2" t="s">
        <v>8814</v>
      </c>
      <c r="C3828" s="2" t="s">
        <v>17</v>
      </c>
      <c r="D3828" s="2" t="s">
        <v>18</v>
      </c>
      <c r="E3828" s="5">
        <v>-31119</v>
      </c>
      <c r="F3828" s="3" t="s">
        <v>136</v>
      </c>
      <c r="G3828" s="3" t="s">
        <v>322</v>
      </c>
      <c r="H3828" s="2" t="s">
        <v>21</v>
      </c>
      <c r="I3828" s="2" t="s">
        <v>8815</v>
      </c>
      <c r="J3828" s="3" t="str">
        <f>HYPERLINK("https://www.boe.es/gazeta/dias/1814/10/18/pdfs/GMD-1814-140.pdf#page=12","Abrir facsímil")</f>
        <v>Abrir facsímil</v>
      </c>
      <c r="K3828" s="3" t="s">
        <v>23</v>
      </c>
    </row>
    <row r="3829" spans="1:11" ht="42" customHeight="1">
      <c r="A3829" s="2" t="s">
        <v>8816</v>
      </c>
      <c r="B3829" s="2" t="s">
        <v>8817</v>
      </c>
      <c r="C3829" s="2" t="s">
        <v>17</v>
      </c>
      <c r="D3829" s="2" t="s">
        <v>18</v>
      </c>
      <c r="E3829" s="5">
        <v>-31115</v>
      </c>
      <c r="F3829" s="3" t="s">
        <v>805</v>
      </c>
      <c r="G3829" s="3" t="s">
        <v>20</v>
      </c>
      <c r="H3829" s="2" t="s">
        <v>21</v>
      </c>
      <c r="I3829" s="2" t="s">
        <v>8818</v>
      </c>
      <c r="J3829" s="3" t="str">
        <f>HYPERLINK("https://www.boe.es/gazeta/dias/1814/10/22/pdfs/GMD-1814-142.pdf#page=7","Abrir facsímil")</f>
        <v>Abrir facsímil</v>
      </c>
      <c r="K3829" s="3" t="s">
        <v>23</v>
      </c>
    </row>
    <row r="3830" spans="1:11" ht="42" customHeight="1">
      <c r="A3830" s="2" t="s">
        <v>8819</v>
      </c>
      <c r="B3830" s="2" t="s">
        <v>8820</v>
      </c>
      <c r="C3830" s="2" t="s">
        <v>17</v>
      </c>
      <c r="D3830" s="2" t="s">
        <v>18</v>
      </c>
      <c r="E3830" s="5">
        <v>-31110</v>
      </c>
      <c r="F3830" s="3" t="s">
        <v>149</v>
      </c>
      <c r="G3830" s="3" t="s">
        <v>20</v>
      </c>
      <c r="H3830" s="2" t="s">
        <v>21</v>
      </c>
      <c r="I3830" s="2" t="s">
        <v>8821</v>
      </c>
      <c r="J3830" s="3" t="str">
        <f>HYPERLINK("https://www.boe.es/gazeta/dias/1814/10/27/pdfs/GMD-1814-144.pdf#page=7","Abrir facsímil")</f>
        <v>Abrir facsímil</v>
      </c>
      <c r="K3830" s="3" t="s">
        <v>23</v>
      </c>
    </row>
    <row r="3831" spans="1:11" ht="42" customHeight="1">
      <c r="A3831" s="2" t="s">
        <v>8822</v>
      </c>
      <c r="B3831" s="2" t="s">
        <v>8822</v>
      </c>
      <c r="C3831" s="2" t="s">
        <v>38</v>
      </c>
      <c r="D3831" s="2" t="s">
        <v>39</v>
      </c>
      <c r="E3831" s="5">
        <v>-31341</v>
      </c>
      <c r="F3831" s="3" t="s">
        <v>360</v>
      </c>
      <c r="G3831" s="3" t="s">
        <v>41</v>
      </c>
      <c r="H3831" s="2" t="s">
        <v>62</v>
      </c>
      <c r="I3831" s="2" t="s">
        <v>8823</v>
      </c>
      <c r="J3831" s="3" t="str">
        <f>HYPERLINK("https://www.boe.es/gazeta/dias/1814/03/10/pdfs/GRE-1814-33.pdf#page=4","Abrir facsímil")</f>
        <v>Abrir facsímil</v>
      </c>
      <c r="K3831" s="3" t="s">
        <v>64</v>
      </c>
    </row>
    <row r="3832" spans="1:11" ht="42" customHeight="1">
      <c r="A3832" s="2" t="s">
        <v>8824</v>
      </c>
      <c r="B3832" s="2" t="s">
        <v>8825</v>
      </c>
      <c r="C3832" s="2" t="s">
        <v>38</v>
      </c>
      <c r="D3832" s="2" t="s">
        <v>39</v>
      </c>
      <c r="E3832" s="5">
        <v>-31159</v>
      </c>
      <c r="F3832" s="3" t="s">
        <v>1175</v>
      </c>
      <c r="G3832" s="3" t="s">
        <v>52</v>
      </c>
      <c r="H3832" s="2" t="s">
        <v>21</v>
      </c>
      <c r="I3832" s="2" t="s">
        <v>8826</v>
      </c>
      <c r="J3832" s="3" t="str">
        <f>HYPERLINK("https://www.boe.es/gazeta/dias/1814/09/08/pdfs/GMD-1814-123.pdf#page=8","Abrir facsímil")</f>
        <v>Abrir facsímil</v>
      </c>
      <c r="K3832" s="3" t="s">
        <v>23</v>
      </c>
    </row>
    <row r="3833" spans="1:11" ht="42" customHeight="1">
      <c r="A3833" s="2" t="s">
        <v>8827</v>
      </c>
      <c r="B3833" s="2" t="s">
        <v>8828</v>
      </c>
      <c r="C3833" s="2" t="s">
        <v>309</v>
      </c>
      <c r="D3833" s="2" t="s">
        <v>18</v>
      </c>
      <c r="E3833" s="5">
        <v>-31066</v>
      </c>
      <c r="F3833" s="3" t="s">
        <v>1323</v>
      </c>
      <c r="G3833" s="3" t="s">
        <v>87</v>
      </c>
      <c r="H3833" s="2" t="s">
        <v>62</v>
      </c>
      <c r="I3833" s="2" t="s">
        <v>8829</v>
      </c>
      <c r="J3833" s="3" t="str">
        <f>HYPERLINK("https://www.boe.es/gazeta/dias/1814/12/10/pdfs/GMD-1814-163.pdf#page=2","Abrir facsímil")</f>
        <v>Abrir facsímil</v>
      </c>
      <c r="K3833" s="3" t="s">
        <v>64</v>
      </c>
    </row>
    <row r="3834" spans="1:11" ht="42" customHeight="1">
      <c r="A3834" s="2" t="s">
        <v>8830</v>
      </c>
      <c r="B3834" s="2" t="s">
        <v>8831</v>
      </c>
      <c r="C3834" s="2" t="s">
        <v>38</v>
      </c>
      <c r="D3834" s="2" t="s">
        <v>39</v>
      </c>
      <c r="E3834" s="5">
        <v>-31327</v>
      </c>
      <c r="F3834" s="3" t="s">
        <v>180</v>
      </c>
      <c r="G3834" s="3" t="s">
        <v>57</v>
      </c>
      <c r="H3834" s="2" t="s">
        <v>62</v>
      </c>
      <c r="I3834" s="2" t="s">
        <v>8832</v>
      </c>
      <c r="J3834" s="3" t="str">
        <f>HYPERLINK("https://www.boe.es/gazeta/dias/1814/03/24/pdfs/GRE-1814-41.pdf#page=6","Abrir facsímil")</f>
        <v>Abrir facsímil</v>
      </c>
      <c r="K3834" s="3" t="s">
        <v>64</v>
      </c>
    </row>
    <row r="3835" spans="1:11" ht="42" customHeight="1">
      <c r="A3835" s="2" t="s">
        <v>8833</v>
      </c>
      <c r="B3835" s="2" t="s">
        <v>8834</v>
      </c>
      <c r="C3835" s="2" t="s">
        <v>38</v>
      </c>
      <c r="D3835" s="2" t="s">
        <v>314</v>
      </c>
      <c r="E3835" s="5">
        <v>-31296</v>
      </c>
      <c r="F3835" s="3" t="s">
        <v>315</v>
      </c>
      <c r="G3835" s="3" t="s">
        <v>52</v>
      </c>
      <c r="H3835" s="2" t="s">
        <v>62</v>
      </c>
      <c r="I3835" s="2" t="s">
        <v>8835</v>
      </c>
      <c r="J3835" s="3" t="str">
        <f>HYPERLINK("https://www.boe.es/gazeta/dias/1814/04/24/pdfs/GRE-1814-60E.pdf#page=8","Abrir facsímil")</f>
        <v>Abrir facsímil</v>
      </c>
      <c r="K3835" s="3" t="s">
        <v>64</v>
      </c>
    </row>
    <row r="3836" spans="1:11" ht="42" customHeight="1">
      <c r="A3836" s="2" t="s">
        <v>8836</v>
      </c>
      <c r="B3836" s="2" t="s">
        <v>8837</v>
      </c>
      <c r="C3836" s="2" t="s">
        <v>38</v>
      </c>
      <c r="D3836" s="2" t="s">
        <v>314</v>
      </c>
      <c r="E3836" s="5">
        <v>-31296</v>
      </c>
      <c r="F3836" s="3" t="s">
        <v>315</v>
      </c>
      <c r="G3836" s="3" t="s">
        <v>52</v>
      </c>
      <c r="H3836" s="2" t="s">
        <v>62</v>
      </c>
      <c r="I3836" s="2" t="s">
        <v>8838</v>
      </c>
      <c r="J3836" s="3" t="str">
        <f>HYPERLINK("https://www.boe.es/gazeta/dias/1814/04/24/pdfs/GRE-1814-60E.pdf#page=8","Abrir facsímil")</f>
        <v>Abrir facsímil</v>
      </c>
      <c r="K3836" s="3" t="s">
        <v>64</v>
      </c>
    </row>
    <row r="3837" spans="1:11" ht="42" customHeight="1">
      <c r="A3837" s="2" t="s">
        <v>8839</v>
      </c>
      <c r="B3837" s="2" t="s">
        <v>8840</v>
      </c>
      <c r="C3837" s="2" t="s">
        <v>38</v>
      </c>
      <c r="D3837" s="2" t="s">
        <v>39</v>
      </c>
      <c r="E3837" s="5">
        <v>-31047</v>
      </c>
      <c r="F3837" s="3" t="s">
        <v>815</v>
      </c>
      <c r="G3837" s="3" t="s">
        <v>107</v>
      </c>
      <c r="H3837" s="2" t="s">
        <v>62</v>
      </c>
      <c r="I3837" s="2" t="s">
        <v>8841</v>
      </c>
      <c r="J3837" s="3" t="str">
        <f>HYPERLINK("https://www.boe.es/gazeta/dias/1814/12/29/pdfs/GMD-1814-172.pdf#page=1","Abrir facsímil")</f>
        <v>Abrir facsímil</v>
      </c>
      <c r="K3837" s="3" t="s">
        <v>64</v>
      </c>
    </row>
    <row r="3838" spans="1:11" ht="42" customHeight="1">
      <c r="A3838" s="2" t="s">
        <v>8842</v>
      </c>
      <c r="B3838" s="2" t="s">
        <v>8843</v>
      </c>
      <c r="C3838" s="2" t="s">
        <v>38</v>
      </c>
      <c r="D3838" s="2" t="s">
        <v>39</v>
      </c>
      <c r="E3838" s="5">
        <v>-31203</v>
      </c>
      <c r="F3838" s="3" t="s">
        <v>512</v>
      </c>
      <c r="G3838" s="3" t="s">
        <v>52</v>
      </c>
      <c r="H3838" s="2" t="s">
        <v>21</v>
      </c>
      <c r="I3838" s="2" t="s">
        <v>8844</v>
      </c>
      <c r="J3838" s="3" t="str">
        <f>HYPERLINK("https://www.boe.es/gazeta/dias/1814/07/26/pdfs/GMD-1814-103.pdf#page=8","Abrir facsímil")</f>
        <v>Abrir facsímil</v>
      </c>
      <c r="K3838" s="3" t="s">
        <v>23</v>
      </c>
    </row>
    <row r="3839" spans="1:11" ht="42" customHeight="1">
      <c r="A3839" s="2" t="s">
        <v>8845</v>
      </c>
      <c r="B3839" s="2" t="s">
        <v>8846</v>
      </c>
      <c r="C3839" s="2" t="s">
        <v>32</v>
      </c>
      <c r="D3839" s="2" t="s">
        <v>18</v>
      </c>
      <c r="E3839" s="5">
        <v>-31154</v>
      </c>
      <c r="F3839" s="3" t="s">
        <v>688</v>
      </c>
      <c r="G3839" s="3" t="s">
        <v>52</v>
      </c>
      <c r="H3839" s="2" t="s">
        <v>62</v>
      </c>
      <c r="I3839" s="2" t="s">
        <v>8847</v>
      </c>
      <c r="J3839" s="3" t="str">
        <f>HYPERLINK("https://www.boe.es/gazeta/dias/1814/09/13/pdfs/GMD-1814-125.pdf#page=8","Abrir facsímil")</f>
        <v>Abrir facsímil</v>
      </c>
      <c r="K3839" s="3" t="s">
        <v>64</v>
      </c>
    </row>
    <row r="3840" spans="1:11" ht="42" customHeight="1">
      <c r="A3840" s="2" t="s">
        <v>8848</v>
      </c>
      <c r="B3840" s="2" t="s">
        <v>8849</v>
      </c>
      <c r="C3840" s="2" t="s">
        <v>17</v>
      </c>
      <c r="D3840" s="2" t="s">
        <v>18</v>
      </c>
      <c r="E3840" s="5">
        <v>-31119</v>
      </c>
      <c r="F3840" s="3" t="s">
        <v>136</v>
      </c>
      <c r="G3840" s="3" t="s">
        <v>384</v>
      </c>
      <c r="H3840" s="2" t="s">
        <v>21</v>
      </c>
      <c r="I3840" s="2" t="s">
        <v>8850</v>
      </c>
      <c r="J3840" s="3" t="str">
        <f>HYPERLINK("https://www.boe.es/gazeta/dias/1814/10/18/pdfs/GMD-1814-140.pdf#page=11","Abrir facsímil")</f>
        <v>Abrir facsímil</v>
      </c>
      <c r="K3840" s="3" t="s">
        <v>23</v>
      </c>
    </row>
    <row r="3841" spans="1:11" ht="42" customHeight="1">
      <c r="A3841" s="2" t="s">
        <v>8848</v>
      </c>
      <c r="B3841" s="2" t="s">
        <v>8849</v>
      </c>
      <c r="C3841" s="2" t="s">
        <v>17</v>
      </c>
      <c r="D3841" s="2" t="s">
        <v>18</v>
      </c>
      <c r="E3841" s="5">
        <v>-31115</v>
      </c>
      <c r="F3841" s="3" t="s">
        <v>805</v>
      </c>
      <c r="G3841" s="3" t="s">
        <v>20</v>
      </c>
      <c r="H3841" s="2" t="s">
        <v>21</v>
      </c>
      <c r="I3841" s="2" t="s">
        <v>8851</v>
      </c>
      <c r="J3841" s="3" t="str">
        <f>HYPERLINK("https://www.boe.es/gazeta/dias/1814/10/22/pdfs/GMD-1814-142.pdf#page=7","Abrir facsímil")</f>
        <v>Abrir facsímil</v>
      </c>
      <c r="K3841" s="3" t="s">
        <v>23</v>
      </c>
    </row>
    <row r="3842" spans="1:11" ht="42" customHeight="1">
      <c r="A3842" s="2" t="s">
        <v>8852</v>
      </c>
      <c r="B3842" s="2" t="s">
        <v>8853</v>
      </c>
      <c r="C3842" s="2" t="s">
        <v>38</v>
      </c>
      <c r="D3842" s="2" t="s">
        <v>314</v>
      </c>
      <c r="E3842" s="5">
        <v>-31296</v>
      </c>
      <c r="F3842" s="3" t="s">
        <v>315</v>
      </c>
      <c r="G3842" s="3" t="s">
        <v>52</v>
      </c>
      <c r="H3842" s="2" t="s">
        <v>62</v>
      </c>
      <c r="I3842" s="2" t="s">
        <v>8854</v>
      </c>
      <c r="J3842" s="3" t="str">
        <f>HYPERLINK("https://www.boe.es/gazeta/dias/1814/04/24/pdfs/GRE-1814-60E.pdf#page=8","Abrir facsímil")</f>
        <v>Abrir facsímil</v>
      </c>
      <c r="K3842" s="3" t="s">
        <v>64</v>
      </c>
    </row>
    <row r="3843" spans="1:11" ht="42" customHeight="1">
      <c r="A3843" s="2" t="s">
        <v>8855</v>
      </c>
      <c r="B3843" s="2" t="s">
        <v>8856</v>
      </c>
      <c r="C3843" s="2" t="s">
        <v>38</v>
      </c>
      <c r="D3843" s="2" t="s">
        <v>39</v>
      </c>
      <c r="E3843" s="5">
        <v>-31175</v>
      </c>
      <c r="F3843" s="3" t="s">
        <v>145</v>
      </c>
      <c r="G3843" s="3" t="s">
        <v>41</v>
      </c>
      <c r="H3843" s="2" t="s">
        <v>62</v>
      </c>
      <c r="I3843" s="2" t="s">
        <v>8857</v>
      </c>
      <c r="J3843" s="3" t="str">
        <f>HYPERLINK("https://www.boe.es/gazeta/dias/1814/08/23/pdfs/GMD-1814-115.pdf#page=4","Abrir facsímil")</f>
        <v>Abrir facsímil</v>
      </c>
      <c r="K3843" s="3" t="s">
        <v>64</v>
      </c>
    </row>
    <row r="3844" spans="1:11" ht="42" customHeight="1">
      <c r="A3844" s="2" t="s">
        <v>8858</v>
      </c>
      <c r="B3844" s="2" t="s">
        <v>8859</v>
      </c>
      <c r="C3844" s="2" t="s">
        <v>38</v>
      </c>
      <c r="D3844" s="2" t="s">
        <v>314</v>
      </c>
      <c r="E3844" s="5">
        <v>-31296</v>
      </c>
      <c r="F3844" s="3" t="s">
        <v>315</v>
      </c>
      <c r="G3844" s="3" t="s">
        <v>20</v>
      </c>
      <c r="H3844" s="2" t="s">
        <v>62</v>
      </c>
      <c r="I3844" s="2" t="s">
        <v>8860</v>
      </c>
      <c r="J3844" s="3" t="str">
        <f>HYPERLINK("https://www.boe.es/gazeta/dias/1814/04/24/pdfs/GRE-1814-60E.pdf#page=7","Abrir facsímil")</f>
        <v>Abrir facsímil</v>
      </c>
      <c r="K3844" s="3" t="s">
        <v>64</v>
      </c>
    </row>
    <row r="3845" spans="1:11" ht="42" customHeight="1">
      <c r="A3845" s="2" t="s">
        <v>8861</v>
      </c>
      <c r="B3845" s="2" t="s">
        <v>8862</v>
      </c>
      <c r="C3845" s="2" t="s">
        <v>38</v>
      </c>
      <c r="D3845" s="2" t="s">
        <v>39</v>
      </c>
      <c r="E3845" s="5">
        <v>-31252</v>
      </c>
      <c r="F3845" s="3" t="s">
        <v>364</v>
      </c>
      <c r="G3845" s="3" t="s">
        <v>8092</v>
      </c>
      <c r="H3845" s="2" t="s">
        <v>21</v>
      </c>
      <c r="I3845" s="2" t="s">
        <v>8863</v>
      </c>
      <c r="J3845" s="3" t="str">
        <f>HYPERLINK("https://www.boe.es/gazeta/dias/1814/06/07/pdfs/GMD-1814-82.pdf#page=10","Abrir facsímil")</f>
        <v>Abrir facsímil</v>
      </c>
      <c r="K3845" s="3" t="s">
        <v>23</v>
      </c>
    </row>
    <row r="3846" spans="1:11" ht="42" customHeight="1">
      <c r="A3846" s="2" t="s">
        <v>8864</v>
      </c>
      <c r="B3846" s="2" t="s">
        <v>8865</v>
      </c>
      <c r="C3846" s="2" t="s">
        <v>309</v>
      </c>
      <c r="D3846" s="2" t="s">
        <v>18</v>
      </c>
      <c r="E3846" s="5">
        <v>-31252</v>
      </c>
      <c r="F3846" s="3" t="s">
        <v>364</v>
      </c>
      <c r="G3846" s="3" t="s">
        <v>8866</v>
      </c>
      <c r="H3846" s="2" t="s">
        <v>21</v>
      </c>
      <c r="I3846" s="2" t="s">
        <v>8867</v>
      </c>
      <c r="J3846" s="3" t="str">
        <f>HYPERLINK("https://www.boe.es/gazeta/dias/1814/06/07/pdfs/GMD-1814-82.pdf#page=12","Abrir facsímil")</f>
        <v>Abrir facsímil</v>
      </c>
      <c r="K3846" s="3" t="s">
        <v>23</v>
      </c>
    </row>
    <row r="3847" spans="1:11" ht="42" customHeight="1">
      <c r="A3847" s="2" t="s">
        <v>8868</v>
      </c>
      <c r="B3847" s="2" t="s">
        <v>8868</v>
      </c>
      <c r="C3847" s="2" t="s">
        <v>26</v>
      </c>
      <c r="D3847" s="2" t="s">
        <v>27</v>
      </c>
      <c r="E3847" s="5">
        <v>-31229</v>
      </c>
      <c r="F3847" s="3" t="s">
        <v>502</v>
      </c>
      <c r="G3847" s="3" t="s">
        <v>704</v>
      </c>
      <c r="H3847" s="2" t="s">
        <v>62</v>
      </c>
      <c r="I3847" s="2" t="s">
        <v>8869</v>
      </c>
      <c r="J3847" s="3" t="str">
        <f>HYPERLINK("https://www.boe.es/gazeta/dias/1814/06/30/pdfs/GMD-1814-92.pdf#page=10","Abrir facsímil")</f>
        <v>Abrir facsímil</v>
      </c>
      <c r="K3847" s="3" t="s">
        <v>64</v>
      </c>
    </row>
    <row r="3848" spans="1:11" ht="42" customHeight="1">
      <c r="A3848" s="2" t="s">
        <v>8870</v>
      </c>
      <c r="B3848" s="2" t="s">
        <v>8870</v>
      </c>
      <c r="C3848" s="2" t="s">
        <v>38</v>
      </c>
      <c r="D3848" s="2" t="s">
        <v>39</v>
      </c>
      <c r="E3848" s="5">
        <v>-31397</v>
      </c>
      <c r="F3848" s="3" t="s">
        <v>929</v>
      </c>
      <c r="G3848" s="3" t="s">
        <v>107</v>
      </c>
      <c r="H3848" s="2" t="s">
        <v>62</v>
      </c>
      <c r="I3848" s="2" t="s">
        <v>8871</v>
      </c>
      <c r="J3848" s="3" t="str">
        <f>HYPERLINK("https://www.boe.es/gazeta/dias/1814/01/13/pdfs/GRE-1814-7.pdf#page=1","Abrir facsímil")</f>
        <v>Abrir facsímil</v>
      </c>
      <c r="K3848" s="3" t="s">
        <v>64</v>
      </c>
    </row>
    <row r="3849" spans="1:11" ht="42" customHeight="1">
      <c r="A3849" s="2" t="s">
        <v>8870</v>
      </c>
      <c r="B3849" s="2" t="s">
        <v>8870</v>
      </c>
      <c r="C3849" s="2" t="s">
        <v>38</v>
      </c>
      <c r="D3849" s="2" t="s">
        <v>39</v>
      </c>
      <c r="E3849" s="5">
        <v>-31388</v>
      </c>
      <c r="F3849" s="3" t="s">
        <v>1299</v>
      </c>
      <c r="G3849" s="3" t="s">
        <v>107</v>
      </c>
      <c r="H3849" s="2" t="s">
        <v>62</v>
      </c>
      <c r="I3849" s="2" t="s">
        <v>8872</v>
      </c>
      <c r="J3849" s="3" t="str">
        <f>HYPERLINK("https://www.boe.es/gazeta/dias/1814/01/22/pdfs/GRE-1814-11.pdf#page=1","Abrir facsímil")</f>
        <v>Abrir facsímil</v>
      </c>
      <c r="K3849" s="3" t="s">
        <v>64</v>
      </c>
    </row>
    <row r="3850" spans="1:11" ht="42" customHeight="1">
      <c r="A3850" s="2" t="s">
        <v>8870</v>
      </c>
      <c r="B3850" s="2" t="s">
        <v>8870</v>
      </c>
      <c r="C3850" s="2" t="s">
        <v>38</v>
      </c>
      <c r="D3850" s="2" t="s">
        <v>39</v>
      </c>
      <c r="E3850" s="5">
        <v>-31385</v>
      </c>
      <c r="F3850" s="3" t="s">
        <v>783</v>
      </c>
      <c r="G3850" s="3" t="s">
        <v>87</v>
      </c>
      <c r="H3850" s="2" t="s">
        <v>62</v>
      </c>
      <c r="I3850" s="2" t="s">
        <v>8873</v>
      </c>
      <c r="J3850" s="3" t="str">
        <f>HYPERLINK("https://www.boe.es/gazeta/dias/1814/01/25/pdfs/GRE-1814-12.pdf#page=2","Abrir facsímil")</f>
        <v>Abrir facsímil</v>
      </c>
      <c r="K3850" s="3" t="s">
        <v>64</v>
      </c>
    </row>
    <row r="3851" spans="1:11" ht="42" customHeight="1">
      <c r="A3851" s="2" t="s">
        <v>8870</v>
      </c>
      <c r="B3851" s="2" t="s">
        <v>8870</v>
      </c>
      <c r="C3851" s="2" t="s">
        <v>38</v>
      </c>
      <c r="D3851" s="2" t="s">
        <v>39</v>
      </c>
      <c r="E3851" s="5">
        <v>-31385</v>
      </c>
      <c r="F3851" s="3" t="s">
        <v>783</v>
      </c>
      <c r="G3851" s="3" t="s">
        <v>82</v>
      </c>
      <c r="H3851" s="2" t="s">
        <v>62</v>
      </c>
      <c r="I3851" s="2" t="s">
        <v>8874</v>
      </c>
      <c r="J3851" s="3" t="str">
        <f>HYPERLINK("https://www.boe.es/gazeta/dias/1814/01/25/pdfs/GRE-1814-12.pdf#page=3","Abrir facsímil")</f>
        <v>Abrir facsímil</v>
      </c>
      <c r="K3851" s="3" t="s">
        <v>64</v>
      </c>
    </row>
    <row r="3852" spans="1:11" ht="42" customHeight="1">
      <c r="A3852" s="2" t="s">
        <v>8870</v>
      </c>
      <c r="B3852" s="2" t="s">
        <v>8870</v>
      </c>
      <c r="C3852" s="2" t="s">
        <v>38</v>
      </c>
      <c r="D3852" s="2" t="s">
        <v>39</v>
      </c>
      <c r="E3852" s="5">
        <v>-31360</v>
      </c>
      <c r="F3852" s="3" t="s">
        <v>480</v>
      </c>
      <c r="G3852" s="3" t="s">
        <v>82</v>
      </c>
      <c r="H3852" s="2" t="s">
        <v>62</v>
      </c>
      <c r="I3852" s="2" t="s">
        <v>8875</v>
      </c>
      <c r="J3852" s="3" t="str">
        <f>HYPERLINK("https://www.boe.es/gazeta/dias/1814/02/19/pdfs/GRE-1814-23.pdf#page=3","Abrir facsímil")</f>
        <v>Abrir facsímil</v>
      </c>
      <c r="K3852" s="3" t="s">
        <v>64</v>
      </c>
    </row>
    <row r="3853" spans="1:11" ht="42" customHeight="1">
      <c r="A3853" s="2" t="s">
        <v>8870</v>
      </c>
      <c r="B3853" s="2" t="s">
        <v>8870</v>
      </c>
      <c r="C3853" s="2" t="s">
        <v>17</v>
      </c>
      <c r="D3853" s="2" t="s">
        <v>18</v>
      </c>
      <c r="E3853" s="5">
        <v>-31357</v>
      </c>
      <c r="F3853" s="3" t="s">
        <v>1460</v>
      </c>
      <c r="G3853" s="3" t="s">
        <v>107</v>
      </c>
      <c r="H3853" s="2" t="s">
        <v>62</v>
      </c>
      <c r="I3853" s="2" t="s">
        <v>8876</v>
      </c>
      <c r="J3853" s="3" t="str">
        <f>HYPERLINK("https://www.boe.es/gazeta/dias/1814/02/22/pdfs/GRE-1814-25.pdf#page=1","Abrir facsímil")</f>
        <v>Abrir facsímil</v>
      </c>
      <c r="K3853" s="3" t="s">
        <v>64</v>
      </c>
    </row>
    <row r="3854" spans="1:11" ht="42" customHeight="1">
      <c r="A3854" s="2" t="s">
        <v>8870</v>
      </c>
      <c r="B3854" s="2" t="s">
        <v>8870</v>
      </c>
      <c r="C3854" s="2" t="s">
        <v>38</v>
      </c>
      <c r="D3854" s="2" t="s">
        <v>39</v>
      </c>
      <c r="E3854" s="5">
        <v>-31334</v>
      </c>
      <c r="F3854" s="3" t="s">
        <v>482</v>
      </c>
      <c r="G3854" s="3" t="s">
        <v>87</v>
      </c>
      <c r="H3854" s="2" t="s">
        <v>62</v>
      </c>
      <c r="I3854" s="2" t="s">
        <v>8877</v>
      </c>
      <c r="J3854" s="3" t="str">
        <f>HYPERLINK("https://www.boe.es/gazeta/dias/1814/03/17/pdfs/GRE-1814-37.pdf#page=2","Abrir facsímil")</f>
        <v>Abrir facsímil</v>
      </c>
      <c r="K3854" s="3" t="s">
        <v>64</v>
      </c>
    </row>
    <row r="3855" spans="1:11" ht="42" customHeight="1">
      <c r="A3855" s="2" t="s">
        <v>8870</v>
      </c>
      <c r="B3855" s="2" t="s">
        <v>8870</v>
      </c>
      <c r="C3855" s="2" t="s">
        <v>38</v>
      </c>
      <c r="D3855" s="2" t="s">
        <v>39</v>
      </c>
      <c r="E3855" s="5">
        <v>-31126</v>
      </c>
      <c r="F3855" s="3" t="s">
        <v>56</v>
      </c>
      <c r="G3855" s="3" t="s">
        <v>107</v>
      </c>
      <c r="H3855" s="2" t="s">
        <v>62</v>
      </c>
      <c r="I3855" s="2" t="s">
        <v>8878</v>
      </c>
      <c r="J3855" s="3" t="str">
        <f>HYPERLINK("https://www.boe.es/gazeta/dias/1814/10/11/pdfs/GMD-1814-137.pdf#page=1","Abrir facsímil")</f>
        <v>Abrir facsímil</v>
      </c>
      <c r="K3855" s="3" t="s">
        <v>64</v>
      </c>
    </row>
    <row r="3856" spans="1:11" ht="42" customHeight="1">
      <c r="A3856" s="2" t="s">
        <v>8879</v>
      </c>
      <c r="B3856" s="2" t="s">
        <v>8879</v>
      </c>
      <c r="C3856" s="2" t="s">
        <v>17</v>
      </c>
      <c r="D3856" s="2" t="s">
        <v>18</v>
      </c>
      <c r="E3856" s="5">
        <v>-31229</v>
      </c>
      <c r="F3856" s="3" t="s">
        <v>502</v>
      </c>
      <c r="G3856" s="3" t="s">
        <v>384</v>
      </c>
      <c r="H3856" s="2" t="s">
        <v>62</v>
      </c>
      <c r="I3856" s="2" t="s">
        <v>8880</v>
      </c>
      <c r="J3856" s="3" t="str">
        <f>HYPERLINK("https://www.boe.es/gazeta/dias/1814/06/30/pdfs/GMD-1814-92.pdf#page=11","Abrir facsímil")</f>
        <v>Abrir facsímil</v>
      </c>
      <c r="K3856" s="3" t="s">
        <v>64</v>
      </c>
    </row>
    <row r="3857" spans="1:11" ht="42" customHeight="1">
      <c r="A3857" s="2" t="s">
        <v>8879</v>
      </c>
      <c r="B3857" s="2" t="s">
        <v>8879</v>
      </c>
      <c r="C3857" s="2" t="s">
        <v>17</v>
      </c>
      <c r="D3857" s="2" t="s">
        <v>18</v>
      </c>
      <c r="E3857" s="5">
        <v>-31159</v>
      </c>
      <c r="F3857" s="3" t="s">
        <v>1175</v>
      </c>
      <c r="G3857" s="3" t="s">
        <v>3109</v>
      </c>
      <c r="H3857" s="2" t="s">
        <v>62</v>
      </c>
      <c r="I3857" s="2" t="s">
        <v>8881</v>
      </c>
      <c r="J3857" s="3" t="str">
        <f>HYPERLINK("https://www.boe.es/gazeta/dias/1814/09/08/pdfs/GMD-1814-123.pdf#page=4","Abrir facsímil")</f>
        <v>Abrir facsímil</v>
      </c>
      <c r="K3857" s="3" t="s">
        <v>64</v>
      </c>
    </row>
    <row r="3858" spans="1:11" ht="42" customHeight="1">
      <c r="A3858" s="2" t="s">
        <v>8879</v>
      </c>
      <c r="B3858" s="2" t="s">
        <v>8879</v>
      </c>
      <c r="C3858" s="2" t="s">
        <v>26</v>
      </c>
      <c r="D3858" s="2" t="s">
        <v>27</v>
      </c>
      <c r="E3858" s="5">
        <v>-31159</v>
      </c>
      <c r="F3858" s="3" t="s">
        <v>1175</v>
      </c>
      <c r="G3858" s="3" t="s">
        <v>99</v>
      </c>
      <c r="H3858" s="2" t="s">
        <v>62</v>
      </c>
      <c r="I3858" s="2" t="s">
        <v>8882</v>
      </c>
      <c r="J3858" s="3" t="str">
        <f>HYPERLINK("https://www.boe.es/gazeta/dias/1814/09/08/pdfs/GMD-1814-123.pdf#page=5","Abrir facsímil")</f>
        <v>Abrir facsímil</v>
      </c>
      <c r="K3858" s="3" t="s">
        <v>64</v>
      </c>
    </row>
    <row r="3859" spans="1:11" ht="42" customHeight="1">
      <c r="A3859" s="2" t="s">
        <v>8883</v>
      </c>
      <c r="B3859" s="2" t="s">
        <v>8884</v>
      </c>
      <c r="C3859" s="2" t="s">
        <v>38</v>
      </c>
      <c r="D3859" s="2" t="s">
        <v>39</v>
      </c>
      <c r="E3859" s="5">
        <v>-31103</v>
      </c>
      <c r="F3859" s="3" t="s">
        <v>1260</v>
      </c>
      <c r="G3859" s="3" t="s">
        <v>20</v>
      </c>
      <c r="H3859" s="2" t="s">
        <v>62</v>
      </c>
      <c r="I3859" s="2" t="s">
        <v>8885</v>
      </c>
      <c r="J3859" s="3" t="str">
        <f>HYPERLINK("https://www.boe.es/gazeta/dias/1814/11/03/pdfs/GMD-1814-147.pdf#page=7","Abrir facsímil")</f>
        <v>Abrir facsímil</v>
      </c>
      <c r="K3859" s="3" t="s">
        <v>64</v>
      </c>
    </row>
    <row r="3860" spans="1:11" ht="42" customHeight="1">
      <c r="A3860" s="2" t="s">
        <v>8886</v>
      </c>
      <c r="B3860" s="2" t="s">
        <v>8887</v>
      </c>
      <c r="C3860" s="2" t="s">
        <v>26</v>
      </c>
      <c r="D3860" s="2" t="s">
        <v>27</v>
      </c>
      <c r="E3860" s="5">
        <v>-31164</v>
      </c>
      <c r="F3860" s="3" t="s">
        <v>1423</v>
      </c>
      <c r="G3860" s="3" t="s">
        <v>52</v>
      </c>
      <c r="H3860" s="2" t="s">
        <v>21</v>
      </c>
      <c r="I3860" s="2" t="s">
        <v>8888</v>
      </c>
      <c r="J3860" s="3" t="str">
        <f>HYPERLINK("https://www.boe.es/gazeta/dias/1814/09/03/pdfs/GMD-1814-121.pdf#page=8","Abrir facsímil")</f>
        <v>Abrir facsímil</v>
      </c>
      <c r="K3860" s="3" t="s">
        <v>23</v>
      </c>
    </row>
    <row r="3861" spans="1:11" ht="42" customHeight="1">
      <c r="A3861" s="2" t="s">
        <v>8889</v>
      </c>
      <c r="B3861" s="2" t="s">
        <v>8890</v>
      </c>
      <c r="C3861" s="2" t="s">
        <v>45</v>
      </c>
      <c r="D3861" s="2" t="s">
        <v>18</v>
      </c>
      <c r="E3861" s="5">
        <v>-31164</v>
      </c>
      <c r="F3861" s="3" t="s">
        <v>1423</v>
      </c>
      <c r="G3861" s="3" t="s">
        <v>52</v>
      </c>
      <c r="H3861" s="2" t="s">
        <v>21</v>
      </c>
      <c r="I3861" s="2" t="s">
        <v>8891</v>
      </c>
      <c r="J3861" s="3" t="str">
        <f>HYPERLINK("https://www.boe.es/gazeta/dias/1814/09/03/pdfs/GMD-1814-121.pdf#page=8","Abrir facsímil")</f>
        <v>Abrir facsímil</v>
      </c>
      <c r="K3861" s="3" t="s">
        <v>23</v>
      </c>
    </row>
    <row r="3862" spans="1:11" ht="42" customHeight="1">
      <c r="A3862" s="2" t="s">
        <v>8892</v>
      </c>
      <c r="B3862" s="2" t="s">
        <v>8892</v>
      </c>
      <c r="C3862" s="2" t="s">
        <v>38</v>
      </c>
      <c r="D3862" s="2" t="s">
        <v>39</v>
      </c>
      <c r="E3862" s="5">
        <v>-31350</v>
      </c>
      <c r="F3862" s="3" t="s">
        <v>377</v>
      </c>
      <c r="G3862" s="3" t="s">
        <v>20</v>
      </c>
      <c r="H3862" s="2" t="s">
        <v>62</v>
      </c>
      <c r="I3862" s="2" t="s">
        <v>8893</v>
      </c>
      <c r="J3862" s="3" t="str">
        <f>HYPERLINK("https://www.boe.es/gazeta/dias/1814/03/01/pdfs/GRE-1814-28.pdf#page=7","Abrir facsímil")</f>
        <v>Abrir facsímil</v>
      </c>
      <c r="K3862" s="3" t="s">
        <v>64</v>
      </c>
    </row>
    <row r="3863" spans="1:11" ht="42" customHeight="1">
      <c r="A3863" s="2" t="s">
        <v>8894</v>
      </c>
      <c r="B3863" s="2" t="s">
        <v>8895</v>
      </c>
      <c r="C3863" s="2" t="s">
        <v>38</v>
      </c>
      <c r="D3863" s="2" t="s">
        <v>39</v>
      </c>
      <c r="E3863" s="5">
        <v>-31234</v>
      </c>
      <c r="F3863" s="3" t="s">
        <v>462</v>
      </c>
      <c r="G3863" s="3" t="s">
        <v>2864</v>
      </c>
      <c r="H3863" s="2" t="s">
        <v>62</v>
      </c>
      <c r="I3863" s="2" t="s">
        <v>8896</v>
      </c>
      <c r="J3863" s="3" t="str">
        <f>HYPERLINK("https://www.boe.es/gazeta/dias/1814/06/25/pdfs/GMD-1814-90.pdf#page=12","Abrir facsímil")</f>
        <v>Abrir facsímil</v>
      </c>
      <c r="K3863" s="3" t="s">
        <v>64</v>
      </c>
    </row>
    <row r="3864" spans="1:11" ht="42" customHeight="1">
      <c r="A3864" s="2" t="s">
        <v>8897</v>
      </c>
      <c r="B3864" s="2" t="s">
        <v>8898</v>
      </c>
      <c r="C3864" s="2" t="s">
        <v>38</v>
      </c>
      <c r="D3864" s="2" t="s">
        <v>39</v>
      </c>
      <c r="E3864" s="5">
        <v>-31405</v>
      </c>
      <c r="F3864" s="3" t="s">
        <v>1754</v>
      </c>
      <c r="G3864" s="3" t="s">
        <v>3368</v>
      </c>
      <c r="H3864" s="2" t="s">
        <v>62</v>
      </c>
      <c r="I3864" s="2" t="s">
        <v>8899</v>
      </c>
      <c r="J3864" s="3" t="str">
        <f>HYPERLINK("https://www.boe.es/gazeta/dias/1814/01/05/pdfs/GRE-1814-5.pdf#page=8","Abrir facsímil")</f>
        <v>Abrir facsímil</v>
      </c>
      <c r="K3864" s="3" t="s">
        <v>64</v>
      </c>
    </row>
    <row r="3865" spans="1:11" ht="42" customHeight="1">
      <c r="A3865" s="2" t="s">
        <v>8900</v>
      </c>
      <c r="B3865" s="2" t="s">
        <v>8901</v>
      </c>
      <c r="C3865" s="2" t="s">
        <v>38</v>
      </c>
      <c r="D3865" s="2" t="s">
        <v>39</v>
      </c>
      <c r="E3865" s="5">
        <v>-31404</v>
      </c>
      <c r="F3865" s="3" t="s">
        <v>630</v>
      </c>
      <c r="G3865" s="3" t="s">
        <v>1095</v>
      </c>
      <c r="H3865" s="2" t="s">
        <v>62</v>
      </c>
      <c r="I3865" s="2" t="s">
        <v>8902</v>
      </c>
      <c r="J3865" s="3" t="str">
        <f>HYPERLINK("https://www.boe.es/gazeta/dias/1814/01/06/pdfs/GRE-1814-3.pdf#page=7","Abrir facsímil")</f>
        <v>Abrir facsímil</v>
      </c>
      <c r="K3865" s="3" t="s">
        <v>64</v>
      </c>
    </row>
    <row r="3866" spans="1:11" ht="42" customHeight="1">
      <c r="A3866" s="2" t="s">
        <v>8897</v>
      </c>
      <c r="B3866" s="2" t="s">
        <v>8898</v>
      </c>
      <c r="C3866" s="2" t="s">
        <v>38</v>
      </c>
      <c r="D3866" s="2" t="s">
        <v>39</v>
      </c>
      <c r="E3866" s="5">
        <v>-31402</v>
      </c>
      <c r="F3866" s="3" t="s">
        <v>1754</v>
      </c>
      <c r="G3866" s="3" t="s">
        <v>3368</v>
      </c>
      <c r="H3866" s="2" t="s">
        <v>62</v>
      </c>
      <c r="I3866" s="2" t="s">
        <v>8899</v>
      </c>
      <c r="J3866" s="3" t="str">
        <f>HYPERLINK("https://www.boe.es/gazeta/dias/1814/01/08/pdfs/GRE-1814-5.pdf#page=8","Abrir facsímil")</f>
        <v>Abrir facsímil</v>
      </c>
      <c r="K3866" s="3" t="s">
        <v>64</v>
      </c>
    </row>
    <row r="3867" spans="1:11" ht="42" customHeight="1">
      <c r="A3867" s="2" t="s">
        <v>8900</v>
      </c>
      <c r="B3867" s="2" t="s">
        <v>8901</v>
      </c>
      <c r="C3867" s="2" t="s">
        <v>38</v>
      </c>
      <c r="D3867" s="2" t="s">
        <v>39</v>
      </c>
      <c r="E3867" s="5">
        <v>-31390</v>
      </c>
      <c r="F3867" s="3" t="s">
        <v>349</v>
      </c>
      <c r="G3867" s="3" t="s">
        <v>4295</v>
      </c>
      <c r="H3867" s="2" t="s">
        <v>62</v>
      </c>
      <c r="I3867" s="2" t="s">
        <v>8903</v>
      </c>
      <c r="J3867" s="3" t="str">
        <f>HYPERLINK("https://www.boe.es/gazeta/dias/1814/01/20/pdfs/GRE-1814-10.pdf#page=6","Abrir facsímil")</f>
        <v>Abrir facsímil</v>
      </c>
      <c r="K3867" s="3" t="s">
        <v>64</v>
      </c>
    </row>
    <row r="3868" spans="1:11" ht="42" customHeight="1">
      <c r="A3868" s="2" t="s">
        <v>8900</v>
      </c>
      <c r="B3868" s="2" t="s">
        <v>8901</v>
      </c>
      <c r="C3868" s="2" t="s">
        <v>38</v>
      </c>
      <c r="D3868" s="2" t="s">
        <v>39</v>
      </c>
      <c r="E3868" s="5">
        <v>-31390</v>
      </c>
      <c r="F3868" s="3" t="s">
        <v>349</v>
      </c>
      <c r="G3868" s="3" t="s">
        <v>52</v>
      </c>
      <c r="H3868" s="2" t="s">
        <v>62</v>
      </c>
      <c r="I3868" s="2" t="s">
        <v>8904</v>
      </c>
      <c r="J3868" s="3" t="str">
        <f>HYPERLINK("https://www.boe.es/gazeta/dias/1814/01/20/pdfs/GRE-1814-10.pdf#page=8","Abrir facsímil")</f>
        <v>Abrir facsímil</v>
      </c>
      <c r="K3868" s="3" t="s">
        <v>64</v>
      </c>
    </row>
    <row r="3869" spans="1:11" ht="42" customHeight="1">
      <c r="A3869" s="2" t="s">
        <v>8900</v>
      </c>
      <c r="B3869" s="2" t="s">
        <v>8901</v>
      </c>
      <c r="C3869" s="2" t="s">
        <v>26</v>
      </c>
      <c r="D3869" s="2" t="s">
        <v>27</v>
      </c>
      <c r="E3869" s="5">
        <v>-31334</v>
      </c>
      <c r="F3869" s="3" t="s">
        <v>482</v>
      </c>
      <c r="G3869" s="3" t="s">
        <v>52</v>
      </c>
      <c r="H3869" s="2" t="s">
        <v>62</v>
      </c>
      <c r="I3869" s="2" t="s">
        <v>8905</v>
      </c>
      <c r="J3869" s="3" t="str">
        <f>HYPERLINK("https://www.boe.es/gazeta/dias/1814/03/17/pdfs/GRE-1814-37.pdf#page=8","Abrir facsímil")</f>
        <v>Abrir facsímil</v>
      </c>
      <c r="K3869" s="3" t="s">
        <v>64</v>
      </c>
    </row>
    <row r="3870" spans="1:11" ht="42" customHeight="1">
      <c r="A3870" s="2" t="s">
        <v>8906</v>
      </c>
      <c r="B3870" s="2" t="s">
        <v>8907</v>
      </c>
      <c r="C3870" s="2" t="s">
        <v>38</v>
      </c>
      <c r="D3870" s="2" t="s">
        <v>39</v>
      </c>
      <c r="E3870" s="5">
        <v>-31087</v>
      </c>
      <c r="F3870" s="3" t="s">
        <v>118</v>
      </c>
      <c r="G3870" s="3" t="s">
        <v>57</v>
      </c>
      <c r="H3870" s="2" t="s">
        <v>62</v>
      </c>
      <c r="I3870" s="2" t="s">
        <v>8908</v>
      </c>
      <c r="J3870" s="3" t="str">
        <f>HYPERLINK("https://www.boe.es/gazeta/dias/1814/11/19/pdfs/GMD-1814-154.pdf#page=6","Abrir facsímil")</f>
        <v>Abrir facsímil</v>
      </c>
      <c r="K3870" s="3" t="s">
        <v>64</v>
      </c>
    </row>
    <row r="3871" spans="1:11" ht="42" customHeight="1">
      <c r="A3871" s="2" t="s">
        <v>8909</v>
      </c>
      <c r="B3871" s="2" t="s">
        <v>8910</v>
      </c>
      <c r="C3871" s="2" t="s">
        <v>17</v>
      </c>
      <c r="D3871" s="2" t="s">
        <v>18</v>
      </c>
      <c r="E3871" s="5">
        <v>-31119</v>
      </c>
      <c r="F3871" s="3" t="s">
        <v>136</v>
      </c>
      <c r="G3871" s="3" t="s">
        <v>137</v>
      </c>
      <c r="H3871" s="2" t="s">
        <v>62</v>
      </c>
      <c r="I3871" s="2" t="s">
        <v>8911</v>
      </c>
      <c r="J3871" s="3" t="str">
        <f>HYPERLINK("https://www.boe.es/gazeta/dias/1814/10/18/pdfs/GMD-1814-140.pdf#page=9","Abrir facsímil")</f>
        <v>Abrir facsímil</v>
      </c>
      <c r="K3871" s="3" t="s">
        <v>64</v>
      </c>
    </row>
    <row r="3872" spans="1:11" ht="42" customHeight="1">
      <c r="A3872" s="2" t="s">
        <v>8912</v>
      </c>
      <c r="B3872" s="2" t="s">
        <v>8913</v>
      </c>
      <c r="C3872" s="2" t="s">
        <v>38</v>
      </c>
      <c r="D3872" s="2" t="s">
        <v>39</v>
      </c>
      <c r="E3872" s="5">
        <v>-31404</v>
      </c>
      <c r="F3872" s="3" t="s">
        <v>630</v>
      </c>
      <c r="G3872" s="3" t="s">
        <v>57</v>
      </c>
      <c r="H3872" s="2" t="s">
        <v>62</v>
      </c>
      <c r="I3872" s="2" t="s">
        <v>8914</v>
      </c>
      <c r="J3872" s="3" t="str">
        <f>HYPERLINK("https://www.boe.es/gazeta/dias/1814/01/06/pdfs/GRE-1814-3.pdf#page=6","Abrir facsímil")</f>
        <v>Abrir facsímil</v>
      </c>
      <c r="K3872" s="3" t="s">
        <v>64</v>
      </c>
    </row>
    <row r="3873" spans="1:11" ht="42" customHeight="1">
      <c r="A3873" s="2" t="s">
        <v>8915</v>
      </c>
      <c r="B3873" s="2" t="s">
        <v>8916</v>
      </c>
      <c r="C3873" s="2" t="s">
        <v>38</v>
      </c>
      <c r="D3873" s="2" t="s">
        <v>39</v>
      </c>
      <c r="E3873" s="5">
        <v>-31049</v>
      </c>
      <c r="F3873" s="3" t="s">
        <v>542</v>
      </c>
      <c r="G3873" s="3" t="s">
        <v>1035</v>
      </c>
      <c r="H3873" s="2" t="s">
        <v>62</v>
      </c>
      <c r="I3873" s="2" t="s">
        <v>8917</v>
      </c>
      <c r="J3873" s="3" t="str">
        <f>HYPERLINK("https://www.boe.es/gazeta/dias/1814/12/27/pdfs/GMD-1814-171.pdf#page=6","Abrir facsímil")</f>
        <v>Abrir facsímil</v>
      </c>
      <c r="K3873" s="3" t="s">
        <v>64</v>
      </c>
    </row>
    <row r="3874" spans="1:11" ht="42" customHeight="1">
      <c r="A3874" s="2" t="s">
        <v>8918</v>
      </c>
      <c r="B3874" s="2" t="s">
        <v>8918</v>
      </c>
      <c r="C3874" s="2" t="s">
        <v>38</v>
      </c>
      <c r="D3874" s="2" t="s">
        <v>314</v>
      </c>
      <c r="E3874" s="5">
        <v>-31341</v>
      </c>
      <c r="F3874" s="3" t="s">
        <v>354</v>
      </c>
      <c r="G3874" s="3" t="s">
        <v>1841</v>
      </c>
      <c r="H3874" s="2" t="s">
        <v>62</v>
      </c>
      <c r="I3874" s="2" t="s">
        <v>8919</v>
      </c>
      <c r="J3874" s="3" t="str">
        <f>HYPERLINK("https://www.boe.es/gazeta/dias/1814/03/10/pdfs/GRE-1814-34E.pdf#page=4","Abrir facsímil")</f>
        <v>Abrir facsímil</v>
      </c>
      <c r="K3874" s="3" t="s">
        <v>64</v>
      </c>
    </row>
    <row r="3875" spans="1:11" ht="42" customHeight="1">
      <c r="A3875" s="2" t="s">
        <v>8920</v>
      </c>
      <c r="B3875" s="2" t="s">
        <v>8921</v>
      </c>
      <c r="C3875" s="2" t="s">
        <v>26</v>
      </c>
      <c r="D3875" s="2" t="s">
        <v>27</v>
      </c>
      <c r="E3875" s="5">
        <v>-31119</v>
      </c>
      <c r="F3875" s="3" t="s">
        <v>136</v>
      </c>
      <c r="G3875" s="3" t="s">
        <v>137</v>
      </c>
      <c r="H3875" s="2" t="s">
        <v>62</v>
      </c>
      <c r="I3875" s="2" t="s">
        <v>8922</v>
      </c>
      <c r="J3875" s="3" t="str">
        <f>HYPERLINK("https://www.boe.es/gazeta/dias/1814/10/18/pdfs/GMD-1814-140.pdf#page=9","Abrir facsímil")</f>
        <v>Abrir facsímil</v>
      </c>
      <c r="K3875" s="3" t="s">
        <v>64</v>
      </c>
    </row>
    <row r="3876" spans="1:11" ht="42" customHeight="1">
      <c r="A3876" s="2" t="s">
        <v>8923</v>
      </c>
      <c r="B3876" s="2" t="s">
        <v>8923</v>
      </c>
      <c r="C3876" s="2" t="s">
        <v>38</v>
      </c>
      <c r="D3876" s="2" t="s">
        <v>39</v>
      </c>
      <c r="E3876" s="5">
        <v>-31245</v>
      </c>
      <c r="F3876" s="3" t="s">
        <v>908</v>
      </c>
      <c r="G3876" s="3" t="s">
        <v>384</v>
      </c>
      <c r="H3876" s="2" t="s">
        <v>62</v>
      </c>
      <c r="I3876" s="2" t="s">
        <v>8924</v>
      </c>
      <c r="J3876" s="3" t="str">
        <f>HYPERLINK("https://www.boe.es/gazeta/dias/1814/06/14/pdfs/GMD-1814-85.pdf#page=11","Abrir facsímil")</f>
        <v>Abrir facsímil</v>
      </c>
      <c r="K3876" s="3" t="s">
        <v>64</v>
      </c>
    </row>
    <row r="3877" spans="1:11" ht="42" customHeight="1">
      <c r="A3877" s="2" t="s">
        <v>8923</v>
      </c>
      <c r="B3877" s="2" t="s">
        <v>8923</v>
      </c>
      <c r="C3877" s="2" t="s">
        <v>38</v>
      </c>
      <c r="D3877" s="2" t="s">
        <v>39</v>
      </c>
      <c r="E3877" s="5">
        <v>-31075</v>
      </c>
      <c r="F3877" s="3" t="s">
        <v>537</v>
      </c>
      <c r="G3877" s="3" t="s">
        <v>52</v>
      </c>
      <c r="H3877" s="2" t="s">
        <v>62</v>
      </c>
      <c r="I3877" s="2" t="s">
        <v>8925</v>
      </c>
      <c r="J3877" s="3" t="str">
        <f>HYPERLINK("https://www.boe.es/gazeta/dias/1814/12/01/pdfs/GMD-1814-159.pdf#page=8","Abrir facsímil")</f>
        <v>Abrir facsímil</v>
      </c>
      <c r="K3877" s="3" t="s">
        <v>64</v>
      </c>
    </row>
    <row r="3878" spans="1:11" ht="42" customHeight="1">
      <c r="A3878" s="2" t="s">
        <v>8926</v>
      </c>
      <c r="B3878" s="2" t="s">
        <v>8927</v>
      </c>
      <c r="C3878" s="2" t="s">
        <v>38</v>
      </c>
      <c r="D3878" s="2" t="s">
        <v>39</v>
      </c>
      <c r="E3878" s="5">
        <v>-31245</v>
      </c>
      <c r="F3878" s="3" t="s">
        <v>908</v>
      </c>
      <c r="G3878" s="3" t="s">
        <v>384</v>
      </c>
      <c r="H3878" s="2" t="s">
        <v>62</v>
      </c>
      <c r="I3878" s="2" t="s">
        <v>8928</v>
      </c>
      <c r="J3878" s="3" t="str">
        <f>HYPERLINK("https://www.boe.es/gazeta/dias/1814/06/14/pdfs/GMD-1814-85.pdf#page=11","Abrir facsímil")</f>
        <v>Abrir facsímil</v>
      </c>
      <c r="K3878" s="3" t="s">
        <v>64</v>
      </c>
    </row>
    <row r="3879" spans="1:11" ht="42" customHeight="1">
      <c r="A3879" s="2" t="s">
        <v>8929</v>
      </c>
      <c r="B3879" s="2" t="s">
        <v>8930</v>
      </c>
      <c r="C3879" s="2" t="s">
        <v>45</v>
      </c>
      <c r="D3879" s="2" t="s">
        <v>18</v>
      </c>
      <c r="E3879" s="5">
        <v>-31126</v>
      </c>
      <c r="F3879" s="3" t="s">
        <v>56</v>
      </c>
      <c r="G3879" s="3" t="s">
        <v>2616</v>
      </c>
      <c r="H3879" s="2" t="s">
        <v>62</v>
      </c>
      <c r="I3879" s="2" t="s">
        <v>8931</v>
      </c>
      <c r="J3879" s="3" t="str">
        <f>HYPERLINK("https://www.boe.es/gazeta/dias/1814/10/11/pdfs/GMD-1814-137.pdf#page=7","Abrir facsímil")</f>
        <v>Abrir facsímil</v>
      </c>
      <c r="K3879" s="3" t="s">
        <v>64</v>
      </c>
    </row>
    <row r="3880" spans="1:11" ht="42" customHeight="1">
      <c r="A3880" s="2" t="s">
        <v>8932</v>
      </c>
      <c r="B3880" s="2" t="s">
        <v>8933</v>
      </c>
      <c r="C3880" s="2" t="s">
        <v>26</v>
      </c>
      <c r="D3880" s="2" t="s">
        <v>27</v>
      </c>
      <c r="E3880" s="5">
        <v>-31094</v>
      </c>
      <c r="F3880" s="3" t="s">
        <v>761</v>
      </c>
      <c r="G3880" s="3" t="s">
        <v>20</v>
      </c>
      <c r="H3880" s="2" t="s">
        <v>62</v>
      </c>
      <c r="I3880" s="2" t="s">
        <v>8934</v>
      </c>
      <c r="J3880" s="3" t="str">
        <f>HYPERLINK("https://www.boe.es/gazeta/dias/1814/11/12/pdfs/GMD-1814-151.pdf#page=7","Abrir facsímil")</f>
        <v>Abrir facsímil</v>
      </c>
      <c r="K3880" s="3" t="s">
        <v>64</v>
      </c>
    </row>
    <row r="3881" spans="1:11" ht="42" customHeight="1">
      <c r="A3881" s="2" t="s">
        <v>8935</v>
      </c>
      <c r="B3881" s="2" t="s">
        <v>8936</v>
      </c>
      <c r="C3881" s="2" t="s">
        <v>38</v>
      </c>
      <c r="D3881" s="2" t="s">
        <v>39</v>
      </c>
      <c r="E3881" s="5">
        <v>-31047</v>
      </c>
      <c r="F3881" s="3" t="s">
        <v>815</v>
      </c>
      <c r="G3881" s="3" t="s">
        <v>87</v>
      </c>
      <c r="H3881" s="2" t="s">
        <v>62</v>
      </c>
      <c r="I3881" s="2" t="s">
        <v>8937</v>
      </c>
      <c r="J3881" s="3" t="str">
        <f>HYPERLINK("https://www.boe.es/gazeta/dias/1814/12/29/pdfs/GMD-1814-172.pdf#page=2","Abrir facsímil")</f>
        <v>Abrir facsímil</v>
      </c>
      <c r="K3881" s="3" t="s">
        <v>64</v>
      </c>
    </row>
    <row r="3882" spans="1:11" ht="42" customHeight="1">
      <c r="A3882" s="2" t="s">
        <v>8938</v>
      </c>
      <c r="B3882" s="2" t="s">
        <v>8939</v>
      </c>
      <c r="C3882" s="2" t="s">
        <v>17</v>
      </c>
      <c r="D3882" s="2" t="s">
        <v>18</v>
      </c>
      <c r="E3882" s="5">
        <v>-31201</v>
      </c>
      <c r="F3882" s="3" t="s">
        <v>863</v>
      </c>
      <c r="G3882" s="3" t="s">
        <v>52</v>
      </c>
      <c r="H3882" s="2" t="s">
        <v>62</v>
      </c>
      <c r="I3882" s="2" t="s">
        <v>8940</v>
      </c>
      <c r="J3882" s="3" t="str">
        <f>HYPERLINK("https://www.boe.es/gazeta/dias/1814/07/28/pdfs/GMD-1814-104.pdf#page=8","Abrir facsímil")</f>
        <v>Abrir facsímil</v>
      </c>
      <c r="K3882" s="3" t="s">
        <v>64</v>
      </c>
    </row>
    <row r="3883" spans="1:11" ht="42" customHeight="1">
      <c r="A3883" s="2" t="s">
        <v>8941</v>
      </c>
      <c r="B3883" s="2" t="s">
        <v>8942</v>
      </c>
      <c r="C3883" s="2" t="s">
        <v>26</v>
      </c>
      <c r="D3883" s="2" t="s">
        <v>27</v>
      </c>
      <c r="E3883" s="5">
        <v>-31255</v>
      </c>
      <c r="F3883" s="3" t="s">
        <v>983</v>
      </c>
      <c r="G3883" s="3" t="s">
        <v>20</v>
      </c>
      <c r="H3883" s="2" t="s">
        <v>62</v>
      </c>
      <c r="I3883" s="2" t="s">
        <v>8943</v>
      </c>
      <c r="J3883" s="3" t="str">
        <f>HYPERLINK("https://www.boe.es/gazeta/dias/1814/06/04/pdfs/GMD-1814-81.pdf#page=7","Abrir facsímil")</f>
        <v>Abrir facsímil</v>
      </c>
      <c r="K3883" s="3" t="s">
        <v>64</v>
      </c>
    </row>
    <row r="3884" spans="1:11" ht="42" customHeight="1">
      <c r="A3884" s="2" t="s">
        <v>8944</v>
      </c>
      <c r="B3884" s="2" t="s">
        <v>8945</v>
      </c>
      <c r="C3884" s="2" t="s">
        <v>38</v>
      </c>
      <c r="D3884" s="2" t="s">
        <v>39</v>
      </c>
      <c r="E3884" s="5">
        <v>-31117</v>
      </c>
      <c r="F3884" s="3" t="s">
        <v>172</v>
      </c>
      <c r="G3884" s="3" t="s">
        <v>392</v>
      </c>
      <c r="H3884" s="2" t="s">
        <v>62</v>
      </c>
      <c r="I3884" s="2" t="s">
        <v>8946</v>
      </c>
      <c r="J3884" s="3" t="str">
        <f>HYPERLINK("https://www.boe.es/gazeta/dias/1814/10/20/pdfs/GMD-1814-141.pdf#page=8","Abrir facsímil")</f>
        <v>Abrir facsímil</v>
      </c>
      <c r="K3884" s="3" t="s">
        <v>64</v>
      </c>
    </row>
    <row r="3885" spans="1:11" ht="42" customHeight="1">
      <c r="A3885" s="2" t="s">
        <v>8947</v>
      </c>
      <c r="B3885" s="2" t="s">
        <v>8948</v>
      </c>
      <c r="C3885" s="2" t="s">
        <v>17</v>
      </c>
      <c r="D3885" s="2" t="s">
        <v>18</v>
      </c>
      <c r="E3885" s="5">
        <v>-31119</v>
      </c>
      <c r="F3885" s="3" t="s">
        <v>136</v>
      </c>
      <c r="G3885" s="3" t="s">
        <v>137</v>
      </c>
      <c r="H3885" s="2" t="s">
        <v>62</v>
      </c>
      <c r="I3885" s="2" t="s">
        <v>8949</v>
      </c>
      <c r="J3885" s="3" t="str">
        <f>HYPERLINK("https://www.boe.es/gazeta/dias/1814/10/18/pdfs/GMD-1814-140.pdf#page=9","Abrir facsímil")</f>
        <v>Abrir facsímil</v>
      </c>
      <c r="K3885" s="3" t="s">
        <v>64</v>
      </c>
    </row>
    <row r="3886" spans="1:11" ht="42" customHeight="1">
      <c r="A3886" s="2" t="s">
        <v>8950</v>
      </c>
      <c r="B3886" s="2" t="s">
        <v>8951</v>
      </c>
      <c r="C3886" s="2" t="s">
        <v>38</v>
      </c>
      <c r="D3886" s="2" t="s">
        <v>39</v>
      </c>
      <c r="E3886" s="5">
        <v>-31329</v>
      </c>
      <c r="F3886" s="3" t="s">
        <v>621</v>
      </c>
      <c r="G3886" s="3" t="s">
        <v>2755</v>
      </c>
      <c r="H3886" s="2" t="s">
        <v>62</v>
      </c>
      <c r="I3886" s="2" t="s">
        <v>8952</v>
      </c>
      <c r="J3886" s="3" t="str">
        <f>HYPERLINK("https://www.boe.es/gazeta/dias/1814/03/22/pdfs/GRE-1814-39.pdf#page=8","Abrir facsímil")</f>
        <v>Abrir facsímil</v>
      </c>
      <c r="K3886" s="3" t="s">
        <v>64</v>
      </c>
    </row>
    <row r="3887" spans="1:11" ht="42" customHeight="1">
      <c r="A3887" s="2" t="s">
        <v>8953</v>
      </c>
      <c r="B3887" s="2" t="s">
        <v>8954</v>
      </c>
      <c r="C3887" s="2" t="s">
        <v>38</v>
      </c>
      <c r="D3887" s="2" t="s">
        <v>39</v>
      </c>
      <c r="E3887" s="5">
        <v>-31210</v>
      </c>
      <c r="F3887" s="3" t="s">
        <v>141</v>
      </c>
      <c r="G3887" s="3" t="s">
        <v>99</v>
      </c>
      <c r="H3887" s="2" t="s">
        <v>62</v>
      </c>
      <c r="I3887" s="2" t="s">
        <v>8955</v>
      </c>
      <c r="J3887" s="3" t="str">
        <f>HYPERLINK("https://www.boe.es/gazeta/dias/1814/07/19/pdfs/GMD-1814-100.pdf#page=5","Abrir facsímil")</f>
        <v>Abrir facsímil</v>
      </c>
      <c r="K3887" s="3" t="s">
        <v>64</v>
      </c>
    </row>
    <row r="3888" spans="1:11" ht="42" customHeight="1">
      <c r="A3888" s="2" t="s">
        <v>8956</v>
      </c>
      <c r="B3888" s="2" t="s">
        <v>8957</v>
      </c>
      <c r="C3888" s="2" t="s">
        <v>38</v>
      </c>
      <c r="D3888" s="2" t="s">
        <v>39</v>
      </c>
      <c r="E3888" s="5">
        <v>-31259</v>
      </c>
      <c r="F3888" s="3" t="s">
        <v>853</v>
      </c>
      <c r="G3888" s="3" t="s">
        <v>41</v>
      </c>
      <c r="H3888" s="2" t="s">
        <v>62</v>
      </c>
      <c r="I3888" s="2" t="s">
        <v>8958</v>
      </c>
      <c r="J3888" s="3" t="str">
        <f>HYPERLINK("https://www.boe.es/gazeta/dias/1814/05/31/pdfs/GMD-1814-79.pdf#page=4","Abrir facsímil")</f>
        <v>Abrir facsímil</v>
      </c>
      <c r="K3888" s="3" t="s">
        <v>64</v>
      </c>
    </row>
    <row r="3889" spans="1:11" ht="42" customHeight="1">
      <c r="A3889" s="2" t="s">
        <v>8959</v>
      </c>
      <c r="B3889" s="2" t="s">
        <v>8960</v>
      </c>
      <c r="C3889" s="2" t="s">
        <v>17</v>
      </c>
      <c r="D3889" s="2" t="s">
        <v>18</v>
      </c>
      <c r="E3889" s="5">
        <v>-31117</v>
      </c>
      <c r="F3889" s="3" t="s">
        <v>172</v>
      </c>
      <c r="G3889" s="3" t="s">
        <v>173</v>
      </c>
      <c r="H3889" s="2" t="s">
        <v>62</v>
      </c>
      <c r="I3889" s="2" t="s">
        <v>8961</v>
      </c>
      <c r="J3889" s="3" t="str">
        <f>HYPERLINK("https://www.boe.es/gazeta/dias/1814/10/20/pdfs/GMD-1814-141.pdf#page=7","Abrir facsímil")</f>
        <v>Abrir facsímil</v>
      </c>
      <c r="K3889" s="3" t="s">
        <v>64</v>
      </c>
    </row>
    <row r="3890" spans="1:11" ht="42" customHeight="1">
      <c r="A3890" s="2" t="s">
        <v>8962</v>
      </c>
      <c r="B3890" s="2" t="s">
        <v>8963</v>
      </c>
      <c r="C3890" s="2" t="s">
        <v>38</v>
      </c>
      <c r="D3890" s="2" t="s">
        <v>39</v>
      </c>
      <c r="E3890" s="5">
        <v>-31276</v>
      </c>
      <c r="F3890" s="3" t="s">
        <v>494</v>
      </c>
      <c r="G3890" s="3" t="s">
        <v>99</v>
      </c>
      <c r="H3890" s="2" t="s">
        <v>62</v>
      </c>
      <c r="I3890" s="2" t="s">
        <v>8964</v>
      </c>
      <c r="J3890" s="3" t="str">
        <f>HYPERLINK("https://www.boe.es/gazeta/dias/1814/05/14/pdfs/GMD-1814-71.pdf#page=5","Abrir facsímil")</f>
        <v>Abrir facsímil</v>
      </c>
      <c r="K3890" s="3" t="s">
        <v>64</v>
      </c>
    </row>
    <row r="3891" spans="1:11" ht="42" customHeight="1">
      <c r="A3891" s="2" t="s">
        <v>8965</v>
      </c>
      <c r="B3891" s="2" t="s">
        <v>8966</v>
      </c>
      <c r="C3891" s="2" t="s">
        <v>26</v>
      </c>
      <c r="D3891" s="2" t="s">
        <v>27</v>
      </c>
      <c r="E3891" s="5">
        <v>-31297</v>
      </c>
      <c r="F3891" s="3" t="s">
        <v>737</v>
      </c>
      <c r="G3891" s="3" t="s">
        <v>52</v>
      </c>
      <c r="H3891" s="2" t="s">
        <v>21</v>
      </c>
      <c r="I3891" s="2" t="s">
        <v>8967</v>
      </c>
      <c r="J3891" s="3" t="str">
        <f>HYPERLINK("https://www.boe.es/gazeta/dias/1814/04/23/pdfs/GRE-1814-59.pdf#page=8","Abrir facsímil")</f>
        <v>Abrir facsímil</v>
      </c>
      <c r="K3891" s="3" t="s">
        <v>23</v>
      </c>
    </row>
    <row r="3892" spans="1:11" ht="42" customHeight="1">
      <c r="A3892" s="2" t="s">
        <v>8968</v>
      </c>
      <c r="B3892" s="2" t="s">
        <v>8969</v>
      </c>
      <c r="C3892" s="2" t="s">
        <v>17</v>
      </c>
      <c r="D3892" s="2" t="s">
        <v>18</v>
      </c>
      <c r="E3892" s="5">
        <v>-31227</v>
      </c>
      <c r="F3892" s="3" t="s">
        <v>102</v>
      </c>
      <c r="G3892" s="3" t="s">
        <v>107</v>
      </c>
      <c r="H3892" s="2" t="s">
        <v>62</v>
      </c>
      <c r="I3892" s="2" t="s">
        <v>8970</v>
      </c>
      <c r="J3892" s="3" t="str">
        <f>HYPERLINK("https://www.boe.es/gazeta/dias/1814/07/02/pdfs/GMD-1814-93.pdf#page=1","Abrir facsímil")</f>
        <v>Abrir facsímil</v>
      </c>
      <c r="K3892" s="3" t="s">
        <v>64</v>
      </c>
    </row>
    <row r="3893" spans="1:11" ht="42" customHeight="1">
      <c r="A3893" s="2" t="s">
        <v>8971</v>
      </c>
      <c r="B3893" s="2" t="s">
        <v>8972</v>
      </c>
      <c r="C3893" s="2" t="s">
        <v>17</v>
      </c>
      <c r="D3893" s="2" t="s">
        <v>18</v>
      </c>
      <c r="E3893" s="5">
        <v>-31119</v>
      </c>
      <c r="F3893" s="3" t="s">
        <v>136</v>
      </c>
      <c r="G3893" s="3" t="s">
        <v>322</v>
      </c>
      <c r="H3893" s="2" t="s">
        <v>21</v>
      </c>
      <c r="I3893" s="2" t="s">
        <v>8973</v>
      </c>
      <c r="J3893" s="3" t="str">
        <f>HYPERLINK("https://www.boe.es/gazeta/dias/1814/10/18/pdfs/GMD-1814-140.pdf#page=12","Abrir facsímil")</f>
        <v>Abrir facsímil</v>
      </c>
      <c r="K3893" s="3" t="s">
        <v>23</v>
      </c>
    </row>
    <row r="3894" spans="1:11" ht="42" customHeight="1">
      <c r="A3894" s="2" t="s">
        <v>8974</v>
      </c>
      <c r="B3894" s="2" t="s">
        <v>8975</v>
      </c>
      <c r="C3894" s="2" t="s">
        <v>17</v>
      </c>
      <c r="D3894" s="2" t="s">
        <v>18</v>
      </c>
      <c r="E3894" s="5">
        <v>-31115</v>
      </c>
      <c r="F3894" s="3" t="s">
        <v>805</v>
      </c>
      <c r="G3894" s="3" t="s">
        <v>20</v>
      </c>
      <c r="H3894" s="2" t="s">
        <v>21</v>
      </c>
      <c r="I3894" s="2" t="s">
        <v>8976</v>
      </c>
      <c r="J3894" s="3" t="str">
        <f>HYPERLINK("https://www.boe.es/gazeta/dias/1814/10/22/pdfs/GMD-1814-142.pdf#page=7","Abrir facsímil")</f>
        <v>Abrir facsímil</v>
      </c>
      <c r="K3894" s="3" t="s">
        <v>23</v>
      </c>
    </row>
    <row r="3895" spans="1:11" ht="42" customHeight="1">
      <c r="A3895" s="2" t="s">
        <v>8977</v>
      </c>
      <c r="B3895" s="2" t="s">
        <v>8978</v>
      </c>
      <c r="C3895" s="2" t="s">
        <v>38</v>
      </c>
      <c r="D3895" s="2" t="s">
        <v>39</v>
      </c>
      <c r="E3895" s="5">
        <v>-31185</v>
      </c>
      <c r="F3895" s="3" t="s">
        <v>1238</v>
      </c>
      <c r="G3895" s="3" t="s">
        <v>41</v>
      </c>
      <c r="H3895" s="2" t="s">
        <v>62</v>
      </c>
      <c r="I3895" s="2" t="s">
        <v>8979</v>
      </c>
      <c r="J3895" s="3" t="str">
        <f>HYPERLINK("https://www.boe.es/gazeta/dias/1814/08/13/pdfs/GMD-1814-111.pdf#page=4","Abrir facsímil")</f>
        <v>Abrir facsímil</v>
      </c>
      <c r="K3895" s="3" t="s">
        <v>64</v>
      </c>
    </row>
    <row r="3896" spans="1:11" ht="42" customHeight="1">
      <c r="A3896" s="2" t="s">
        <v>8977</v>
      </c>
      <c r="B3896" s="2" t="s">
        <v>8978</v>
      </c>
      <c r="C3896" s="2" t="s">
        <v>26</v>
      </c>
      <c r="D3896" s="2" t="s">
        <v>27</v>
      </c>
      <c r="E3896" s="5">
        <v>-31136</v>
      </c>
      <c r="F3896" s="3" t="s">
        <v>956</v>
      </c>
      <c r="G3896" s="3" t="s">
        <v>3656</v>
      </c>
      <c r="H3896" s="2" t="s">
        <v>62</v>
      </c>
      <c r="I3896" s="2" t="s">
        <v>8980</v>
      </c>
      <c r="J3896" s="3" t="str">
        <f>HYPERLINK("https://www.boe.es/gazeta/dias/1814/10/01/pdfs/GMD-1814-133.pdf#page=3","Abrir facsímil")</f>
        <v>Abrir facsímil</v>
      </c>
      <c r="K3896" s="3" t="s">
        <v>64</v>
      </c>
    </row>
    <row r="3897" spans="1:11" ht="42" customHeight="1">
      <c r="A3897" s="2" t="s">
        <v>8981</v>
      </c>
      <c r="B3897" s="2" t="s">
        <v>8982</v>
      </c>
      <c r="C3897" s="2" t="s">
        <v>38</v>
      </c>
      <c r="D3897" s="2" t="s">
        <v>39</v>
      </c>
      <c r="E3897" s="5">
        <v>-31049</v>
      </c>
      <c r="F3897" s="3" t="s">
        <v>542</v>
      </c>
      <c r="G3897" s="3" t="s">
        <v>1035</v>
      </c>
      <c r="H3897" s="2" t="s">
        <v>62</v>
      </c>
      <c r="I3897" s="2" t="s">
        <v>8983</v>
      </c>
      <c r="J3897" s="3" t="str">
        <f>HYPERLINK("https://www.boe.es/gazeta/dias/1814/12/27/pdfs/GMD-1814-171.pdf#page=6","Abrir facsímil")</f>
        <v>Abrir facsímil</v>
      </c>
      <c r="K3897" s="3" t="s">
        <v>64</v>
      </c>
    </row>
    <row r="3898" spans="1:11" ht="42" customHeight="1">
      <c r="A3898" s="2" t="s">
        <v>8984</v>
      </c>
      <c r="B3898" s="2" t="s">
        <v>8985</v>
      </c>
      <c r="C3898" s="2" t="s">
        <v>144</v>
      </c>
      <c r="D3898" s="2" t="s">
        <v>18</v>
      </c>
      <c r="E3898" s="5">
        <v>-31052</v>
      </c>
      <c r="F3898" s="3" t="s">
        <v>1407</v>
      </c>
      <c r="G3898" s="3" t="s">
        <v>52</v>
      </c>
      <c r="H3898" s="2" t="s">
        <v>62</v>
      </c>
      <c r="I3898" s="2" t="s">
        <v>8986</v>
      </c>
      <c r="J3898" s="3" t="str">
        <f>HYPERLINK("https://www.boe.es/gazeta/dias/1814/12/24/pdfs/GMD-1814-170.pdf#page=8","Abrir facsímil")</f>
        <v>Abrir facsímil</v>
      </c>
      <c r="K3898" s="3" t="s">
        <v>64</v>
      </c>
    </row>
    <row r="3899" spans="1:11" ht="42" customHeight="1">
      <c r="A3899" s="2" t="s">
        <v>8987</v>
      </c>
      <c r="B3899" s="2" t="s">
        <v>8988</v>
      </c>
      <c r="C3899" s="2" t="s">
        <v>38</v>
      </c>
      <c r="D3899" s="2" t="s">
        <v>39</v>
      </c>
      <c r="E3899" s="5">
        <v>-31222</v>
      </c>
      <c r="F3899" s="3" t="s">
        <v>153</v>
      </c>
      <c r="G3899" s="3" t="s">
        <v>57</v>
      </c>
      <c r="H3899" s="2" t="s">
        <v>62</v>
      </c>
      <c r="I3899" s="2" t="s">
        <v>8989</v>
      </c>
      <c r="J3899" s="3" t="str">
        <f>HYPERLINK("https://www.boe.es/gazeta/dias/1814/07/07/pdfs/GMD-1814-95.pdf#page=6","Abrir facsímil")</f>
        <v>Abrir facsímil</v>
      </c>
      <c r="K3899" s="3" t="s">
        <v>64</v>
      </c>
    </row>
    <row r="3900" spans="1:11" ht="42" customHeight="1">
      <c r="A3900" s="2" t="s">
        <v>8987</v>
      </c>
      <c r="B3900" s="2" t="s">
        <v>8988</v>
      </c>
      <c r="C3900" s="2" t="s">
        <v>38</v>
      </c>
      <c r="D3900" s="2" t="s">
        <v>39</v>
      </c>
      <c r="E3900" s="5">
        <v>-31105</v>
      </c>
      <c r="F3900" s="3" t="s">
        <v>61</v>
      </c>
      <c r="G3900" s="3" t="s">
        <v>99</v>
      </c>
      <c r="H3900" s="2" t="s">
        <v>62</v>
      </c>
      <c r="I3900" s="2" t="s">
        <v>8990</v>
      </c>
      <c r="J3900" s="3" t="str">
        <f>HYPERLINK("https://www.boe.es/gazeta/dias/1814/11/01/pdfs/GMD-1814-146.pdf#page=5","Abrir facsímil")</f>
        <v>Abrir facsímil</v>
      </c>
      <c r="K3900" s="3" t="s">
        <v>64</v>
      </c>
    </row>
    <row r="3901" spans="1:11" ht="42" customHeight="1">
      <c r="A3901" s="2" t="s">
        <v>8991</v>
      </c>
      <c r="B3901" s="2" t="s">
        <v>8992</v>
      </c>
      <c r="C3901" s="2" t="s">
        <v>38</v>
      </c>
      <c r="D3901" s="2" t="s">
        <v>39</v>
      </c>
      <c r="E3901" s="5">
        <v>-31364</v>
      </c>
      <c r="F3901" s="3" t="s">
        <v>594</v>
      </c>
      <c r="G3901" s="3" t="s">
        <v>57</v>
      </c>
      <c r="H3901" s="2" t="s">
        <v>62</v>
      </c>
      <c r="I3901" s="2" t="s">
        <v>8993</v>
      </c>
      <c r="J3901" s="3" t="str">
        <f>HYPERLINK("https://www.boe.es/gazeta/dias/1814/02/15/pdfs/GRE-1814-21.pdf#page=6","Abrir facsímil")</f>
        <v>Abrir facsímil</v>
      </c>
      <c r="K3901" s="3" t="s">
        <v>64</v>
      </c>
    </row>
    <row r="3902" spans="1:11" ht="42" customHeight="1">
      <c r="A3902" s="2" t="s">
        <v>8991</v>
      </c>
      <c r="B3902" s="2" t="s">
        <v>8992</v>
      </c>
      <c r="C3902" s="2" t="s">
        <v>26</v>
      </c>
      <c r="D3902" s="2" t="s">
        <v>27</v>
      </c>
      <c r="E3902" s="5">
        <v>-31350</v>
      </c>
      <c r="F3902" s="3" t="s">
        <v>377</v>
      </c>
      <c r="G3902" s="3" t="s">
        <v>20</v>
      </c>
      <c r="H3902" s="2" t="s">
        <v>62</v>
      </c>
      <c r="I3902" s="2" t="s">
        <v>8994</v>
      </c>
      <c r="J3902" s="3" t="str">
        <f>HYPERLINK("https://www.boe.es/gazeta/dias/1814/03/01/pdfs/GRE-1814-28.pdf#page=7","Abrir facsímil")</f>
        <v>Abrir facsímil</v>
      </c>
      <c r="K3902" s="3" t="s">
        <v>64</v>
      </c>
    </row>
    <row r="3903" spans="1:11" ht="42" customHeight="1">
      <c r="A3903" s="2" t="s">
        <v>8991</v>
      </c>
      <c r="B3903" s="2" t="s">
        <v>8992</v>
      </c>
      <c r="C3903" s="2" t="s">
        <v>38</v>
      </c>
      <c r="D3903" s="2" t="s">
        <v>39</v>
      </c>
      <c r="E3903" s="5">
        <v>-31252</v>
      </c>
      <c r="F3903" s="3" t="s">
        <v>364</v>
      </c>
      <c r="G3903" s="3" t="s">
        <v>1437</v>
      </c>
      <c r="H3903" s="2" t="s">
        <v>62</v>
      </c>
      <c r="I3903" s="2" t="s">
        <v>8995</v>
      </c>
      <c r="J3903" s="3" t="str">
        <f>HYPERLINK("https://www.boe.es/gazeta/dias/1814/06/07/pdfs/GMD-1814-82.pdf#page=11","Abrir facsímil")</f>
        <v>Abrir facsímil</v>
      </c>
      <c r="K3903" s="3" t="s">
        <v>64</v>
      </c>
    </row>
    <row r="3904" spans="1:11" ht="42" customHeight="1">
      <c r="A3904" s="2" t="s">
        <v>8991</v>
      </c>
      <c r="B3904" s="2" t="s">
        <v>8992</v>
      </c>
      <c r="C3904" s="2" t="s">
        <v>38</v>
      </c>
      <c r="D3904" s="2" t="s">
        <v>39</v>
      </c>
      <c r="E3904" s="5">
        <v>-31250</v>
      </c>
      <c r="F3904" s="3" t="s">
        <v>177</v>
      </c>
      <c r="G3904" s="3" t="s">
        <v>52</v>
      </c>
      <c r="H3904" s="2" t="s">
        <v>62</v>
      </c>
      <c r="I3904" s="2" t="s">
        <v>8996</v>
      </c>
      <c r="J3904" s="3" t="str">
        <f>HYPERLINK("https://www.boe.es/gazeta/dias/1814/06/09/pdfs/GMD-1814-83.pdf#page=8","Abrir facsímil")</f>
        <v>Abrir facsímil</v>
      </c>
      <c r="K3904" s="3" t="s">
        <v>64</v>
      </c>
    </row>
    <row r="3905" spans="1:11" ht="42" customHeight="1">
      <c r="A3905" s="2" t="s">
        <v>8997</v>
      </c>
      <c r="B3905" s="2" t="s">
        <v>8998</v>
      </c>
      <c r="C3905" s="2" t="s">
        <v>309</v>
      </c>
      <c r="D3905" s="2" t="s">
        <v>18</v>
      </c>
      <c r="E3905" s="5">
        <v>-31311</v>
      </c>
      <c r="F3905" s="3" t="s">
        <v>3144</v>
      </c>
      <c r="G3905" s="3" t="s">
        <v>52</v>
      </c>
      <c r="H3905" s="2" t="s">
        <v>62</v>
      </c>
      <c r="I3905" s="2" t="s">
        <v>8999</v>
      </c>
      <c r="J3905" s="3" t="str">
        <f>HYPERLINK("https://www.boe.es/gazeta/dias/1814/04/09/pdfs/GRE-1814-51.pdf#page=8","Abrir facsímil")</f>
        <v>Abrir facsímil</v>
      </c>
      <c r="K3905" s="3" t="s">
        <v>64</v>
      </c>
    </row>
    <row r="3906" spans="1:11" ht="42" customHeight="1">
      <c r="A3906" s="2" t="s">
        <v>9000</v>
      </c>
      <c r="B3906" s="2" t="s">
        <v>9001</v>
      </c>
      <c r="C3906" s="2" t="s">
        <v>26</v>
      </c>
      <c r="D3906" s="2" t="s">
        <v>27</v>
      </c>
      <c r="E3906" s="5">
        <v>-31213</v>
      </c>
      <c r="F3906" s="3" t="s">
        <v>276</v>
      </c>
      <c r="G3906" s="3" t="s">
        <v>57</v>
      </c>
      <c r="H3906" s="2" t="s">
        <v>62</v>
      </c>
      <c r="I3906" s="2" t="s">
        <v>9002</v>
      </c>
      <c r="J3906" s="3" t="str">
        <f>HYPERLINK("https://www.boe.es/gazeta/dias/1814/07/16/pdfs/GMD-1814-99.pdf#page=6","Abrir facsímil")</f>
        <v>Abrir facsímil</v>
      </c>
      <c r="K3906" s="3" t="s">
        <v>64</v>
      </c>
    </row>
    <row r="3907" spans="1:11" ht="42" customHeight="1">
      <c r="A3907" s="2" t="s">
        <v>9003</v>
      </c>
      <c r="B3907" s="2" t="s">
        <v>9004</v>
      </c>
      <c r="C3907" s="2" t="s">
        <v>26</v>
      </c>
      <c r="D3907" s="2" t="s">
        <v>27</v>
      </c>
      <c r="E3907" s="5">
        <v>-31364</v>
      </c>
      <c r="F3907" s="3" t="s">
        <v>594</v>
      </c>
      <c r="G3907" s="3" t="s">
        <v>57</v>
      </c>
      <c r="H3907" s="2" t="s">
        <v>62</v>
      </c>
      <c r="I3907" s="2" t="s">
        <v>9005</v>
      </c>
      <c r="J3907" s="3" t="str">
        <f>HYPERLINK("https://www.boe.es/gazeta/dias/1814/02/15/pdfs/GRE-1814-21.pdf#page=6","Abrir facsímil")</f>
        <v>Abrir facsímil</v>
      </c>
      <c r="K3907" s="3" t="s">
        <v>64</v>
      </c>
    </row>
    <row r="3908" spans="1:11" ht="42" customHeight="1">
      <c r="A3908" s="2" t="s">
        <v>9006</v>
      </c>
      <c r="B3908" s="2" t="s">
        <v>9007</v>
      </c>
      <c r="C3908" s="2" t="s">
        <v>45</v>
      </c>
      <c r="D3908" s="2" t="s">
        <v>18</v>
      </c>
      <c r="E3908" s="5">
        <v>-31245</v>
      </c>
      <c r="F3908" s="3" t="s">
        <v>908</v>
      </c>
      <c r="G3908" s="3" t="s">
        <v>9008</v>
      </c>
      <c r="H3908" s="2" t="s">
        <v>62</v>
      </c>
      <c r="I3908" s="2" t="s">
        <v>9009</v>
      </c>
      <c r="J3908" s="3" t="str">
        <f>HYPERLINK("https://www.boe.es/gazeta/dias/1814/06/14/pdfs/GMD-1814-85.pdf#page=8","Abrir facsímil")</f>
        <v>Abrir facsímil</v>
      </c>
      <c r="K3908" s="3" t="s">
        <v>64</v>
      </c>
    </row>
    <row r="3909" spans="1:11" ht="42" customHeight="1">
      <c r="A3909" s="2" t="s">
        <v>9010</v>
      </c>
      <c r="B3909" s="2" t="s">
        <v>9011</v>
      </c>
      <c r="C3909" s="2" t="s">
        <v>26</v>
      </c>
      <c r="D3909" s="2" t="s">
        <v>27</v>
      </c>
      <c r="E3909" s="5">
        <v>-31241</v>
      </c>
      <c r="F3909" s="3" t="s">
        <v>703</v>
      </c>
      <c r="G3909" s="3" t="s">
        <v>704</v>
      </c>
      <c r="H3909" s="2" t="s">
        <v>62</v>
      </c>
      <c r="I3909" s="2" t="s">
        <v>9012</v>
      </c>
      <c r="J3909" s="3" t="str">
        <f>HYPERLINK("https://www.boe.es/gazeta/dias/1814/06/18/pdfs/GMD-1814-87.pdf#page=10","Abrir facsímil")</f>
        <v>Abrir facsímil</v>
      </c>
      <c r="K3909" s="3" t="s">
        <v>64</v>
      </c>
    </row>
    <row r="3910" spans="1:11" ht="42" customHeight="1">
      <c r="A3910" s="2" t="s">
        <v>9013</v>
      </c>
      <c r="B3910" s="2" t="s">
        <v>9014</v>
      </c>
      <c r="C3910" s="2" t="s">
        <v>38</v>
      </c>
      <c r="D3910" s="2" t="s">
        <v>314</v>
      </c>
      <c r="E3910" s="5">
        <v>-31296</v>
      </c>
      <c r="F3910" s="3" t="s">
        <v>315</v>
      </c>
      <c r="G3910" s="3" t="s">
        <v>52</v>
      </c>
      <c r="H3910" s="2" t="s">
        <v>62</v>
      </c>
      <c r="I3910" s="2" t="s">
        <v>9015</v>
      </c>
      <c r="J3910" s="3" t="str">
        <f>HYPERLINK("https://www.boe.es/gazeta/dias/1814/04/24/pdfs/GRE-1814-60E.pdf#page=8","Abrir facsímil")</f>
        <v>Abrir facsímil</v>
      </c>
      <c r="K3910" s="3" t="s">
        <v>64</v>
      </c>
    </row>
    <row r="3911" spans="1:11" ht="42" customHeight="1">
      <c r="A3911" s="2" t="s">
        <v>9016</v>
      </c>
      <c r="B3911" s="2" t="s">
        <v>9017</v>
      </c>
      <c r="C3911" s="2" t="s">
        <v>26</v>
      </c>
      <c r="D3911" s="2" t="s">
        <v>27</v>
      </c>
      <c r="E3911" s="5">
        <v>-31220</v>
      </c>
      <c r="F3911" s="3" t="s">
        <v>122</v>
      </c>
      <c r="G3911" s="3" t="s">
        <v>57</v>
      </c>
      <c r="H3911" s="2" t="s">
        <v>62</v>
      </c>
      <c r="I3911" s="2" t="s">
        <v>9018</v>
      </c>
      <c r="J3911" s="3" t="str">
        <f>HYPERLINK("https://www.boe.es/gazeta/dias/1814/07/09/pdfs/GMD-1814-96.pdf#page=6","Abrir facsímil")</f>
        <v>Abrir facsímil</v>
      </c>
      <c r="K3911" s="3" t="s">
        <v>64</v>
      </c>
    </row>
    <row r="3912" spans="1:11" ht="42" customHeight="1">
      <c r="A3912" s="2" t="s">
        <v>9019</v>
      </c>
      <c r="B3912" s="2" t="s">
        <v>9020</v>
      </c>
      <c r="C3912" s="2" t="s">
        <v>309</v>
      </c>
      <c r="D3912" s="2" t="s">
        <v>18</v>
      </c>
      <c r="E3912" s="5">
        <v>-31173</v>
      </c>
      <c r="F3912" s="3" t="s">
        <v>46</v>
      </c>
      <c r="G3912" s="3" t="s">
        <v>20</v>
      </c>
      <c r="H3912" s="2" t="s">
        <v>62</v>
      </c>
      <c r="I3912" s="2" t="s">
        <v>9021</v>
      </c>
      <c r="J3912" s="3" t="str">
        <f>HYPERLINK("https://www.boe.es/gazeta/dias/1814/08/25/pdfs/GMD-1814-116.pdf#page=7","Abrir facsímil")</f>
        <v>Abrir facsímil</v>
      </c>
      <c r="K3912" s="3" t="s">
        <v>64</v>
      </c>
    </row>
    <row r="3913" spans="1:11" ht="42" customHeight="1">
      <c r="A3913" s="2" t="s">
        <v>9022</v>
      </c>
      <c r="B3913" s="2" t="s">
        <v>9023</v>
      </c>
      <c r="C3913" s="2" t="s">
        <v>38</v>
      </c>
      <c r="D3913" s="2" t="s">
        <v>39</v>
      </c>
      <c r="E3913" s="5">
        <v>-31182</v>
      </c>
      <c r="F3913" s="3" t="s">
        <v>19</v>
      </c>
      <c r="G3913" s="3" t="s">
        <v>57</v>
      </c>
      <c r="H3913" s="2" t="s">
        <v>62</v>
      </c>
      <c r="I3913" s="2" t="s">
        <v>9024</v>
      </c>
      <c r="J3913" s="3" t="str">
        <f>HYPERLINK("https://www.boe.es/gazeta/dias/1814/08/16/pdfs/GMD-1814-112.pdf#page=6","Abrir facsímil")</f>
        <v>Abrir facsímil</v>
      </c>
      <c r="K3913" s="3" t="s">
        <v>64</v>
      </c>
    </row>
    <row r="3914" spans="1:11" ht="42" customHeight="1">
      <c r="A3914" s="2" t="s">
        <v>9025</v>
      </c>
      <c r="B3914" s="2" t="s">
        <v>9026</v>
      </c>
      <c r="C3914" s="2" t="s">
        <v>38</v>
      </c>
      <c r="D3914" s="2" t="s">
        <v>39</v>
      </c>
      <c r="E3914" s="5">
        <v>-31124</v>
      </c>
      <c r="F3914" s="3" t="s">
        <v>383</v>
      </c>
      <c r="G3914" s="3" t="s">
        <v>574</v>
      </c>
      <c r="H3914" s="2" t="s">
        <v>62</v>
      </c>
      <c r="I3914" s="2" t="s">
        <v>9027</v>
      </c>
      <c r="J3914" s="3" t="str">
        <f>HYPERLINK("https://www.boe.es/gazeta/dias/1814/10/13/pdfs/GMD-1814-138.pdf#page=10","Abrir facsímil")</f>
        <v>Abrir facsímil</v>
      </c>
      <c r="K3914" s="3" t="s">
        <v>64</v>
      </c>
    </row>
    <row r="3915" spans="1:11" ht="42" customHeight="1">
      <c r="A3915" s="2" t="s">
        <v>9028</v>
      </c>
      <c r="B3915" s="2" t="s">
        <v>9029</v>
      </c>
      <c r="C3915" s="2" t="s">
        <v>38</v>
      </c>
      <c r="D3915" s="2" t="s">
        <v>39</v>
      </c>
      <c r="E3915" s="5">
        <v>-31322</v>
      </c>
      <c r="F3915" s="3" t="s">
        <v>114</v>
      </c>
      <c r="G3915" s="3" t="s">
        <v>52</v>
      </c>
      <c r="H3915" s="2" t="s">
        <v>62</v>
      </c>
      <c r="I3915" s="2" t="s">
        <v>9030</v>
      </c>
      <c r="J3915" s="3" t="str">
        <f>HYPERLINK("https://www.boe.es/gazeta/dias/1814/03/29/pdfs/GRE-1814-44.pdf#page=8","Abrir facsímil")</f>
        <v>Abrir facsímil</v>
      </c>
      <c r="K3915" s="3" t="s">
        <v>64</v>
      </c>
    </row>
    <row r="3916" spans="1:11" ht="42" customHeight="1">
      <c r="A3916" s="2" t="s">
        <v>9031</v>
      </c>
      <c r="B3916" s="2" t="s">
        <v>9032</v>
      </c>
      <c r="C3916" s="2" t="s">
        <v>38</v>
      </c>
      <c r="D3916" s="2" t="s">
        <v>39</v>
      </c>
      <c r="E3916" s="5">
        <v>-31094</v>
      </c>
      <c r="F3916" s="3" t="s">
        <v>761</v>
      </c>
      <c r="G3916" s="3" t="s">
        <v>20</v>
      </c>
      <c r="H3916" s="2" t="s">
        <v>62</v>
      </c>
      <c r="I3916" s="2" t="s">
        <v>9033</v>
      </c>
      <c r="J3916" s="3" t="str">
        <f>HYPERLINK("https://www.boe.es/gazeta/dias/1814/11/12/pdfs/GMD-1814-151.pdf#page=7","Abrir facsímil")</f>
        <v>Abrir facsímil</v>
      </c>
      <c r="K3916" s="3" t="s">
        <v>64</v>
      </c>
    </row>
    <row r="3917" spans="1:11" ht="42" customHeight="1">
      <c r="A3917" s="2" t="s">
        <v>9034</v>
      </c>
      <c r="B3917" s="2" t="s">
        <v>9034</v>
      </c>
      <c r="C3917" s="2" t="s">
        <v>38</v>
      </c>
      <c r="D3917" s="2" t="s">
        <v>39</v>
      </c>
      <c r="E3917" s="5">
        <v>-31399</v>
      </c>
      <c r="F3917" s="3" t="s">
        <v>218</v>
      </c>
      <c r="G3917" s="3" t="s">
        <v>87</v>
      </c>
      <c r="H3917" s="2" t="s">
        <v>62</v>
      </c>
      <c r="I3917" s="2" t="s">
        <v>9035</v>
      </c>
      <c r="J3917" s="3" t="str">
        <f>HYPERLINK("https://www.boe.es/gazeta/dias/1814/01/11/pdfs/GRE-1814-6.pdf#page=2","Abrir facsímil")</f>
        <v>Abrir facsímil</v>
      </c>
      <c r="K3917" s="3" t="s">
        <v>64</v>
      </c>
    </row>
    <row r="3918" spans="1:11" ht="42" customHeight="1">
      <c r="A3918" s="2" t="s">
        <v>9034</v>
      </c>
      <c r="B3918" s="2" t="s">
        <v>9034</v>
      </c>
      <c r="C3918" s="2" t="s">
        <v>38</v>
      </c>
      <c r="D3918" s="2" t="s">
        <v>39</v>
      </c>
      <c r="E3918" s="5">
        <v>-31360</v>
      </c>
      <c r="F3918" s="3" t="s">
        <v>480</v>
      </c>
      <c r="G3918" s="3" t="s">
        <v>87</v>
      </c>
      <c r="H3918" s="2" t="s">
        <v>62</v>
      </c>
      <c r="I3918" s="2" t="s">
        <v>9036</v>
      </c>
      <c r="J3918" s="3" t="str">
        <f>HYPERLINK("https://www.boe.es/gazeta/dias/1814/02/19/pdfs/GRE-1814-23.pdf#page=2","Abrir facsímil")</f>
        <v>Abrir facsímil</v>
      </c>
      <c r="K3918" s="3" t="s">
        <v>64</v>
      </c>
    </row>
    <row r="3919" spans="1:11" ht="42" customHeight="1">
      <c r="A3919" s="2" t="s">
        <v>9037</v>
      </c>
      <c r="B3919" s="2" t="s">
        <v>9038</v>
      </c>
      <c r="C3919" s="2" t="s">
        <v>38</v>
      </c>
      <c r="D3919" s="2" t="s">
        <v>39</v>
      </c>
      <c r="E3919" s="5">
        <v>-31124</v>
      </c>
      <c r="F3919" s="3" t="s">
        <v>383</v>
      </c>
      <c r="G3919" s="3" t="s">
        <v>574</v>
      </c>
      <c r="H3919" s="2" t="s">
        <v>21</v>
      </c>
      <c r="I3919" s="2" t="s">
        <v>9039</v>
      </c>
      <c r="J3919" s="3" t="str">
        <f>HYPERLINK("https://www.boe.es/gazeta/dias/1814/10/13/pdfs/GMD-1814-138.pdf#page=10","Abrir facsímil")</f>
        <v>Abrir facsímil</v>
      </c>
      <c r="K3919" s="3" t="s">
        <v>23</v>
      </c>
    </row>
    <row r="3920" spans="1:11" ht="42" customHeight="1">
      <c r="A3920" s="2" t="s">
        <v>9040</v>
      </c>
      <c r="B3920" s="2" t="s">
        <v>9041</v>
      </c>
      <c r="C3920" s="2" t="s">
        <v>38</v>
      </c>
      <c r="D3920" s="2" t="s">
        <v>39</v>
      </c>
      <c r="E3920" s="5">
        <v>-31369</v>
      </c>
      <c r="F3920" s="3" t="s">
        <v>695</v>
      </c>
      <c r="G3920" s="3" t="s">
        <v>41</v>
      </c>
      <c r="H3920" s="2" t="s">
        <v>62</v>
      </c>
      <c r="I3920" s="2" t="s">
        <v>9042</v>
      </c>
      <c r="J3920" s="3" t="str">
        <f>HYPERLINK("https://www.boe.es/gazeta/dias/1814/02/10/pdfs/GRE-1814-19.pdf#page=4","Abrir facsímil")</f>
        <v>Abrir facsímil</v>
      </c>
      <c r="K3920" s="3" t="s">
        <v>64</v>
      </c>
    </row>
    <row r="3921" spans="1:11" ht="42" customHeight="1">
      <c r="A3921" s="2" t="s">
        <v>9043</v>
      </c>
      <c r="B3921" s="2" t="s">
        <v>9044</v>
      </c>
      <c r="C3921" s="2" t="s">
        <v>38</v>
      </c>
      <c r="D3921" s="2" t="s">
        <v>39</v>
      </c>
      <c r="E3921" s="5">
        <v>-31348</v>
      </c>
      <c r="F3921" s="3" t="s">
        <v>898</v>
      </c>
      <c r="G3921" s="3" t="s">
        <v>57</v>
      </c>
      <c r="H3921" s="2" t="s">
        <v>62</v>
      </c>
      <c r="I3921" s="2" t="s">
        <v>9045</v>
      </c>
      <c r="J3921" s="3" t="str">
        <f>HYPERLINK("https://www.boe.es/gazeta/dias/1814/03/03/pdfs/GRE-1814-29.pdf#page=6","Abrir facsímil")</f>
        <v>Abrir facsímil</v>
      </c>
      <c r="K3921" s="3" t="s">
        <v>64</v>
      </c>
    </row>
    <row r="3922" spans="1:11" ht="42" customHeight="1">
      <c r="A3922" s="2" t="s">
        <v>9043</v>
      </c>
      <c r="B3922" s="2" t="s">
        <v>9044</v>
      </c>
      <c r="C3922" s="2" t="s">
        <v>38</v>
      </c>
      <c r="D3922" s="2" t="s">
        <v>39</v>
      </c>
      <c r="E3922" s="5">
        <v>-31341</v>
      </c>
      <c r="F3922" s="3" t="s">
        <v>360</v>
      </c>
      <c r="G3922" s="3" t="s">
        <v>20</v>
      </c>
      <c r="H3922" s="2" t="s">
        <v>62</v>
      </c>
      <c r="I3922" s="2" t="s">
        <v>9046</v>
      </c>
      <c r="J3922" s="3" t="str">
        <f>HYPERLINK("https://www.boe.es/gazeta/dias/1814/03/10/pdfs/GRE-1814-33.pdf#page=7","Abrir facsímil")</f>
        <v>Abrir facsímil</v>
      </c>
      <c r="K3922" s="3" t="s">
        <v>64</v>
      </c>
    </row>
    <row r="3923" spans="1:11" ht="42" customHeight="1">
      <c r="A3923" s="2" t="s">
        <v>9047</v>
      </c>
      <c r="B3923" s="2" t="s">
        <v>9048</v>
      </c>
      <c r="C3923" s="2" t="s">
        <v>38</v>
      </c>
      <c r="D3923" s="2" t="s">
        <v>39</v>
      </c>
      <c r="E3923" s="5">
        <v>-31269</v>
      </c>
      <c r="F3923" s="3" t="s">
        <v>496</v>
      </c>
      <c r="G3923" s="3" t="s">
        <v>87</v>
      </c>
      <c r="H3923" s="2" t="s">
        <v>62</v>
      </c>
      <c r="I3923" s="2" t="s">
        <v>9049</v>
      </c>
      <c r="J3923" s="3" t="str">
        <f>HYPERLINK("https://www.boe.es/gazeta/dias/1814/05/21/pdfs/GMD-1814-75.pdf#page=2","Abrir facsímil")</f>
        <v>Abrir facsímil</v>
      </c>
      <c r="K3923" s="3" t="s">
        <v>64</v>
      </c>
    </row>
    <row r="3924" spans="1:11" ht="42" customHeight="1">
      <c r="A3924" s="2" t="s">
        <v>9047</v>
      </c>
      <c r="B3924" s="2" t="s">
        <v>9048</v>
      </c>
      <c r="C3924" s="2" t="s">
        <v>144</v>
      </c>
      <c r="D3924" s="2" t="s">
        <v>18</v>
      </c>
      <c r="E3924" s="5">
        <v>-31175</v>
      </c>
      <c r="F3924" s="3" t="s">
        <v>145</v>
      </c>
      <c r="G3924" s="3" t="s">
        <v>87</v>
      </c>
      <c r="H3924" s="2" t="s">
        <v>62</v>
      </c>
      <c r="I3924" s="2" t="s">
        <v>9050</v>
      </c>
      <c r="J3924" s="3" t="str">
        <f>HYPERLINK("https://www.boe.es/gazeta/dias/1814/08/23/pdfs/GMD-1814-115.pdf#page=2","Abrir facsímil")</f>
        <v>Abrir facsímil</v>
      </c>
      <c r="K3924" s="3" t="s">
        <v>64</v>
      </c>
    </row>
    <row r="3925" spans="1:11" ht="42" customHeight="1">
      <c r="A3925" s="2" t="s">
        <v>9051</v>
      </c>
      <c r="B3925" s="2" t="s">
        <v>9052</v>
      </c>
      <c r="C3925" s="2" t="s">
        <v>45</v>
      </c>
      <c r="D3925" s="2" t="s">
        <v>18</v>
      </c>
      <c r="E3925" s="5">
        <v>-31126</v>
      </c>
      <c r="F3925" s="3" t="s">
        <v>56</v>
      </c>
      <c r="G3925" s="3" t="s">
        <v>2616</v>
      </c>
      <c r="H3925" s="2" t="s">
        <v>62</v>
      </c>
      <c r="I3925" s="2" t="s">
        <v>9053</v>
      </c>
      <c r="J3925" s="3" t="str">
        <f>HYPERLINK("https://www.boe.es/gazeta/dias/1814/10/11/pdfs/GMD-1814-137.pdf#page=7","Abrir facsímil")</f>
        <v>Abrir facsímil</v>
      </c>
      <c r="K3925" s="3" t="s">
        <v>64</v>
      </c>
    </row>
    <row r="3926" spans="1:11" ht="42" customHeight="1">
      <c r="A3926" s="2" t="s">
        <v>9054</v>
      </c>
      <c r="B3926" s="2" t="s">
        <v>9055</v>
      </c>
      <c r="C3926" s="2" t="s">
        <v>105</v>
      </c>
      <c r="D3926" s="2" t="s">
        <v>18</v>
      </c>
      <c r="E3926" s="5">
        <v>-31115</v>
      </c>
      <c r="F3926" s="3" t="s">
        <v>805</v>
      </c>
      <c r="G3926" s="3" t="s">
        <v>82</v>
      </c>
      <c r="H3926" s="2" t="s">
        <v>62</v>
      </c>
      <c r="I3926" s="2" t="s">
        <v>9056</v>
      </c>
      <c r="J3926" s="3" t="str">
        <f>HYPERLINK("https://www.boe.es/gazeta/dias/1814/10/22/pdfs/GMD-1814-142.pdf#page=3","Abrir facsímil")</f>
        <v>Abrir facsímil</v>
      </c>
      <c r="K3926" s="3" t="s">
        <v>64</v>
      </c>
    </row>
    <row r="3927" spans="1:11" ht="42" customHeight="1">
      <c r="A3927" s="2" t="s">
        <v>9057</v>
      </c>
      <c r="B3927" s="2" t="s">
        <v>9058</v>
      </c>
      <c r="C3927" s="2" t="s">
        <v>38</v>
      </c>
      <c r="D3927" s="2" t="s">
        <v>314</v>
      </c>
      <c r="E3927" s="5">
        <v>-31296</v>
      </c>
      <c r="F3927" s="3" t="s">
        <v>315</v>
      </c>
      <c r="G3927" s="3" t="s">
        <v>52</v>
      </c>
      <c r="H3927" s="2" t="s">
        <v>62</v>
      </c>
      <c r="I3927" s="2" t="s">
        <v>9059</v>
      </c>
      <c r="J3927" s="3" t="str">
        <f>HYPERLINK("https://www.boe.es/gazeta/dias/1814/04/24/pdfs/GRE-1814-60E.pdf#page=8","Abrir facsímil")</f>
        <v>Abrir facsímil</v>
      </c>
      <c r="K3927" s="3" t="s">
        <v>64</v>
      </c>
    </row>
    <row r="3928" spans="1:11" ht="42" customHeight="1">
      <c r="A3928" s="2" t="s">
        <v>9060</v>
      </c>
      <c r="B3928" s="2" t="s">
        <v>9061</v>
      </c>
      <c r="C3928" s="2" t="s">
        <v>26</v>
      </c>
      <c r="D3928" s="2" t="s">
        <v>27</v>
      </c>
      <c r="E3928" s="5">
        <v>-31054</v>
      </c>
      <c r="F3928" s="3" t="s">
        <v>952</v>
      </c>
      <c r="G3928" s="3" t="s">
        <v>20</v>
      </c>
      <c r="H3928" s="2" t="s">
        <v>62</v>
      </c>
      <c r="I3928" s="2" t="s">
        <v>9062</v>
      </c>
      <c r="J3928" s="3" t="str">
        <f>HYPERLINK("https://www.boe.es/gazeta/dias/1814/12/22/pdfs/GMD-1814-169.pdf#page=7","Abrir facsímil")</f>
        <v>Abrir facsímil</v>
      </c>
      <c r="K3928" s="3" t="s">
        <v>64</v>
      </c>
    </row>
    <row r="3929" spans="1:11" ht="42" customHeight="1">
      <c r="A3929" s="2" t="s">
        <v>9063</v>
      </c>
      <c r="B3929" s="2" t="s">
        <v>9064</v>
      </c>
      <c r="C3929" s="2" t="s">
        <v>38</v>
      </c>
      <c r="D3929" s="2" t="s">
        <v>39</v>
      </c>
      <c r="E3929" s="5">
        <v>-31355</v>
      </c>
      <c r="F3929" s="3" t="s">
        <v>50</v>
      </c>
      <c r="G3929" s="3" t="s">
        <v>20</v>
      </c>
      <c r="H3929" s="2" t="s">
        <v>62</v>
      </c>
      <c r="I3929" s="2" t="s">
        <v>9065</v>
      </c>
      <c r="J3929" s="3" t="str">
        <f>HYPERLINK("https://www.boe.es/gazeta/dias/1814/02/24/pdfs/GRE-1814-26.pdf#page=7","Abrir facsímil")</f>
        <v>Abrir facsímil</v>
      </c>
      <c r="K3929" s="3" t="s">
        <v>64</v>
      </c>
    </row>
    <row r="3930" spans="1:11" ht="42" customHeight="1">
      <c r="A3930" s="2" t="s">
        <v>9066</v>
      </c>
      <c r="B3930" s="2" t="s">
        <v>9067</v>
      </c>
      <c r="C3930" s="2" t="s">
        <v>38</v>
      </c>
      <c r="D3930" s="2" t="s">
        <v>39</v>
      </c>
      <c r="E3930" s="5">
        <v>-31297</v>
      </c>
      <c r="F3930" s="3" t="s">
        <v>737</v>
      </c>
      <c r="G3930" s="3" t="s">
        <v>52</v>
      </c>
      <c r="H3930" s="2" t="s">
        <v>62</v>
      </c>
      <c r="I3930" s="2" t="s">
        <v>9068</v>
      </c>
      <c r="J3930" s="3" t="str">
        <f>HYPERLINK("https://www.boe.es/gazeta/dias/1814/04/23/pdfs/GRE-1814-59.pdf#page=8","Abrir facsímil")</f>
        <v>Abrir facsímil</v>
      </c>
      <c r="K3930" s="3" t="s">
        <v>64</v>
      </c>
    </row>
    <row r="3931" spans="1:11" ht="42" customHeight="1">
      <c r="A3931" s="2" t="s">
        <v>9069</v>
      </c>
      <c r="B3931" s="2" t="s">
        <v>9070</v>
      </c>
      <c r="C3931" s="2" t="s">
        <v>32</v>
      </c>
      <c r="D3931" s="2" t="s">
        <v>18</v>
      </c>
      <c r="E3931" s="5">
        <v>-31229</v>
      </c>
      <c r="F3931" s="3" t="s">
        <v>502</v>
      </c>
      <c r="G3931" s="3" t="s">
        <v>137</v>
      </c>
      <c r="H3931" s="2" t="s">
        <v>62</v>
      </c>
      <c r="I3931" s="2" t="s">
        <v>9071</v>
      </c>
      <c r="J3931" s="3" t="str">
        <f>HYPERLINK("https://www.boe.es/gazeta/dias/1814/06/30/pdfs/GMD-1814-92.pdf#page=9","Abrir facsímil")</f>
        <v>Abrir facsímil</v>
      </c>
      <c r="K3931" s="3" t="s">
        <v>64</v>
      </c>
    </row>
    <row r="3932" spans="1:11" ht="42" customHeight="1">
      <c r="A3932" s="2" t="s">
        <v>9072</v>
      </c>
      <c r="B3932" s="2" t="s">
        <v>9073</v>
      </c>
      <c r="C3932" s="2" t="s">
        <v>38</v>
      </c>
      <c r="D3932" s="2" t="s">
        <v>39</v>
      </c>
      <c r="E3932" s="5">
        <v>-31171</v>
      </c>
      <c r="F3932" s="3" t="s">
        <v>157</v>
      </c>
      <c r="G3932" s="3" t="s">
        <v>57</v>
      </c>
      <c r="H3932" s="2" t="s">
        <v>62</v>
      </c>
      <c r="I3932" s="2" t="s">
        <v>9074</v>
      </c>
      <c r="J3932" s="3" t="str">
        <f>HYPERLINK("https://www.boe.es/gazeta/dias/1814/08/27/pdfs/GMD-1814-117.pdf#page=6","Abrir facsímil")</f>
        <v>Abrir facsímil</v>
      </c>
      <c r="K3932" s="3" t="s">
        <v>64</v>
      </c>
    </row>
    <row r="3933" spans="1:11" ht="42" customHeight="1">
      <c r="A3933" s="2" t="s">
        <v>9075</v>
      </c>
      <c r="B3933" s="2" t="s">
        <v>9076</v>
      </c>
      <c r="C3933" s="2" t="s">
        <v>38</v>
      </c>
      <c r="D3933" s="2" t="s">
        <v>39</v>
      </c>
      <c r="E3933" s="5">
        <v>-31215</v>
      </c>
      <c r="F3933" s="3" t="s">
        <v>372</v>
      </c>
      <c r="G3933" s="3" t="s">
        <v>322</v>
      </c>
      <c r="H3933" s="2" t="s">
        <v>62</v>
      </c>
      <c r="I3933" s="2" t="s">
        <v>9077</v>
      </c>
      <c r="J3933" s="3" t="str">
        <f>HYPERLINK("https://www.boe.es/gazeta/dias/1814/07/14/pdfs/GMD-1814-98.pdf#page=12","Abrir facsímil")</f>
        <v>Abrir facsímil</v>
      </c>
      <c r="K3933" s="3" t="s">
        <v>64</v>
      </c>
    </row>
    <row r="3934" spans="1:11" ht="42" customHeight="1">
      <c r="A3934" s="2" t="s">
        <v>9078</v>
      </c>
      <c r="B3934" s="2" t="s">
        <v>9079</v>
      </c>
      <c r="C3934" s="2" t="s">
        <v>17</v>
      </c>
      <c r="D3934" s="2" t="s">
        <v>18</v>
      </c>
      <c r="E3934" s="5">
        <v>-31215</v>
      </c>
      <c r="F3934" s="3" t="s">
        <v>372</v>
      </c>
      <c r="G3934" s="3" t="s">
        <v>322</v>
      </c>
      <c r="H3934" s="2" t="s">
        <v>62</v>
      </c>
      <c r="I3934" s="2" t="s">
        <v>9080</v>
      </c>
      <c r="J3934" s="3" t="str">
        <f>HYPERLINK("https://www.boe.es/gazeta/dias/1814/07/14/pdfs/GMD-1814-98.pdf#page=12","Abrir facsímil")</f>
        <v>Abrir facsímil</v>
      </c>
      <c r="K3934" s="3" t="s">
        <v>64</v>
      </c>
    </row>
    <row r="3935" spans="1:11" ht="42" customHeight="1">
      <c r="A3935" s="2" t="s">
        <v>9081</v>
      </c>
      <c r="B3935" s="2" t="s">
        <v>9081</v>
      </c>
      <c r="C3935" s="2" t="s">
        <v>38</v>
      </c>
      <c r="D3935" s="2" t="s">
        <v>39</v>
      </c>
      <c r="E3935" s="5">
        <v>-31236</v>
      </c>
      <c r="F3935" s="3" t="s">
        <v>33</v>
      </c>
      <c r="G3935" s="3" t="s">
        <v>9082</v>
      </c>
      <c r="H3935" s="2" t="s">
        <v>62</v>
      </c>
      <c r="I3935" s="2" t="s">
        <v>9083</v>
      </c>
      <c r="J3935" s="3" t="str">
        <f>HYPERLINK("https://www.boe.es/gazeta/dias/1814/06/23/pdfs/GMD-1814-89.pdf#page=2","Abrir facsímil")</f>
        <v>Abrir facsímil</v>
      </c>
      <c r="K3935" s="3" t="s">
        <v>64</v>
      </c>
    </row>
    <row r="3936" spans="1:11" ht="42" customHeight="1">
      <c r="A3936" s="2" t="s">
        <v>9084</v>
      </c>
      <c r="B3936" s="2" t="s">
        <v>9084</v>
      </c>
      <c r="C3936" s="2" t="s">
        <v>38</v>
      </c>
      <c r="D3936" s="2" t="s">
        <v>39</v>
      </c>
      <c r="E3936" s="5">
        <v>-31248</v>
      </c>
      <c r="F3936" s="3" t="s">
        <v>1123</v>
      </c>
      <c r="G3936" s="3" t="s">
        <v>1127</v>
      </c>
      <c r="H3936" s="2" t="s">
        <v>62</v>
      </c>
      <c r="I3936" s="2" t="s">
        <v>9085</v>
      </c>
      <c r="J3936" s="3" t="str">
        <f>HYPERLINK("https://www.boe.es/gazeta/dias/1814/06/11/pdfs/GMD-1814-84.pdf#page=4","Abrir facsímil")</f>
        <v>Abrir facsímil</v>
      </c>
      <c r="K3936" s="3" t="s">
        <v>64</v>
      </c>
    </row>
    <row r="3937" spans="1:11" ht="42" customHeight="1">
      <c r="A3937" s="2" t="s">
        <v>9086</v>
      </c>
      <c r="B3937" s="2" t="s">
        <v>9086</v>
      </c>
      <c r="C3937" s="2" t="s">
        <v>38</v>
      </c>
      <c r="D3937" s="2" t="s">
        <v>39</v>
      </c>
      <c r="E3937" s="5">
        <v>-31276</v>
      </c>
      <c r="F3937" s="3" t="s">
        <v>494</v>
      </c>
      <c r="G3937" s="3" t="s">
        <v>107</v>
      </c>
      <c r="H3937" s="2" t="s">
        <v>62</v>
      </c>
      <c r="I3937" s="2" t="s">
        <v>9087</v>
      </c>
      <c r="J3937" s="3" t="str">
        <f>HYPERLINK("https://www.boe.es/gazeta/dias/1814/05/14/pdfs/GMD-1814-71.pdf#page=1","Abrir facsímil")</f>
        <v>Abrir facsímil</v>
      </c>
      <c r="K3937" s="3" t="s">
        <v>64</v>
      </c>
    </row>
    <row r="3938" spans="1:11" ht="42" customHeight="1">
      <c r="A3938" s="2" t="s">
        <v>9088</v>
      </c>
      <c r="B3938" s="2" t="s">
        <v>9089</v>
      </c>
      <c r="C3938" s="2" t="s">
        <v>38</v>
      </c>
      <c r="D3938" s="2" t="s">
        <v>39</v>
      </c>
      <c r="E3938" s="5">
        <v>-31348</v>
      </c>
      <c r="F3938" s="3" t="s">
        <v>898</v>
      </c>
      <c r="G3938" s="3" t="s">
        <v>41</v>
      </c>
      <c r="H3938" s="2" t="s">
        <v>62</v>
      </c>
      <c r="I3938" s="2" t="s">
        <v>9090</v>
      </c>
      <c r="J3938" s="3" t="str">
        <f>HYPERLINK("https://www.boe.es/gazeta/dias/1814/03/03/pdfs/GRE-1814-29.pdf#page=4","Abrir facsímil")</f>
        <v>Abrir facsímil</v>
      </c>
      <c r="K3938" s="3" t="s">
        <v>64</v>
      </c>
    </row>
    <row r="3939" spans="1:11" ht="42" customHeight="1">
      <c r="A3939" s="2" t="s">
        <v>9091</v>
      </c>
      <c r="B3939" s="2" t="s">
        <v>9092</v>
      </c>
      <c r="C3939" s="2" t="s">
        <v>38</v>
      </c>
      <c r="D3939" s="2" t="s">
        <v>39</v>
      </c>
      <c r="E3939" s="5">
        <v>-31369</v>
      </c>
      <c r="F3939" s="3" t="s">
        <v>695</v>
      </c>
      <c r="G3939" s="3" t="s">
        <v>3737</v>
      </c>
      <c r="H3939" s="2" t="s">
        <v>62</v>
      </c>
      <c r="I3939" s="2" t="s">
        <v>9093</v>
      </c>
      <c r="J3939" s="3" t="str">
        <f>HYPERLINK("https://www.boe.es/gazeta/dias/1814/02/10/pdfs/GRE-1814-19.pdf#page=6","Abrir facsímil")</f>
        <v>Abrir facsímil</v>
      </c>
      <c r="K3939" s="3" t="s">
        <v>64</v>
      </c>
    </row>
    <row r="3940" spans="1:11" ht="42" customHeight="1">
      <c r="A3940" s="2" t="s">
        <v>9091</v>
      </c>
      <c r="B3940" s="2" t="s">
        <v>9092</v>
      </c>
      <c r="C3940" s="2" t="s">
        <v>38</v>
      </c>
      <c r="D3940" s="2" t="s">
        <v>39</v>
      </c>
      <c r="E3940" s="5">
        <v>-31341</v>
      </c>
      <c r="F3940" s="3" t="s">
        <v>360</v>
      </c>
      <c r="G3940" s="3" t="s">
        <v>20</v>
      </c>
      <c r="H3940" s="2" t="s">
        <v>62</v>
      </c>
      <c r="I3940" s="2" t="s">
        <v>9094</v>
      </c>
      <c r="J3940" s="3" t="str">
        <f>HYPERLINK("https://www.boe.es/gazeta/dias/1814/03/10/pdfs/GRE-1814-33.pdf#page=7","Abrir facsímil")</f>
        <v>Abrir facsímil</v>
      </c>
      <c r="K3940" s="3" t="s">
        <v>64</v>
      </c>
    </row>
    <row r="3941" spans="1:11" ht="42" customHeight="1">
      <c r="A3941" s="2" t="s">
        <v>9095</v>
      </c>
      <c r="B3941" s="2" t="s">
        <v>9096</v>
      </c>
      <c r="C3941" s="2" t="s">
        <v>38</v>
      </c>
      <c r="D3941" s="2" t="s">
        <v>39</v>
      </c>
      <c r="E3941" s="5">
        <v>-31182</v>
      </c>
      <c r="F3941" s="3" t="s">
        <v>19</v>
      </c>
      <c r="G3941" s="3" t="s">
        <v>20</v>
      </c>
      <c r="H3941" s="2" t="s">
        <v>62</v>
      </c>
      <c r="I3941" s="2" t="s">
        <v>9097</v>
      </c>
      <c r="J3941" s="3" t="str">
        <f>HYPERLINK("https://www.boe.es/gazeta/dias/1814/08/16/pdfs/GMD-1814-112.pdf#page=7","Abrir facsímil")</f>
        <v>Abrir facsímil</v>
      </c>
      <c r="K3941" s="3" t="s">
        <v>64</v>
      </c>
    </row>
    <row r="3942" spans="1:11" ht="42" customHeight="1">
      <c r="A3942" s="2" t="s">
        <v>9098</v>
      </c>
      <c r="B3942" s="2" t="s">
        <v>9099</v>
      </c>
      <c r="C3942" s="2" t="s">
        <v>38</v>
      </c>
      <c r="D3942" s="2" t="s">
        <v>39</v>
      </c>
      <c r="E3942" s="5">
        <v>-31122</v>
      </c>
      <c r="F3942" s="3" t="s">
        <v>28</v>
      </c>
      <c r="G3942" s="3" t="s">
        <v>20</v>
      </c>
      <c r="H3942" s="2" t="s">
        <v>62</v>
      </c>
      <c r="I3942" s="2" t="s">
        <v>9100</v>
      </c>
      <c r="J3942" s="3" t="str">
        <f>HYPERLINK("https://www.boe.es/gazeta/dias/1814/10/15/pdfs/GMD-1814-139.pdf#page=7","Abrir facsímil")</f>
        <v>Abrir facsímil</v>
      </c>
      <c r="K3942" s="3" t="s">
        <v>64</v>
      </c>
    </row>
    <row r="3943" spans="1:11" ht="42" customHeight="1">
      <c r="A3943" s="2" t="s">
        <v>9101</v>
      </c>
      <c r="B3943" s="2" t="s">
        <v>9102</v>
      </c>
      <c r="C3943" s="2" t="s">
        <v>38</v>
      </c>
      <c r="D3943" s="2" t="s">
        <v>39</v>
      </c>
      <c r="E3943" s="5">
        <v>-31264</v>
      </c>
      <c r="F3943" s="3" t="s">
        <v>396</v>
      </c>
      <c r="G3943" s="3" t="s">
        <v>99</v>
      </c>
      <c r="H3943" s="2" t="s">
        <v>62</v>
      </c>
      <c r="I3943" s="2" t="s">
        <v>9103</v>
      </c>
      <c r="J3943" s="3" t="str">
        <f>HYPERLINK("https://www.boe.es/gazeta/dias/1814/05/26/pdfs/GMD-1814-77.pdf#page=5","Abrir facsímil")</f>
        <v>Abrir facsímil</v>
      </c>
      <c r="K3943" s="3" t="s">
        <v>64</v>
      </c>
    </row>
    <row r="3944" spans="1:11" ht="42" customHeight="1">
      <c r="A3944" s="2" t="s">
        <v>9104</v>
      </c>
      <c r="B3944" s="2" t="s">
        <v>9104</v>
      </c>
      <c r="C3944" s="2" t="s">
        <v>38</v>
      </c>
      <c r="D3944" s="2" t="s">
        <v>39</v>
      </c>
      <c r="E3944" s="5">
        <v>-31383</v>
      </c>
      <c r="F3944" s="3" t="s">
        <v>715</v>
      </c>
      <c r="G3944" s="3" t="s">
        <v>1117</v>
      </c>
      <c r="H3944" s="2" t="s">
        <v>62</v>
      </c>
      <c r="I3944" s="2" t="s">
        <v>9105</v>
      </c>
      <c r="J3944" s="3" t="str">
        <f>HYPERLINK("https://www.boe.es/gazeta/dias/1814/01/27/pdfs/GRE-1814-13.pdf#page=3","Abrir facsímil")</f>
        <v>Abrir facsímil</v>
      </c>
      <c r="K3944" s="3" t="s">
        <v>64</v>
      </c>
    </row>
    <row r="3945" spans="1:11" ht="42" customHeight="1">
      <c r="A3945" s="2" t="s">
        <v>9104</v>
      </c>
      <c r="B3945" s="2" t="s">
        <v>9104</v>
      </c>
      <c r="C3945" s="2" t="s">
        <v>38</v>
      </c>
      <c r="D3945" s="2" t="s">
        <v>39</v>
      </c>
      <c r="E3945" s="5">
        <v>-31213</v>
      </c>
      <c r="F3945" s="3" t="s">
        <v>276</v>
      </c>
      <c r="G3945" s="3" t="s">
        <v>41</v>
      </c>
      <c r="H3945" s="2" t="s">
        <v>62</v>
      </c>
      <c r="I3945" s="2" t="s">
        <v>9106</v>
      </c>
      <c r="J3945" s="3" t="str">
        <f>HYPERLINK("https://www.boe.es/gazeta/dias/1814/07/16/pdfs/GMD-1814-99.pdf#page=4","Abrir facsímil")</f>
        <v>Abrir facsímil</v>
      </c>
      <c r="K3945" s="3" t="s">
        <v>64</v>
      </c>
    </row>
    <row r="3946" spans="1:11" ht="42" customHeight="1">
      <c r="A3946" s="2" t="s">
        <v>9107</v>
      </c>
      <c r="B3946" s="2" t="s">
        <v>9108</v>
      </c>
      <c r="C3946" s="2" t="s">
        <v>38</v>
      </c>
      <c r="D3946" s="2" t="s">
        <v>39</v>
      </c>
      <c r="E3946" s="5">
        <v>-31399</v>
      </c>
      <c r="F3946" s="3" t="s">
        <v>218</v>
      </c>
      <c r="G3946" s="3" t="s">
        <v>219</v>
      </c>
      <c r="H3946" s="2" t="s">
        <v>62</v>
      </c>
      <c r="I3946" s="2" t="s">
        <v>9109</v>
      </c>
      <c r="J3946" s="3" t="str">
        <f>HYPERLINK("https://www.boe.es/gazeta/dias/1814/01/11/pdfs/GRE-1814-6.pdf#page=8","Abrir facsímil")</f>
        <v>Abrir facsímil</v>
      </c>
      <c r="K3946" s="3" t="s">
        <v>64</v>
      </c>
    </row>
    <row r="3947" spans="1:11" ht="42" customHeight="1">
      <c r="A3947" s="2" t="s">
        <v>9110</v>
      </c>
      <c r="B3947" s="2" t="s">
        <v>9111</v>
      </c>
      <c r="C3947" s="2" t="s">
        <v>38</v>
      </c>
      <c r="D3947" s="2" t="s">
        <v>314</v>
      </c>
      <c r="E3947" s="5">
        <v>-31296</v>
      </c>
      <c r="F3947" s="3" t="s">
        <v>315</v>
      </c>
      <c r="G3947" s="3" t="s">
        <v>57</v>
      </c>
      <c r="H3947" s="2" t="s">
        <v>62</v>
      </c>
      <c r="I3947" s="2" t="s">
        <v>9112</v>
      </c>
      <c r="J3947" s="3" t="str">
        <f>HYPERLINK("https://www.boe.es/gazeta/dias/1814/04/24/pdfs/GRE-1814-60E.pdf#page=6","Abrir facsímil")</f>
        <v>Abrir facsímil</v>
      </c>
      <c r="K3947" s="3" t="s">
        <v>64</v>
      </c>
    </row>
    <row r="3948" spans="1:11" ht="42" customHeight="1">
      <c r="A3948" s="2" t="s">
        <v>9110</v>
      </c>
      <c r="B3948" s="2" t="s">
        <v>9111</v>
      </c>
      <c r="C3948" s="2" t="s">
        <v>38</v>
      </c>
      <c r="D3948" s="2" t="s">
        <v>39</v>
      </c>
      <c r="E3948" s="5">
        <v>-31178</v>
      </c>
      <c r="F3948" s="3" t="s">
        <v>1390</v>
      </c>
      <c r="G3948" s="3" t="s">
        <v>20</v>
      </c>
      <c r="H3948" s="2" t="s">
        <v>62</v>
      </c>
      <c r="I3948" s="2" t="s">
        <v>9113</v>
      </c>
      <c r="J3948" s="3" t="str">
        <f>HYPERLINK("https://www.boe.es/gazeta/dias/1814/08/20/pdfs/GMD-1814-114.pdf#page=7","Abrir facsímil")</f>
        <v>Abrir facsímil</v>
      </c>
      <c r="K3948" s="3" t="s">
        <v>64</v>
      </c>
    </row>
    <row r="3949" spans="1:11" ht="42" customHeight="1">
      <c r="A3949" s="2" t="s">
        <v>9114</v>
      </c>
      <c r="B3949" s="2" t="s">
        <v>9115</v>
      </c>
      <c r="C3949" s="2" t="s">
        <v>38</v>
      </c>
      <c r="D3949" s="2" t="s">
        <v>39</v>
      </c>
      <c r="E3949" s="5">
        <v>-31229</v>
      </c>
      <c r="F3949" s="3" t="s">
        <v>502</v>
      </c>
      <c r="G3949" s="3" t="s">
        <v>52</v>
      </c>
      <c r="H3949" s="2" t="s">
        <v>62</v>
      </c>
      <c r="I3949" s="2" t="s">
        <v>9116</v>
      </c>
      <c r="J3949" s="3" t="str">
        <f>HYPERLINK("https://www.boe.es/gazeta/dias/1814/06/30/pdfs/GMD-1814-92.pdf#page=8","Abrir facsímil")</f>
        <v>Abrir facsímil</v>
      </c>
      <c r="K3949" s="3" t="s">
        <v>64</v>
      </c>
    </row>
    <row r="3950" spans="1:11" ht="42" customHeight="1">
      <c r="A3950" s="2" t="s">
        <v>9117</v>
      </c>
      <c r="B3950" s="2" t="s">
        <v>9118</v>
      </c>
      <c r="C3950" s="2" t="s">
        <v>38</v>
      </c>
      <c r="D3950" s="2" t="s">
        <v>39</v>
      </c>
      <c r="E3950" s="5">
        <v>-31080</v>
      </c>
      <c r="F3950" s="3" t="s">
        <v>286</v>
      </c>
      <c r="G3950" s="3" t="s">
        <v>677</v>
      </c>
      <c r="H3950" s="2" t="s">
        <v>21</v>
      </c>
      <c r="I3950" s="2" t="s">
        <v>9119</v>
      </c>
      <c r="J3950" s="3" t="str">
        <f>HYPERLINK("https://www.boe.es/gazeta/dias/1814/11/26/pdfs/GMD-1814-157.pdf#page=7","Abrir facsímil")</f>
        <v>Abrir facsímil</v>
      </c>
      <c r="K3950" s="3" t="s">
        <v>23</v>
      </c>
    </row>
    <row r="3951" spans="1:11" ht="42" customHeight="1">
      <c r="A3951" s="2" t="s">
        <v>9120</v>
      </c>
      <c r="B3951" s="2" t="s">
        <v>9121</v>
      </c>
      <c r="C3951" s="2" t="s">
        <v>105</v>
      </c>
      <c r="D3951" s="2" t="s">
        <v>18</v>
      </c>
      <c r="E3951" s="5">
        <v>-31371</v>
      </c>
      <c r="F3951" s="3" t="s">
        <v>1017</v>
      </c>
      <c r="G3951" s="3" t="s">
        <v>8664</v>
      </c>
      <c r="H3951" s="2" t="s">
        <v>62</v>
      </c>
      <c r="I3951" s="2" t="s">
        <v>9122</v>
      </c>
      <c r="J3951" s="3" t="str">
        <f>HYPERLINK("https://www.boe.es/gazeta/dias/1814/02/08/pdfs/GRE-1814-18.pdf#page=6","Abrir facsímil")</f>
        <v>Abrir facsímil</v>
      </c>
      <c r="K3951" s="3" t="s">
        <v>64</v>
      </c>
    </row>
    <row r="3952" spans="1:11" ht="42" customHeight="1">
      <c r="A3952" s="2" t="s">
        <v>9123</v>
      </c>
      <c r="B3952" s="2" t="s">
        <v>9124</v>
      </c>
      <c r="C3952" s="2" t="s">
        <v>17</v>
      </c>
      <c r="D3952" s="2" t="s">
        <v>18</v>
      </c>
      <c r="E3952" s="5">
        <v>-31383</v>
      </c>
      <c r="F3952" s="3" t="s">
        <v>715</v>
      </c>
      <c r="G3952" s="3" t="s">
        <v>57</v>
      </c>
      <c r="H3952" s="2" t="s">
        <v>62</v>
      </c>
      <c r="I3952" s="2" t="s">
        <v>9125</v>
      </c>
      <c r="J3952" s="3" t="str">
        <f>HYPERLINK("https://www.boe.es/gazeta/dias/1814/01/27/pdfs/GRE-1814-13.pdf#page=6","Abrir facsímil")</f>
        <v>Abrir facsímil</v>
      </c>
      <c r="K3952" s="3" t="s">
        <v>64</v>
      </c>
    </row>
    <row r="3953" spans="1:11" ht="42" customHeight="1">
      <c r="A3953" s="2" t="s">
        <v>9126</v>
      </c>
      <c r="B3953" s="2" t="s">
        <v>9127</v>
      </c>
      <c r="C3953" s="2" t="s">
        <v>17</v>
      </c>
      <c r="D3953" s="2" t="s">
        <v>18</v>
      </c>
      <c r="E3953" s="5">
        <v>-31245</v>
      </c>
      <c r="F3953" s="3" t="s">
        <v>908</v>
      </c>
      <c r="G3953" s="3" t="s">
        <v>1348</v>
      </c>
      <c r="H3953" s="2" t="s">
        <v>62</v>
      </c>
      <c r="I3953" s="2" t="s">
        <v>9128</v>
      </c>
      <c r="J3953" s="3" t="str">
        <f>HYPERLINK("https://www.boe.es/gazeta/dias/1814/06/14/pdfs/GMD-1814-85.pdf#page=9","Abrir facsímil")</f>
        <v>Abrir facsímil</v>
      </c>
      <c r="K3953" s="3" t="s">
        <v>64</v>
      </c>
    </row>
    <row r="3954" spans="1:11" ht="42" customHeight="1">
      <c r="A3954" s="2" t="s">
        <v>9129</v>
      </c>
      <c r="B3954" s="2" t="s">
        <v>9130</v>
      </c>
      <c r="C3954" s="2" t="s">
        <v>38</v>
      </c>
      <c r="D3954" s="2" t="s">
        <v>39</v>
      </c>
      <c r="E3954" s="5">
        <v>-31213</v>
      </c>
      <c r="F3954" s="3" t="s">
        <v>276</v>
      </c>
      <c r="G3954" s="3" t="s">
        <v>41</v>
      </c>
      <c r="H3954" s="2" t="s">
        <v>62</v>
      </c>
      <c r="I3954" s="2" t="s">
        <v>9131</v>
      </c>
      <c r="J3954" s="3" t="str">
        <f>HYPERLINK("https://www.boe.es/gazeta/dias/1814/07/16/pdfs/GMD-1814-99.pdf#page=4","Abrir facsímil")</f>
        <v>Abrir facsímil</v>
      </c>
      <c r="K3954" s="3" t="s">
        <v>64</v>
      </c>
    </row>
    <row r="3955" spans="1:11" ht="42" customHeight="1">
      <c r="A3955" s="2" t="s">
        <v>9132</v>
      </c>
      <c r="B3955" s="2" t="s">
        <v>9133</v>
      </c>
      <c r="C3955" s="2" t="s">
        <v>38</v>
      </c>
      <c r="D3955" s="2" t="s">
        <v>39</v>
      </c>
      <c r="E3955" s="5">
        <v>-31210</v>
      </c>
      <c r="F3955" s="3" t="s">
        <v>141</v>
      </c>
      <c r="G3955" s="3" t="s">
        <v>20</v>
      </c>
      <c r="H3955" s="2" t="s">
        <v>21</v>
      </c>
      <c r="I3955" s="2" t="s">
        <v>9134</v>
      </c>
      <c r="J3955" s="3" t="str">
        <f>HYPERLINK("https://www.boe.es/gazeta/dias/1814/07/19/pdfs/GMD-1814-100.pdf#page=7","Abrir facsímil")</f>
        <v>Abrir facsímil</v>
      </c>
      <c r="K3955" s="3" t="s">
        <v>23</v>
      </c>
    </row>
    <row r="3956" spans="1:11" ht="42" customHeight="1">
      <c r="A3956" s="2" t="s">
        <v>9135</v>
      </c>
      <c r="B3956" s="2" t="s">
        <v>9136</v>
      </c>
      <c r="C3956" s="2" t="s">
        <v>45</v>
      </c>
      <c r="D3956" s="2" t="s">
        <v>18</v>
      </c>
      <c r="E3956" s="5">
        <v>-31215</v>
      </c>
      <c r="F3956" s="3" t="s">
        <v>372</v>
      </c>
      <c r="G3956" s="3" t="s">
        <v>322</v>
      </c>
      <c r="H3956" s="2" t="s">
        <v>62</v>
      </c>
      <c r="I3956" s="2" t="s">
        <v>9137</v>
      </c>
      <c r="J3956" s="3" t="str">
        <f>HYPERLINK("https://www.boe.es/gazeta/dias/1814/07/14/pdfs/GMD-1814-98.pdf#page=12","Abrir facsímil")</f>
        <v>Abrir facsímil</v>
      </c>
      <c r="K3956" s="3" t="s">
        <v>64</v>
      </c>
    </row>
    <row r="3957" spans="1:11" ht="42" customHeight="1">
      <c r="A3957" s="2" t="s">
        <v>9138</v>
      </c>
      <c r="B3957" s="2" t="s">
        <v>9139</v>
      </c>
      <c r="C3957" s="2" t="s">
        <v>26</v>
      </c>
      <c r="D3957" s="2" t="s">
        <v>27</v>
      </c>
      <c r="E3957" s="5">
        <v>-31283</v>
      </c>
      <c r="F3957" s="3" t="s">
        <v>701</v>
      </c>
      <c r="G3957" s="3" t="s">
        <v>52</v>
      </c>
      <c r="H3957" s="2" t="s">
        <v>21</v>
      </c>
      <c r="I3957" s="2" t="s">
        <v>9140</v>
      </c>
      <c r="J3957" s="3" t="str">
        <f>HYPERLINK("https://www.boe.es/gazeta/dias/1814/05/07/pdfs/GRE-1814-67.pdf#page=8","Abrir facsímil")</f>
        <v>Abrir facsímil</v>
      </c>
      <c r="K3957" s="3" t="s">
        <v>23</v>
      </c>
    </row>
    <row r="3958" spans="1:11" ht="42" customHeight="1">
      <c r="A3958" s="2" t="s">
        <v>9141</v>
      </c>
      <c r="B3958" s="2" t="s">
        <v>9142</v>
      </c>
      <c r="C3958" s="2" t="s">
        <v>45</v>
      </c>
      <c r="D3958" s="2" t="s">
        <v>18</v>
      </c>
      <c r="E3958" s="5">
        <v>-31075</v>
      </c>
      <c r="F3958" s="3" t="s">
        <v>537</v>
      </c>
      <c r="G3958" s="3" t="s">
        <v>52</v>
      </c>
      <c r="H3958" s="2" t="s">
        <v>62</v>
      </c>
      <c r="I3958" s="2" t="s">
        <v>9143</v>
      </c>
      <c r="J3958" s="3" t="str">
        <f>HYPERLINK("https://www.boe.es/gazeta/dias/1814/12/01/pdfs/GMD-1814-159.pdf#page=8","Abrir facsímil")</f>
        <v>Abrir facsímil</v>
      </c>
      <c r="K3958" s="3" t="s">
        <v>64</v>
      </c>
    </row>
    <row r="3959" spans="1:11" ht="42" customHeight="1">
      <c r="A3959" s="2" t="s">
        <v>9144</v>
      </c>
      <c r="B3959" s="2" t="s">
        <v>9145</v>
      </c>
      <c r="C3959" s="2" t="s">
        <v>38</v>
      </c>
      <c r="D3959" s="2" t="s">
        <v>39</v>
      </c>
      <c r="E3959" s="5">
        <v>-31292</v>
      </c>
      <c r="F3959" s="3" t="s">
        <v>557</v>
      </c>
      <c r="G3959" s="3" t="s">
        <v>20</v>
      </c>
      <c r="H3959" s="2" t="s">
        <v>62</v>
      </c>
      <c r="I3959" s="2" t="s">
        <v>9146</v>
      </c>
      <c r="J3959" s="3" t="str">
        <f>HYPERLINK("https://www.boe.es/gazeta/dias/1814/04/28/pdfs/GRE-1814-63.pdf#page=7","Abrir facsímil")</f>
        <v>Abrir facsímil</v>
      </c>
      <c r="K3959" s="3" t="s">
        <v>64</v>
      </c>
    </row>
    <row r="3960" spans="1:11" ht="42" customHeight="1">
      <c r="A3960" s="2" t="s">
        <v>9147</v>
      </c>
      <c r="B3960" s="2" t="s">
        <v>9148</v>
      </c>
      <c r="C3960" s="2" t="s">
        <v>38</v>
      </c>
      <c r="D3960" s="2" t="s">
        <v>39</v>
      </c>
      <c r="E3960" s="5">
        <v>-31367</v>
      </c>
      <c r="F3960" s="3" t="s">
        <v>857</v>
      </c>
      <c r="G3960" s="3" t="s">
        <v>20</v>
      </c>
      <c r="H3960" s="2" t="s">
        <v>62</v>
      </c>
      <c r="I3960" s="2" t="s">
        <v>9149</v>
      </c>
      <c r="J3960" s="3" t="str">
        <f>HYPERLINK("https://www.boe.es/gazeta/dias/1814/02/12/pdfs/GRE-1814-20.pdf#page=7","Abrir facsímil")</f>
        <v>Abrir facsímil</v>
      </c>
      <c r="K3960" s="3" t="s">
        <v>64</v>
      </c>
    </row>
    <row r="3961" spans="1:11" ht="42" customHeight="1">
      <c r="A3961" s="2" t="s">
        <v>9150</v>
      </c>
      <c r="B3961" s="2" t="s">
        <v>9151</v>
      </c>
      <c r="C3961" s="2" t="s">
        <v>26</v>
      </c>
      <c r="D3961" s="2" t="s">
        <v>27</v>
      </c>
      <c r="E3961" s="5">
        <v>-31045</v>
      </c>
      <c r="F3961" s="3" t="s">
        <v>165</v>
      </c>
      <c r="G3961" s="3" t="s">
        <v>52</v>
      </c>
      <c r="H3961" s="2" t="s">
        <v>62</v>
      </c>
      <c r="I3961" s="2" t="s">
        <v>9152</v>
      </c>
      <c r="J3961" s="3" t="str">
        <f>HYPERLINK("https://www.boe.es/gazeta/dias/1814/12/31/pdfs/GMD-1814-173.pdf#page=8","Abrir facsímil")</f>
        <v>Abrir facsímil</v>
      </c>
      <c r="K3961" s="3" t="s">
        <v>64</v>
      </c>
    </row>
    <row r="3962" spans="1:11" ht="42" customHeight="1">
      <c r="A3962" s="2" t="s">
        <v>9153</v>
      </c>
      <c r="B3962" s="2" t="s">
        <v>9154</v>
      </c>
      <c r="C3962" s="2" t="s">
        <v>38</v>
      </c>
      <c r="D3962" s="2" t="s">
        <v>39</v>
      </c>
      <c r="E3962" s="5">
        <v>-31168</v>
      </c>
      <c r="F3962" s="3" t="s">
        <v>893</v>
      </c>
      <c r="G3962" s="3" t="s">
        <v>1981</v>
      </c>
      <c r="H3962" s="2" t="s">
        <v>62</v>
      </c>
      <c r="I3962" s="2" t="s">
        <v>9155</v>
      </c>
      <c r="J3962" s="3" t="str">
        <f>HYPERLINK("https://www.boe.es/gazeta/dias/1814/08/30/pdfs/GMD-1814-118.pdf#page=8","Abrir facsímil")</f>
        <v>Abrir facsímil</v>
      </c>
      <c r="K3962" s="3" t="s">
        <v>64</v>
      </c>
    </row>
    <row r="3963" spans="1:11" ht="42" customHeight="1">
      <c r="A3963" s="2" t="s">
        <v>9156</v>
      </c>
      <c r="B3963" s="2" t="s">
        <v>9157</v>
      </c>
      <c r="C3963" s="2" t="s">
        <v>17</v>
      </c>
      <c r="D3963" s="2" t="s">
        <v>18</v>
      </c>
      <c r="E3963" s="5">
        <v>-31308</v>
      </c>
      <c r="F3963" s="3" t="s">
        <v>210</v>
      </c>
      <c r="G3963" s="3" t="s">
        <v>20</v>
      </c>
      <c r="H3963" s="2" t="s">
        <v>62</v>
      </c>
      <c r="I3963" s="2" t="s">
        <v>9158</v>
      </c>
      <c r="J3963" s="3" t="str">
        <f>HYPERLINK("https://www.boe.es/gazeta/dias/1814/04/12/pdfs/GRE-1814-52.pdf#page=7","Abrir facsímil")</f>
        <v>Abrir facsímil</v>
      </c>
      <c r="K3963" s="3" t="s">
        <v>64</v>
      </c>
    </row>
    <row r="3964" spans="1:11" ht="42" customHeight="1">
      <c r="A3964" s="2" t="s">
        <v>9159</v>
      </c>
      <c r="B3964" s="2" t="s">
        <v>9160</v>
      </c>
      <c r="C3964" s="2" t="s">
        <v>38</v>
      </c>
      <c r="D3964" s="2" t="s">
        <v>39</v>
      </c>
      <c r="E3964" s="5">
        <v>-31115</v>
      </c>
      <c r="F3964" s="3" t="s">
        <v>805</v>
      </c>
      <c r="G3964" s="3" t="s">
        <v>52</v>
      </c>
      <c r="H3964" s="2" t="s">
        <v>62</v>
      </c>
      <c r="I3964" s="2" t="s">
        <v>9161</v>
      </c>
      <c r="J3964" s="3" t="str">
        <f>HYPERLINK("https://www.boe.es/gazeta/dias/1814/10/22/pdfs/GMD-1814-142.pdf#page=8","Abrir facsímil")</f>
        <v>Abrir facsímil</v>
      </c>
      <c r="K3964" s="3" t="s">
        <v>64</v>
      </c>
    </row>
    <row r="3965" spans="1:11" ht="42" customHeight="1">
      <c r="A3965" s="2" t="s">
        <v>9162</v>
      </c>
      <c r="B3965" s="2" t="s">
        <v>9163</v>
      </c>
      <c r="C3965" s="2" t="s">
        <v>38</v>
      </c>
      <c r="D3965" s="2" t="s">
        <v>39</v>
      </c>
      <c r="E3965" s="5">
        <v>-31192</v>
      </c>
      <c r="F3965" s="3" t="s">
        <v>388</v>
      </c>
      <c r="G3965" s="3" t="s">
        <v>20</v>
      </c>
      <c r="H3965" s="2" t="s">
        <v>62</v>
      </c>
      <c r="I3965" s="2" t="s">
        <v>9164</v>
      </c>
      <c r="J3965" s="3" t="str">
        <f>HYPERLINK("https://www.boe.es/gazeta/dias/1814/08/06/pdfs/GMD-1814-108.pdf#page=7","Abrir facsímil")</f>
        <v>Abrir facsímil</v>
      </c>
      <c r="K3965" s="3" t="s">
        <v>64</v>
      </c>
    </row>
    <row r="3966" spans="1:11" ht="42" customHeight="1">
      <c r="A3966" s="2" t="s">
        <v>9165</v>
      </c>
      <c r="B3966" s="2" t="s">
        <v>9166</v>
      </c>
      <c r="C3966" s="2" t="s">
        <v>38</v>
      </c>
      <c r="D3966" s="2" t="s">
        <v>314</v>
      </c>
      <c r="E3966" s="5">
        <v>-31296</v>
      </c>
      <c r="F3966" s="3" t="s">
        <v>315</v>
      </c>
      <c r="G3966" s="3" t="s">
        <v>52</v>
      </c>
      <c r="H3966" s="2" t="s">
        <v>62</v>
      </c>
      <c r="I3966" s="2" t="s">
        <v>9167</v>
      </c>
      <c r="J3966" s="3" t="str">
        <f>HYPERLINK("https://www.boe.es/gazeta/dias/1814/04/24/pdfs/GRE-1814-60E.pdf#page=8","Abrir facsímil")</f>
        <v>Abrir facsímil</v>
      </c>
      <c r="K3966" s="3" t="s">
        <v>64</v>
      </c>
    </row>
    <row r="3967" spans="1:11" ht="42" customHeight="1">
      <c r="A3967" s="2" t="s">
        <v>9168</v>
      </c>
      <c r="B3967" s="2" t="s">
        <v>9169</v>
      </c>
      <c r="C3967" s="2" t="s">
        <v>17</v>
      </c>
      <c r="D3967" s="2" t="s">
        <v>18</v>
      </c>
      <c r="E3967" s="5">
        <v>-31119</v>
      </c>
      <c r="F3967" s="3" t="s">
        <v>136</v>
      </c>
      <c r="G3967" s="3" t="s">
        <v>137</v>
      </c>
      <c r="H3967" s="2" t="s">
        <v>62</v>
      </c>
      <c r="I3967" s="2" t="s">
        <v>9170</v>
      </c>
      <c r="J3967" s="3" t="str">
        <f>HYPERLINK("https://www.boe.es/gazeta/dias/1814/10/18/pdfs/GMD-1814-140.pdf#page=9","Abrir facsímil")</f>
        <v>Abrir facsímil</v>
      </c>
      <c r="K3967" s="3" t="s">
        <v>64</v>
      </c>
    </row>
    <row r="3968" spans="1:11" ht="42" customHeight="1">
      <c r="A3968" s="2" t="s">
        <v>9171</v>
      </c>
      <c r="B3968" s="2" t="s">
        <v>9172</v>
      </c>
      <c r="C3968" s="2" t="s">
        <v>17</v>
      </c>
      <c r="D3968" s="2" t="s">
        <v>18</v>
      </c>
      <c r="E3968" s="5">
        <v>-31154</v>
      </c>
      <c r="F3968" s="3" t="s">
        <v>688</v>
      </c>
      <c r="G3968" s="3" t="s">
        <v>831</v>
      </c>
      <c r="H3968" s="2" t="s">
        <v>62</v>
      </c>
      <c r="I3968" s="2" t="s">
        <v>9173</v>
      </c>
      <c r="J3968" s="3" t="str">
        <f>HYPERLINK("https://www.boe.es/gazeta/dias/1814/09/13/pdfs/GMD-1814-125.pdf#page=3","Abrir facsímil")</f>
        <v>Abrir facsímil</v>
      </c>
      <c r="K3968" s="3" t="s">
        <v>64</v>
      </c>
    </row>
    <row r="3969" spans="1:11" ht="42" customHeight="1">
      <c r="A3969" s="2" t="s">
        <v>9174</v>
      </c>
      <c r="B3969" s="2" t="s">
        <v>9175</v>
      </c>
      <c r="C3969" s="2" t="s">
        <v>26</v>
      </c>
      <c r="D3969" s="2" t="s">
        <v>27</v>
      </c>
      <c r="E3969" s="5">
        <v>-31124</v>
      </c>
      <c r="F3969" s="3" t="s">
        <v>383</v>
      </c>
      <c r="G3969" s="3" t="s">
        <v>384</v>
      </c>
      <c r="H3969" s="2" t="s">
        <v>62</v>
      </c>
      <c r="I3969" s="2" t="s">
        <v>9176</v>
      </c>
      <c r="J3969" s="3" t="str">
        <f>HYPERLINK("https://www.boe.es/gazeta/dias/1814/10/13/pdfs/GMD-1814-138.pdf#page=11","Abrir facsímil")</f>
        <v>Abrir facsímil</v>
      </c>
      <c r="K3969" s="3" t="s">
        <v>64</v>
      </c>
    </row>
    <row r="3970" spans="1:11" ht="42" customHeight="1">
      <c r="A3970" s="2" t="s">
        <v>9177</v>
      </c>
      <c r="B3970" s="2" t="s">
        <v>9178</v>
      </c>
      <c r="C3970" s="2" t="s">
        <v>26</v>
      </c>
      <c r="D3970" s="2" t="s">
        <v>27</v>
      </c>
      <c r="E3970" s="5">
        <v>-31117</v>
      </c>
      <c r="F3970" s="3" t="s">
        <v>172</v>
      </c>
      <c r="G3970" s="3" t="s">
        <v>392</v>
      </c>
      <c r="H3970" s="2" t="s">
        <v>62</v>
      </c>
      <c r="I3970" s="2" t="s">
        <v>9179</v>
      </c>
      <c r="J3970" s="3" t="str">
        <f>HYPERLINK("https://www.boe.es/gazeta/dias/1814/10/20/pdfs/GMD-1814-141.pdf#page=8","Abrir facsímil")</f>
        <v>Abrir facsímil</v>
      </c>
      <c r="K3970" s="3" t="s">
        <v>64</v>
      </c>
    </row>
    <row r="3971" spans="1:11" ht="42" customHeight="1">
      <c r="A3971" s="2" t="s">
        <v>9180</v>
      </c>
      <c r="B3971" s="2" t="s">
        <v>9181</v>
      </c>
      <c r="C3971" s="2" t="s">
        <v>38</v>
      </c>
      <c r="D3971" s="2" t="s">
        <v>39</v>
      </c>
      <c r="E3971" s="5">
        <v>-31350</v>
      </c>
      <c r="F3971" s="3" t="s">
        <v>377</v>
      </c>
      <c r="G3971" s="3" t="s">
        <v>20</v>
      </c>
      <c r="H3971" s="2" t="s">
        <v>62</v>
      </c>
      <c r="I3971" s="2" t="s">
        <v>9182</v>
      </c>
      <c r="J3971" s="3" t="str">
        <f>HYPERLINK("https://www.boe.es/gazeta/dias/1814/03/01/pdfs/GRE-1814-28.pdf#page=7","Abrir facsímil")</f>
        <v>Abrir facsímil</v>
      </c>
      <c r="K3971" s="3" t="s">
        <v>64</v>
      </c>
    </row>
    <row r="3972" spans="1:11" ht="42" customHeight="1">
      <c r="A3972" s="2" t="s">
        <v>9180</v>
      </c>
      <c r="B3972" s="2" t="s">
        <v>9181</v>
      </c>
      <c r="C3972" s="2" t="s">
        <v>17</v>
      </c>
      <c r="D3972" s="2" t="s">
        <v>18</v>
      </c>
      <c r="E3972" s="5">
        <v>-31236</v>
      </c>
      <c r="F3972" s="3" t="s">
        <v>33</v>
      </c>
      <c r="G3972" s="3" t="s">
        <v>34</v>
      </c>
      <c r="H3972" s="2" t="s">
        <v>62</v>
      </c>
      <c r="I3972" s="2" t="s">
        <v>9183</v>
      </c>
      <c r="J3972" s="3" t="str">
        <f>HYPERLINK("https://www.boe.es/gazeta/dias/1814/06/23/pdfs/GMD-1814-89.pdf#page=6","Abrir facsímil")</f>
        <v>Abrir facsímil</v>
      </c>
      <c r="K3972" s="3" t="s">
        <v>64</v>
      </c>
    </row>
    <row r="3973" spans="1:11" ht="42" customHeight="1">
      <c r="A3973" s="2" t="s">
        <v>9180</v>
      </c>
      <c r="B3973" s="2" t="s">
        <v>9181</v>
      </c>
      <c r="C3973" s="2" t="s">
        <v>38</v>
      </c>
      <c r="D3973" s="2" t="s">
        <v>39</v>
      </c>
      <c r="E3973" s="5">
        <v>-31229</v>
      </c>
      <c r="F3973" s="3" t="s">
        <v>502</v>
      </c>
      <c r="G3973" s="3" t="s">
        <v>52</v>
      </c>
      <c r="H3973" s="2" t="s">
        <v>62</v>
      </c>
      <c r="I3973" s="2" t="s">
        <v>9184</v>
      </c>
      <c r="J3973" s="3" t="str">
        <f>HYPERLINK("https://www.boe.es/gazeta/dias/1814/06/30/pdfs/GMD-1814-92.pdf#page=8","Abrir facsímil")</f>
        <v>Abrir facsímil</v>
      </c>
      <c r="K3973" s="3" t="s">
        <v>64</v>
      </c>
    </row>
    <row r="3974" spans="1:11" ht="42" customHeight="1">
      <c r="A3974" s="2" t="s">
        <v>9180</v>
      </c>
      <c r="B3974" s="2" t="s">
        <v>9181</v>
      </c>
      <c r="C3974" s="2" t="s">
        <v>17</v>
      </c>
      <c r="D3974" s="2" t="s">
        <v>18</v>
      </c>
      <c r="E3974" s="5">
        <v>-31210</v>
      </c>
      <c r="F3974" s="3" t="s">
        <v>141</v>
      </c>
      <c r="G3974" s="3" t="s">
        <v>52</v>
      </c>
      <c r="H3974" s="2" t="s">
        <v>62</v>
      </c>
      <c r="I3974" s="2" t="s">
        <v>9185</v>
      </c>
      <c r="J3974" s="3" t="str">
        <f>HYPERLINK("https://www.boe.es/gazeta/dias/1814/07/19/pdfs/GMD-1814-100.pdf#page=8","Abrir facsímil")</f>
        <v>Abrir facsímil</v>
      </c>
      <c r="K3974" s="3" t="s">
        <v>64</v>
      </c>
    </row>
    <row r="3975" spans="1:11" ht="42" customHeight="1">
      <c r="A3975" s="2" t="s">
        <v>9186</v>
      </c>
      <c r="B3975" s="2" t="s">
        <v>9187</v>
      </c>
      <c r="C3975" s="2" t="s">
        <v>17</v>
      </c>
      <c r="D3975" s="2" t="s">
        <v>18</v>
      </c>
      <c r="E3975" s="5">
        <v>-31224</v>
      </c>
      <c r="F3975" s="3" t="s">
        <v>609</v>
      </c>
      <c r="G3975" s="3" t="s">
        <v>322</v>
      </c>
      <c r="H3975" s="2" t="s">
        <v>62</v>
      </c>
      <c r="I3975" s="2" t="s">
        <v>9188</v>
      </c>
      <c r="J3975" s="3" t="str">
        <f>HYPERLINK("https://www.boe.es/gazeta/dias/1814/07/05/pdfs/GMD-1814-94.pdf#page=12","Abrir facsímil")</f>
        <v>Abrir facsímil</v>
      </c>
      <c r="K3975" s="3" t="s">
        <v>64</v>
      </c>
    </row>
    <row r="3976" spans="1:11" ht="42" customHeight="1">
      <c r="A3976" s="2" t="s">
        <v>9189</v>
      </c>
      <c r="B3976" s="2" t="s">
        <v>9190</v>
      </c>
      <c r="C3976" s="2" t="s">
        <v>26</v>
      </c>
      <c r="D3976" s="2" t="s">
        <v>27</v>
      </c>
      <c r="E3976" s="5">
        <v>-31182</v>
      </c>
      <c r="F3976" s="3" t="s">
        <v>19</v>
      </c>
      <c r="G3976" s="3" t="s">
        <v>57</v>
      </c>
      <c r="H3976" s="2" t="s">
        <v>62</v>
      </c>
      <c r="I3976" s="2" t="s">
        <v>9191</v>
      </c>
      <c r="J3976" s="3" t="str">
        <f>HYPERLINK("https://www.boe.es/gazeta/dias/1814/08/16/pdfs/GMD-1814-112.pdf#page=6","Abrir facsímil")</f>
        <v>Abrir facsímil</v>
      </c>
      <c r="K3976" s="3" t="s">
        <v>64</v>
      </c>
    </row>
    <row r="3977" spans="1:11" ht="42" customHeight="1">
      <c r="A3977" s="2" t="s">
        <v>9192</v>
      </c>
      <c r="B3977" s="2" t="s">
        <v>9192</v>
      </c>
      <c r="C3977" s="2" t="s">
        <v>38</v>
      </c>
      <c r="D3977" s="2" t="s">
        <v>39</v>
      </c>
      <c r="E3977" s="5">
        <v>-31325</v>
      </c>
      <c r="F3977" s="3" t="s">
        <v>67</v>
      </c>
      <c r="G3977" s="3" t="s">
        <v>2060</v>
      </c>
      <c r="H3977" s="2" t="s">
        <v>62</v>
      </c>
      <c r="I3977" s="2" t="s">
        <v>9193</v>
      </c>
      <c r="J3977" s="3" t="str">
        <f>HYPERLINK("https://www.boe.es/gazeta/dias/1814/03/26/pdfs/GRE-1814-43.pdf#page=4","Abrir facsímil")</f>
        <v>Abrir facsímil</v>
      </c>
      <c r="K3977" s="3" t="s">
        <v>64</v>
      </c>
    </row>
    <row r="3978" spans="1:11" ht="42" customHeight="1">
      <c r="A3978" s="2" t="s">
        <v>9192</v>
      </c>
      <c r="B3978" s="2" t="s">
        <v>9192</v>
      </c>
      <c r="C3978" s="2" t="s">
        <v>38</v>
      </c>
      <c r="D3978" s="2" t="s">
        <v>39</v>
      </c>
      <c r="E3978" s="5">
        <v>-31315</v>
      </c>
      <c r="F3978" s="3" t="s">
        <v>645</v>
      </c>
      <c r="G3978" s="3" t="s">
        <v>87</v>
      </c>
      <c r="H3978" s="2" t="s">
        <v>62</v>
      </c>
      <c r="I3978" s="2" t="s">
        <v>9194</v>
      </c>
      <c r="J3978" s="3" t="str">
        <f>HYPERLINK("https://www.boe.es/gazeta/dias/1814/04/05/pdfs/GRE-1814-49.pdf#page=2","Abrir facsímil")</f>
        <v>Abrir facsímil</v>
      </c>
      <c r="K3978" s="3" t="s">
        <v>64</v>
      </c>
    </row>
    <row r="3979" spans="1:11" ht="42" customHeight="1">
      <c r="A3979" s="2" t="s">
        <v>9195</v>
      </c>
      <c r="B3979" s="2" t="s">
        <v>9196</v>
      </c>
      <c r="C3979" s="2" t="s">
        <v>38</v>
      </c>
      <c r="D3979" s="2" t="s">
        <v>314</v>
      </c>
      <c r="E3979" s="5">
        <v>-31296</v>
      </c>
      <c r="F3979" s="3" t="s">
        <v>315</v>
      </c>
      <c r="G3979" s="3" t="s">
        <v>52</v>
      </c>
      <c r="H3979" s="2" t="s">
        <v>62</v>
      </c>
      <c r="I3979" s="2" t="s">
        <v>9197</v>
      </c>
      <c r="J3979" s="3" t="str">
        <f>HYPERLINK("https://www.boe.es/gazeta/dias/1814/04/24/pdfs/GRE-1814-60E.pdf#page=8","Abrir facsímil")</f>
        <v>Abrir facsímil</v>
      </c>
      <c r="K3979" s="3" t="s">
        <v>64</v>
      </c>
    </row>
    <row r="3980" spans="1:11" ht="42" customHeight="1">
      <c r="A3980" s="2" t="s">
        <v>9198</v>
      </c>
      <c r="B3980" s="2" t="s">
        <v>9199</v>
      </c>
      <c r="C3980" s="2" t="s">
        <v>38</v>
      </c>
      <c r="D3980" s="2" t="s">
        <v>39</v>
      </c>
      <c r="E3980" s="5">
        <v>-31152</v>
      </c>
      <c r="F3980" s="3" t="s">
        <v>199</v>
      </c>
      <c r="G3980" s="3" t="s">
        <v>52</v>
      </c>
      <c r="H3980" s="2" t="s">
        <v>62</v>
      </c>
      <c r="I3980" s="2" t="s">
        <v>9200</v>
      </c>
      <c r="J3980" s="3" t="str">
        <f>HYPERLINK("https://www.boe.es/gazeta/dias/1814/09/15/pdfs/GMD-1814-126.pdf#page=8","Abrir facsímil")</f>
        <v>Abrir facsímil</v>
      </c>
      <c r="K3980" s="3" t="s">
        <v>64</v>
      </c>
    </row>
    <row r="3981" spans="1:11" ht="42" customHeight="1">
      <c r="A3981" s="2" t="s">
        <v>9201</v>
      </c>
      <c r="B3981" s="2" t="s">
        <v>9201</v>
      </c>
      <c r="C3981" s="2" t="s">
        <v>38</v>
      </c>
      <c r="D3981" s="2" t="s">
        <v>39</v>
      </c>
      <c r="E3981" s="5">
        <v>-31392</v>
      </c>
      <c r="F3981" s="3" t="s">
        <v>195</v>
      </c>
      <c r="G3981" s="3" t="s">
        <v>3134</v>
      </c>
      <c r="H3981" s="2" t="s">
        <v>62</v>
      </c>
      <c r="I3981" s="2" t="s">
        <v>9202</v>
      </c>
      <c r="J3981" s="3" t="str">
        <f>HYPERLINK("https://www.boe.es/gazeta/dias/1814/01/18/pdfs/GRE-1814-9.pdf#page=5","Abrir facsímil")</f>
        <v>Abrir facsímil</v>
      </c>
      <c r="K3981" s="3" t="s">
        <v>64</v>
      </c>
    </row>
    <row r="3982" spans="1:11" ht="42" customHeight="1">
      <c r="A3982" s="2" t="s">
        <v>9201</v>
      </c>
      <c r="B3982" s="2" t="s">
        <v>9201</v>
      </c>
      <c r="C3982" s="2" t="s">
        <v>38</v>
      </c>
      <c r="D3982" s="2" t="s">
        <v>39</v>
      </c>
      <c r="E3982" s="5">
        <v>-31392</v>
      </c>
      <c r="F3982" s="3" t="s">
        <v>195</v>
      </c>
      <c r="G3982" s="3" t="s">
        <v>3308</v>
      </c>
      <c r="H3982" s="2" t="s">
        <v>62</v>
      </c>
      <c r="I3982" s="2" t="s">
        <v>9203</v>
      </c>
      <c r="J3982" s="3" t="str">
        <f>HYPERLINK("https://www.boe.es/gazeta/dias/1814/01/18/pdfs/GRE-1814-9.pdf#page=6","Abrir facsímil")</f>
        <v>Abrir facsímil</v>
      </c>
      <c r="K3982" s="3" t="s">
        <v>64</v>
      </c>
    </row>
    <row r="3983" spans="1:11" ht="42" customHeight="1">
      <c r="A3983" s="2" t="s">
        <v>9204</v>
      </c>
      <c r="B3983" s="2" t="s">
        <v>9205</v>
      </c>
      <c r="C3983" s="2" t="s">
        <v>26</v>
      </c>
      <c r="D3983" s="2" t="s">
        <v>27</v>
      </c>
      <c r="E3983" s="5">
        <v>-31173</v>
      </c>
      <c r="F3983" s="3" t="s">
        <v>46</v>
      </c>
      <c r="G3983" s="3" t="s">
        <v>20</v>
      </c>
      <c r="H3983" s="2" t="s">
        <v>62</v>
      </c>
      <c r="I3983" s="2" t="s">
        <v>9206</v>
      </c>
      <c r="J3983" s="3" t="str">
        <f>HYPERLINK("https://www.boe.es/gazeta/dias/1814/08/25/pdfs/GMD-1814-116.pdf#page=7","Abrir facsímil")</f>
        <v>Abrir facsímil</v>
      </c>
      <c r="K3983" s="3" t="s">
        <v>64</v>
      </c>
    </row>
    <row r="3984" spans="1:11" ht="42" customHeight="1">
      <c r="A3984" s="2" t="s">
        <v>9207</v>
      </c>
      <c r="B3984" s="2" t="s">
        <v>9208</v>
      </c>
      <c r="C3984" s="2" t="s">
        <v>45</v>
      </c>
      <c r="D3984" s="2" t="s">
        <v>18</v>
      </c>
      <c r="E3984" s="5">
        <v>-31131</v>
      </c>
      <c r="F3984" s="3" t="s">
        <v>132</v>
      </c>
      <c r="G3984" s="3" t="s">
        <v>20</v>
      </c>
      <c r="H3984" s="2" t="s">
        <v>62</v>
      </c>
      <c r="I3984" s="2" t="s">
        <v>9209</v>
      </c>
      <c r="J3984" s="3" t="str">
        <f>HYPERLINK("https://www.boe.es/gazeta/dias/1814/10/06/pdfs/GMD-1814-135.pdf#page=7","Abrir facsímil")</f>
        <v>Abrir facsímil</v>
      </c>
      <c r="K3984" s="3" t="s">
        <v>64</v>
      </c>
    </row>
    <row r="3985" spans="1:11" ht="42" customHeight="1">
      <c r="A3985" s="2" t="s">
        <v>9210</v>
      </c>
      <c r="B3985" s="2" t="s">
        <v>9210</v>
      </c>
      <c r="C3985" s="2" t="s">
        <v>38</v>
      </c>
      <c r="D3985" s="2" t="s">
        <v>39</v>
      </c>
      <c r="E3985" s="5">
        <v>-31367</v>
      </c>
      <c r="F3985" s="3" t="s">
        <v>857</v>
      </c>
      <c r="G3985" s="3" t="s">
        <v>82</v>
      </c>
      <c r="H3985" s="2" t="s">
        <v>62</v>
      </c>
      <c r="I3985" s="2" t="s">
        <v>9211</v>
      </c>
      <c r="J3985" s="3" t="str">
        <f>HYPERLINK("https://www.boe.es/gazeta/dias/1814/02/12/pdfs/GRE-1814-20.pdf#page=3","Abrir facsímil")</f>
        <v>Abrir facsímil</v>
      </c>
      <c r="K3985" s="3" t="s">
        <v>64</v>
      </c>
    </row>
    <row r="3986" spans="1:11" ht="42" customHeight="1">
      <c r="A3986" s="2" t="s">
        <v>9212</v>
      </c>
      <c r="B3986" s="2" t="s">
        <v>9213</v>
      </c>
      <c r="C3986" s="2" t="s">
        <v>17</v>
      </c>
      <c r="D3986" s="2" t="s">
        <v>18</v>
      </c>
      <c r="E3986" s="5">
        <v>-31119</v>
      </c>
      <c r="F3986" s="3" t="s">
        <v>136</v>
      </c>
      <c r="G3986" s="3" t="s">
        <v>137</v>
      </c>
      <c r="H3986" s="2" t="s">
        <v>62</v>
      </c>
      <c r="I3986" s="2" t="s">
        <v>9214</v>
      </c>
      <c r="J3986" s="3" t="str">
        <f>HYPERLINK("https://www.boe.es/gazeta/dias/1814/10/18/pdfs/GMD-1814-140.pdf#page=9","Abrir facsímil")</f>
        <v>Abrir facsímil</v>
      </c>
      <c r="K3986" s="3" t="s">
        <v>64</v>
      </c>
    </row>
    <row r="3987" spans="1:11" ht="42" customHeight="1">
      <c r="A3987" s="2" t="s">
        <v>9215</v>
      </c>
      <c r="B3987" s="2" t="s">
        <v>9216</v>
      </c>
      <c r="C3987" s="2" t="s">
        <v>38</v>
      </c>
      <c r="D3987" s="2" t="s">
        <v>39</v>
      </c>
      <c r="E3987" s="5">
        <v>-31231</v>
      </c>
      <c r="F3987" s="3" t="s">
        <v>861</v>
      </c>
      <c r="G3987" s="3" t="s">
        <v>322</v>
      </c>
      <c r="H3987" s="2" t="s">
        <v>21</v>
      </c>
      <c r="I3987" s="2" t="s">
        <v>9217</v>
      </c>
      <c r="J3987" s="3" t="str">
        <f>HYPERLINK("https://www.boe.es/gazeta/dias/1814/06/28/pdfs/GMD-1814-91.pdf#page=12","Abrir facsímil")</f>
        <v>Abrir facsímil</v>
      </c>
      <c r="K3987" s="3" t="s">
        <v>23</v>
      </c>
    </row>
    <row r="3988" spans="1:11" ht="42" customHeight="1">
      <c r="A3988" s="2" t="s">
        <v>9218</v>
      </c>
      <c r="B3988" s="2" t="s">
        <v>9219</v>
      </c>
      <c r="C3988" s="2" t="s">
        <v>38</v>
      </c>
      <c r="D3988" s="2" t="s">
        <v>39</v>
      </c>
      <c r="E3988" s="5">
        <v>-31084</v>
      </c>
      <c r="F3988" s="3" t="s">
        <v>282</v>
      </c>
      <c r="G3988" s="3" t="s">
        <v>52</v>
      </c>
      <c r="H3988" s="2" t="s">
        <v>21</v>
      </c>
      <c r="I3988" s="2" t="s">
        <v>9220</v>
      </c>
      <c r="J3988" s="3" t="str">
        <f>HYPERLINK("https://www.boe.es/gazeta/dias/1814/11/22/pdfs/GMD-1814-155.pdf#page=8","Abrir facsímil")</f>
        <v>Abrir facsímil</v>
      </c>
      <c r="K3988" s="3" t="s">
        <v>23</v>
      </c>
    </row>
    <row r="3989" spans="1:11" ht="42" customHeight="1">
      <c r="A3989" s="2" t="s">
        <v>9221</v>
      </c>
      <c r="B3989" s="2" t="s">
        <v>9221</v>
      </c>
      <c r="C3989" s="2" t="s">
        <v>38</v>
      </c>
      <c r="D3989" s="2" t="s">
        <v>314</v>
      </c>
      <c r="E3989" s="5">
        <v>-31296</v>
      </c>
      <c r="F3989" s="3" t="s">
        <v>315</v>
      </c>
      <c r="G3989" s="3" t="s">
        <v>41</v>
      </c>
      <c r="H3989" s="2" t="s">
        <v>62</v>
      </c>
      <c r="I3989" s="2" t="s">
        <v>9222</v>
      </c>
      <c r="J3989" s="3" t="str">
        <f>HYPERLINK("https://www.boe.es/gazeta/dias/1814/04/24/pdfs/GRE-1814-60E.pdf#page=4","Abrir facsímil")</f>
        <v>Abrir facsímil</v>
      </c>
      <c r="K3989" s="3" t="s">
        <v>64</v>
      </c>
    </row>
    <row r="3990" spans="1:11" ht="42" customHeight="1">
      <c r="A3990" s="2" t="s">
        <v>9223</v>
      </c>
      <c r="B3990" s="2" t="s">
        <v>9223</v>
      </c>
      <c r="C3990" s="2" t="s">
        <v>144</v>
      </c>
      <c r="D3990" s="2" t="s">
        <v>18</v>
      </c>
      <c r="E3990" s="5">
        <v>-31234</v>
      </c>
      <c r="F3990" s="3" t="s">
        <v>462</v>
      </c>
      <c r="G3990" s="3" t="s">
        <v>2864</v>
      </c>
      <c r="H3990" s="2" t="s">
        <v>62</v>
      </c>
      <c r="I3990" s="2" t="s">
        <v>9224</v>
      </c>
      <c r="J3990" s="3" t="str">
        <f>HYPERLINK("https://www.boe.es/gazeta/dias/1814/06/25/pdfs/GMD-1814-90.pdf#page=12","Abrir facsímil")</f>
        <v>Abrir facsímil</v>
      </c>
      <c r="K3990" s="3" t="s">
        <v>64</v>
      </c>
    </row>
    <row r="3991" spans="1:11" ht="42" customHeight="1">
      <c r="A3991" s="2" t="s">
        <v>9225</v>
      </c>
      <c r="B3991" s="2" t="s">
        <v>9226</v>
      </c>
      <c r="C3991" s="2" t="s">
        <v>17</v>
      </c>
      <c r="D3991" s="2" t="s">
        <v>18</v>
      </c>
      <c r="E3991" s="5">
        <v>-31110</v>
      </c>
      <c r="F3991" s="3" t="s">
        <v>149</v>
      </c>
      <c r="G3991" s="3" t="s">
        <v>82</v>
      </c>
      <c r="H3991" s="2" t="s">
        <v>62</v>
      </c>
      <c r="I3991" s="2" t="s">
        <v>9227</v>
      </c>
      <c r="J3991" s="3" t="str">
        <f>HYPERLINK("https://www.boe.es/gazeta/dias/1814/10/27/pdfs/GMD-1814-144.pdf#page=3","Abrir facsímil")</f>
        <v>Abrir facsímil</v>
      </c>
      <c r="K3991" s="3" t="s">
        <v>64</v>
      </c>
    </row>
    <row r="3992" spans="1:11" ht="42" customHeight="1">
      <c r="A3992" s="2" t="s">
        <v>9228</v>
      </c>
      <c r="B3992" s="2" t="s">
        <v>9229</v>
      </c>
      <c r="C3992" s="2" t="s">
        <v>38</v>
      </c>
      <c r="D3992" s="2" t="s">
        <v>39</v>
      </c>
      <c r="E3992" s="5">
        <v>-31119</v>
      </c>
      <c r="F3992" s="3" t="s">
        <v>136</v>
      </c>
      <c r="G3992" s="3" t="s">
        <v>137</v>
      </c>
      <c r="H3992" s="2" t="s">
        <v>62</v>
      </c>
      <c r="I3992" s="2" t="s">
        <v>9230</v>
      </c>
      <c r="J3992" s="3" t="str">
        <f>HYPERLINK("https://www.boe.es/gazeta/dias/1814/10/18/pdfs/GMD-1814-140.pdf#page=9","Abrir facsímil")</f>
        <v>Abrir facsímil</v>
      </c>
      <c r="K3992" s="3" t="s">
        <v>64</v>
      </c>
    </row>
    <row r="3993" spans="1:11" ht="42" customHeight="1">
      <c r="A3993" s="2" t="s">
        <v>9231</v>
      </c>
      <c r="B3993" s="2" t="s">
        <v>9231</v>
      </c>
      <c r="C3993" s="2" t="s">
        <v>38</v>
      </c>
      <c r="D3993" s="2" t="s">
        <v>39</v>
      </c>
      <c r="E3993" s="5">
        <v>-31334</v>
      </c>
      <c r="F3993" s="3" t="s">
        <v>482</v>
      </c>
      <c r="G3993" s="3" t="s">
        <v>99</v>
      </c>
      <c r="H3993" s="2" t="s">
        <v>62</v>
      </c>
      <c r="I3993" s="2" t="s">
        <v>9232</v>
      </c>
      <c r="J3993" s="3" t="str">
        <f>HYPERLINK("https://www.boe.es/gazeta/dias/1814/03/17/pdfs/GRE-1814-37.pdf#page=5","Abrir facsímil")</f>
        <v>Abrir facsímil</v>
      </c>
      <c r="K3993" s="3" t="s">
        <v>64</v>
      </c>
    </row>
    <row r="3994" spans="1:11" ht="42" customHeight="1">
      <c r="A3994" s="2" t="s">
        <v>9233</v>
      </c>
      <c r="B3994" s="2" t="s">
        <v>9233</v>
      </c>
      <c r="C3994" s="2" t="s">
        <v>38</v>
      </c>
      <c r="D3994" s="2" t="s">
        <v>39</v>
      </c>
      <c r="E3994" s="5">
        <v>-31315</v>
      </c>
      <c r="F3994" s="3" t="s">
        <v>645</v>
      </c>
      <c r="G3994" s="3" t="s">
        <v>87</v>
      </c>
      <c r="H3994" s="2" t="s">
        <v>62</v>
      </c>
      <c r="I3994" s="2" t="s">
        <v>9234</v>
      </c>
      <c r="J3994" s="3" t="str">
        <f>HYPERLINK("https://www.boe.es/gazeta/dias/1814/04/05/pdfs/GRE-1814-49.pdf#page=2","Abrir facsímil")</f>
        <v>Abrir facsímil</v>
      </c>
      <c r="K3994" s="3" t="s">
        <v>64</v>
      </c>
    </row>
    <row r="3995" spans="1:11" ht="42" customHeight="1">
      <c r="A3995" s="2" t="s">
        <v>9235</v>
      </c>
      <c r="B3995" s="2" t="s">
        <v>9235</v>
      </c>
      <c r="C3995" s="2" t="s">
        <v>17</v>
      </c>
      <c r="D3995" s="2" t="s">
        <v>18</v>
      </c>
      <c r="E3995" s="5">
        <v>-31231</v>
      </c>
      <c r="F3995" s="3" t="s">
        <v>861</v>
      </c>
      <c r="G3995" s="3" t="s">
        <v>1886</v>
      </c>
      <c r="H3995" s="2" t="s">
        <v>62</v>
      </c>
      <c r="I3995" s="2" t="s">
        <v>9236</v>
      </c>
      <c r="J3995" s="3" t="str">
        <f>HYPERLINK("https://www.boe.es/gazeta/dias/1814/06/28/pdfs/GMD-1814-91.pdf#page=4","Abrir facsímil")</f>
        <v>Abrir facsímil</v>
      </c>
      <c r="K3995" s="3" t="s">
        <v>64</v>
      </c>
    </row>
    <row r="3996" spans="1:11" ht="42" customHeight="1">
      <c r="A3996" s="2" t="s">
        <v>9235</v>
      </c>
      <c r="B3996" s="2" t="s">
        <v>9235</v>
      </c>
      <c r="C3996" s="2" t="s">
        <v>45</v>
      </c>
      <c r="D3996" s="2" t="s">
        <v>18</v>
      </c>
      <c r="E3996" s="5">
        <v>-31108</v>
      </c>
      <c r="F3996" s="3" t="s">
        <v>528</v>
      </c>
      <c r="G3996" s="3" t="s">
        <v>20</v>
      </c>
      <c r="H3996" s="2" t="s">
        <v>62</v>
      </c>
      <c r="I3996" s="2" t="s">
        <v>9237</v>
      </c>
      <c r="J3996" s="3" t="str">
        <f>HYPERLINK("https://www.boe.es/gazeta/dias/1814/10/29/pdfs/GMD-1814-145.pdf#page=7","Abrir facsímil")</f>
        <v>Abrir facsímil</v>
      </c>
      <c r="K3996" s="3" t="s">
        <v>64</v>
      </c>
    </row>
    <row r="3997" spans="1:11" ht="42" customHeight="1">
      <c r="A3997" s="2" t="s">
        <v>9238</v>
      </c>
      <c r="B3997" s="2" t="s">
        <v>9239</v>
      </c>
      <c r="C3997" s="2" t="s">
        <v>38</v>
      </c>
      <c r="D3997" s="2" t="s">
        <v>39</v>
      </c>
      <c r="E3997" s="5">
        <v>-31262</v>
      </c>
      <c r="F3997" s="3" t="s">
        <v>254</v>
      </c>
      <c r="G3997" s="3" t="s">
        <v>666</v>
      </c>
      <c r="H3997" s="2" t="s">
        <v>62</v>
      </c>
      <c r="I3997" s="2" t="s">
        <v>9240</v>
      </c>
      <c r="J3997" s="3" t="str">
        <f>HYPERLINK("https://www.boe.es/gazeta/dias/1814/05/28/pdfs/GMD-1814-78.pdf#page=8","Abrir facsímil")</f>
        <v>Abrir facsímil</v>
      </c>
      <c r="K3997" s="3" t="s">
        <v>64</v>
      </c>
    </row>
    <row r="3998" spans="1:11" ht="42" customHeight="1">
      <c r="A3998" s="2" t="s">
        <v>9241</v>
      </c>
      <c r="B3998" s="2" t="s">
        <v>9241</v>
      </c>
      <c r="C3998" s="2" t="s">
        <v>26</v>
      </c>
      <c r="D3998" s="2" t="s">
        <v>27</v>
      </c>
      <c r="E3998" s="5">
        <v>-31138</v>
      </c>
      <c r="F3998" s="3" t="s">
        <v>1363</v>
      </c>
      <c r="G3998" s="3" t="s">
        <v>107</v>
      </c>
      <c r="H3998" s="2" t="s">
        <v>62</v>
      </c>
      <c r="I3998" s="2" t="s">
        <v>9242</v>
      </c>
      <c r="J3998" s="3" t="str">
        <f>HYPERLINK("https://www.boe.es/gazeta/dias/1814/09/29/pdfs/GMD-1814-132.pdf#page=1","Abrir facsímil")</f>
        <v>Abrir facsímil</v>
      </c>
      <c r="K3998" s="3" t="s">
        <v>64</v>
      </c>
    </row>
    <row r="3999" spans="1:11" ht="42" customHeight="1">
      <c r="A3999" s="2" t="s">
        <v>9241</v>
      </c>
      <c r="B3999" s="2" t="s">
        <v>9241</v>
      </c>
      <c r="C3999" s="2" t="s">
        <v>26</v>
      </c>
      <c r="D3999" s="2" t="s">
        <v>27</v>
      </c>
      <c r="E3999" s="5">
        <v>-31136</v>
      </c>
      <c r="F3999" s="3" t="s">
        <v>956</v>
      </c>
      <c r="G3999" s="3" t="s">
        <v>107</v>
      </c>
      <c r="H3999" s="2" t="s">
        <v>62</v>
      </c>
      <c r="I3999" s="2" t="s">
        <v>9243</v>
      </c>
      <c r="J3999" s="3" t="str">
        <f>HYPERLINK("https://www.boe.es/gazeta/dias/1814/10/01/pdfs/GMD-1814-133.pdf#page=1","Abrir facsímil")</f>
        <v>Abrir facsímil</v>
      </c>
      <c r="K3999" s="3" t="s">
        <v>64</v>
      </c>
    </row>
    <row r="4000" spans="1:11" ht="42" customHeight="1">
      <c r="A4000" s="2" t="s">
        <v>9241</v>
      </c>
      <c r="B4000" s="2" t="s">
        <v>9241</v>
      </c>
      <c r="C4000" s="2" t="s">
        <v>26</v>
      </c>
      <c r="D4000" s="2" t="s">
        <v>27</v>
      </c>
      <c r="E4000" s="5">
        <v>-31122</v>
      </c>
      <c r="F4000" s="3" t="s">
        <v>28</v>
      </c>
      <c r="G4000" s="3" t="s">
        <v>82</v>
      </c>
      <c r="H4000" s="2" t="s">
        <v>62</v>
      </c>
      <c r="I4000" s="2" t="s">
        <v>9244</v>
      </c>
      <c r="J4000" s="3" t="str">
        <f>HYPERLINK("https://www.boe.es/gazeta/dias/1814/10/15/pdfs/GMD-1814-139.pdf#page=3","Abrir facsímil")</f>
        <v>Abrir facsímil</v>
      </c>
      <c r="K4000" s="3" t="s">
        <v>64</v>
      </c>
    </row>
    <row r="4001" spans="1:11" ht="42" customHeight="1">
      <c r="A4001" s="2" t="s">
        <v>9245</v>
      </c>
      <c r="B4001" s="2" t="s">
        <v>9245</v>
      </c>
      <c r="C4001" s="2" t="s">
        <v>38</v>
      </c>
      <c r="D4001" s="2" t="s">
        <v>39</v>
      </c>
      <c r="E4001" s="5">
        <v>-31283</v>
      </c>
      <c r="F4001" s="3" t="s">
        <v>701</v>
      </c>
      <c r="G4001" s="3" t="s">
        <v>82</v>
      </c>
      <c r="H4001" s="2" t="s">
        <v>62</v>
      </c>
      <c r="I4001" s="2" t="s">
        <v>9246</v>
      </c>
      <c r="J4001" s="3" t="str">
        <f>HYPERLINK("https://www.boe.es/gazeta/dias/1814/05/07/pdfs/GRE-1814-67.pdf#page=3","Abrir facsímil")</f>
        <v>Abrir facsímil</v>
      </c>
      <c r="K4001" s="3" t="s">
        <v>64</v>
      </c>
    </row>
    <row r="4002" spans="1:11" ht="42" customHeight="1">
      <c r="A4002" s="2" t="s">
        <v>9247</v>
      </c>
      <c r="B4002" s="2" t="s">
        <v>9248</v>
      </c>
      <c r="C4002" s="2" t="s">
        <v>38</v>
      </c>
      <c r="D4002" s="2" t="s">
        <v>39</v>
      </c>
      <c r="E4002" s="5">
        <v>-31143</v>
      </c>
      <c r="F4002" s="3" t="s">
        <v>787</v>
      </c>
      <c r="G4002" s="3" t="s">
        <v>20</v>
      </c>
      <c r="H4002" s="2" t="s">
        <v>21</v>
      </c>
      <c r="I4002" s="2" t="s">
        <v>9249</v>
      </c>
      <c r="J4002" s="3" t="str">
        <f>HYPERLINK("https://www.boe.es/gazeta/dias/1814/09/24/pdfs/GMD-1814-130.pdf#page=7","Abrir facsímil")</f>
        <v>Abrir facsímil</v>
      </c>
      <c r="K4002" s="3" t="s">
        <v>23</v>
      </c>
    </row>
    <row r="4003" spans="1:11" ht="42" customHeight="1">
      <c r="A4003" s="2" t="s">
        <v>9250</v>
      </c>
      <c r="B4003" s="2" t="s">
        <v>9251</v>
      </c>
      <c r="C4003" s="2" t="s">
        <v>17</v>
      </c>
      <c r="D4003" s="2" t="s">
        <v>18</v>
      </c>
      <c r="E4003" s="5">
        <v>-31061</v>
      </c>
      <c r="F4003" s="3" t="s">
        <v>329</v>
      </c>
      <c r="G4003" s="3" t="s">
        <v>20</v>
      </c>
      <c r="H4003" s="2" t="s">
        <v>62</v>
      </c>
      <c r="I4003" s="2" t="s">
        <v>9252</v>
      </c>
      <c r="J4003" s="3" t="str">
        <f>HYPERLINK("https://www.boe.es/gazeta/dias/1814/12/15/pdfs/GMD-1814-165.pdf#page=7","Abrir facsímil")</f>
        <v>Abrir facsímil</v>
      </c>
      <c r="K4003" s="3" t="s">
        <v>64</v>
      </c>
    </row>
    <row r="4004" spans="1:11" ht="42" customHeight="1">
      <c r="A4004" s="2" t="s">
        <v>9253</v>
      </c>
      <c r="B4004" s="2" t="s">
        <v>9254</v>
      </c>
      <c r="C4004" s="2" t="s">
        <v>17</v>
      </c>
      <c r="D4004" s="2" t="s">
        <v>18</v>
      </c>
      <c r="E4004" s="5">
        <v>-31397</v>
      </c>
      <c r="F4004" s="3" t="s">
        <v>929</v>
      </c>
      <c r="G4004" s="3" t="s">
        <v>57</v>
      </c>
      <c r="H4004" s="2" t="s">
        <v>62</v>
      </c>
      <c r="I4004" s="2" t="s">
        <v>9255</v>
      </c>
      <c r="J4004" s="3" t="str">
        <f>HYPERLINK("https://www.boe.es/gazeta/dias/1814/01/13/pdfs/GRE-1814-7.pdf#page=6","Abrir facsímil")</f>
        <v>Abrir facsímil</v>
      </c>
      <c r="K4004" s="3" t="s">
        <v>64</v>
      </c>
    </row>
    <row r="4005" spans="1:11" ht="42" customHeight="1">
      <c r="A4005" s="2" t="s">
        <v>9256</v>
      </c>
      <c r="B4005" s="2" t="s">
        <v>9256</v>
      </c>
      <c r="C4005" s="2" t="s">
        <v>38</v>
      </c>
      <c r="D4005" s="2" t="s">
        <v>314</v>
      </c>
      <c r="E4005" s="5">
        <v>-31296</v>
      </c>
      <c r="F4005" s="3" t="s">
        <v>315</v>
      </c>
      <c r="G4005" s="3" t="s">
        <v>82</v>
      </c>
      <c r="H4005" s="2" t="s">
        <v>62</v>
      </c>
      <c r="I4005" s="2" t="s">
        <v>9257</v>
      </c>
      <c r="J4005" s="3" t="str">
        <f>HYPERLINK("https://www.boe.es/gazeta/dias/1814/04/24/pdfs/GRE-1814-60E.pdf#page=3","Abrir facsímil")</f>
        <v>Abrir facsímil</v>
      </c>
      <c r="K4005" s="3" t="s">
        <v>64</v>
      </c>
    </row>
    <row r="4006" spans="1:11" ht="42" customHeight="1">
      <c r="A4006" s="2" t="s">
        <v>9258</v>
      </c>
      <c r="B4006" s="2" t="s">
        <v>9259</v>
      </c>
      <c r="C4006" s="2" t="s">
        <v>144</v>
      </c>
      <c r="D4006" s="2" t="s">
        <v>18</v>
      </c>
      <c r="E4006" s="5">
        <v>-31264</v>
      </c>
      <c r="F4006" s="3" t="s">
        <v>396</v>
      </c>
      <c r="G4006" s="3" t="s">
        <v>57</v>
      </c>
      <c r="H4006" s="2" t="s">
        <v>62</v>
      </c>
      <c r="I4006" s="2" t="s">
        <v>9260</v>
      </c>
      <c r="J4006" s="3" t="str">
        <f>HYPERLINK("https://www.boe.es/gazeta/dias/1814/05/26/pdfs/GMD-1814-77.pdf#page=6","Abrir facsímil")</f>
        <v>Abrir facsímil</v>
      </c>
      <c r="K4006" s="3" t="s">
        <v>64</v>
      </c>
    </row>
    <row r="4007" spans="1:11" ht="42" customHeight="1">
      <c r="A4007" s="2" t="s">
        <v>9261</v>
      </c>
      <c r="B4007" s="2" t="s">
        <v>9262</v>
      </c>
      <c r="C4007" s="2" t="s">
        <v>38</v>
      </c>
      <c r="D4007" s="2" t="s">
        <v>39</v>
      </c>
      <c r="E4007" s="5">
        <v>-31110</v>
      </c>
      <c r="F4007" s="3" t="s">
        <v>149</v>
      </c>
      <c r="G4007" s="3" t="s">
        <v>99</v>
      </c>
      <c r="H4007" s="2" t="s">
        <v>62</v>
      </c>
      <c r="I4007" s="2" t="s">
        <v>9263</v>
      </c>
      <c r="J4007" s="3" t="str">
        <f>HYPERLINK("https://www.boe.es/gazeta/dias/1814/10/27/pdfs/GMD-1814-144.pdf#page=5","Abrir facsímil")</f>
        <v>Abrir facsímil</v>
      </c>
      <c r="K4007" s="3" t="s">
        <v>64</v>
      </c>
    </row>
    <row r="4008" spans="1:11" ht="42" customHeight="1">
      <c r="A4008" s="2" t="s">
        <v>9264</v>
      </c>
      <c r="B4008" s="2" t="s">
        <v>9265</v>
      </c>
      <c r="C4008" s="2" t="s">
        <v>17</v>
      </c>
      <c r="D4008" s="2" t="s">
        <v>18</v>
      </c>
      <c r="E4008" s="5">
        <v>-31063</v>
      </c>
      <c r="F4008" s="3" t="s">
        <v>649</v>
      </c>
      <c r="G4008" s="3" t="s">
        <v>57</v>
      </c>
      <c r="H4008" s="2" t="s">
        <v>62</v>
      </c>
      <c r="I4008" s="2" t="s">
        <v>9266</v>
      </c>
      <c r="J4008" s="3" t="str">
        <f>HYPERLINK("https://www.boe.es/gazeta/dias/1814/12/13/pdfs/GMD-1814-164.pdf#page=6","Abrir facsímil")</f>
        <v>Abrir facsímil</v>
      </c>
      <c r="K4008" s="3" t="s">
        <v>64</v>
      </c>
    </row>
    <row r="4009" spans="1:11" ht="42" customHeight="1">
      <c r="A4009" s="2" t="s">
        <v>9267</v>
      </c>
      <c r="B4009" s="2" t="s">
        <v>9268</v>
      </c>
      <c r="C4009" s="2" t="s">
        <v>17</v>
      </c>
      <c r="D4009" s="2" t="s">
        <v>18</v>
      </c>
      <c r="E4009" s="5">
        <v>-31304</v>
      </c>
      <c r="F4009" s="3" t="s">
        <v>1964</v>
      </c>
      <c r="G4009" s="3" t="s">
        <v>3403</v>
      </c>
      <c r="H4009" s="2" t="s">
        <v>62</v>
      </c>
      <c r="I4009" s="2" t="s">
        <v>9269</v>
      </c>
      <c r="J4009" s="3" t="str">
        <f>HYPERLINK("https://www.boe.es/gazeta/dias/1814/04/16/pdfs/GRE-1814-55.pdf#page=8","Abrir facsímil")</f>
        <v>Abrir facsímil</v>
      </c>
      <c r="K4009" s="3" t="s">
        <v>64</v>
      </c>
    </row>
    <row r="4010" spans="1:11" ht="42" customHeight="1">
      <c r="A4010" s="2" t="s">
        <v>9270</v>
      </c>
      <c r="B4010" s="2" t="s">
        <v>9271</v>
      </c>
      <c r="C4010" s="2" t="s">
        <v>26</v>
      </c>
      <c r="D4010" s="2" t="s">
        <v>27</v>
      </c>
      <c r="E4010" s="5">
        <v>-31105</v>
      </c>
      <c r="F4010" s="3" t="s">
        <v>61</v>
      </c>
      <c r="G4010" s="3" t="s">
        <v>52</v>
      </c>
      <c r="H4010" s="2" t="s">
        <v>62</v>
      </c>
      <c r="I4010" s="2" t="s">
        <v>9272</v>
      </c>
      <c r="J4010" s="3" t="str">
        <f>HYPERLINK("https://www.boe.es/gazeta/dias/1814/11/01/pdfs/GMD-1814-146.pdf#page=8","Abrir facsímil")</f>
        <v>Abrir facsímil</v>
      </c>
      <c r="K4010" s="3" t="s">
        <v>64</v>
      </c>
    </row>
    <row r="4011" spans="1:11" ht="42" customHeight="1">
      <c r="A4011" s="2" t="s">
        <v>9273</v>
      </c>
      <c r="B4011" s="2" t="s">
        <v>9274</v>
      </c>
      <c r="C4011" s="2" t="s">
        <v>38</v>
      </c>
      <c r="D4011" s="2" t="s">
        <v>39</v>
      </c>
      <c r="E4011" s="5">
        <v>-31315</v>
      </c>
      <c r="F4011" s="3" t="s">
        <v>645</v>
      </c>
      <c r="G4011" s="3" t="s">
        <v>57</v>
      </c>
      <c r="H4011" s="2" t="s">
        <v>62</v>
      </c>
      <c r="I4011" s="2" t="s">
        <v>9275</v>
      </c>
      <c r="J4011" s="3" t="str">
        <f>HYPERLINK("https://www.boe.es/gazeta/dias/1814/04/05/pdfs/GRE-1814-49.pdf#page=6","Abrir facsímil")</f>
        <v>Abrir facsímil</v>
      </c>
      <c r="K4011" s="3" t="s">
        <v>64</v>
      </c>
    </row>
    <row r="4012" spans="1:11" ht="42" customHeight="1">
      <c r="A4012" s="2" t="s">
        <v>9276</v>
      </c>
      <c r="B4012" s="2" t="s">
        <v>9277</v>
      </c>
      <c r="C4012" s="2" t="s">
        <v>105</v>
      </c>
      <c r="D4012" s="2" t="s">
        <v>18</v>
      </c>
      <c r="E4012" s="5">
        <v>-31073</v>
      </c>
      <c r="F4012" s="3" t="s">
        <v>3052</v>
      </c>
      <c r="G4012" s="3" t="s">
        <v>52</v>
      </c>
      <c r="H4012" s="2" t="s">
        <v>62</v>
      </c>
      <c r="I4012" s="2" t="s">
        <v>9278</v>
      </c>
      <c r="J4012" s="3" t="str">
        <f>HYPERLINK("https://www.boe.es/gazeta/dias/1814/12/03/pdfs/GMD-1814-160.pdf#page=8","Abrir facsímil")</f>
        <v>Abrir facsímil</v>
      </c>
      <c r="K4012" s="3" t="s">
        <v>64</v>
      </c>
    </row>
    <row r="4013" spans="1:11" ht="42" customHeight="1">
      <c r="A4013" s="2" t="s">
        <v>9279</v>
      </c>
      <c r="B4013" s="2" t="s">
        <v>9280</v>
      </c>
      <c r="C4013" s="2" t="s">
        <v>38</v>
      </c>
      <c r="D4013" s="2" t="s">
        <v>39</v>
      </c>
      <c r="E4013" s="5">
        <v>-31171</v>
      </c>
      <c r="F4013" s="3" t="s">
        <v>157</v>
      </c>
      <c r="G4013" s="3" t="s">
        <v>57</v>
      </c>
      <c r="H4013" s="2" t="s">
        <v>62</v>
      </c>
      <c r="I4013" s="2" t="s">
        <v>9281</v>
      </c>
      <c r="J4013" s="3" t="str">
        <f>HYPERLINK("https://www.boe.es/gazeta/dias/1814/08/27/pdfs/GMD-1814-117.pdf#page=6","Abrir facsímil")</f>
        <v>Abrir facsímil</v>
      </c>
      <c r="K4013" s="3" t="s">
        <v>64</v>
      </c>
    </row>
    <row r="4014" spans="1:11" ht="42" customHeight="1">
      <c r="A4014" s="2" t="s">
        <v>9282</v>
      </c>
      <c r="B4014" s="2" t="s">
        <v>9283</v>
      </c>
      <c r="C4014" s="2" t="s">
        <v>38</v>
      </c>
      <c r="D4014" s="2" t="s">
        <v>39</v>
      </c>
      <c r="E4014" s="5">
        <v>-31196</v>
      </c>
      <c r="F4014" s="3" t="s">
        <v>828</v>
      </c>
      <c r="G4014" s="3" t="s">
        <v>52</v>
      </c>
      <c r="H4014" s="2" t="s">
        <v>62</v>
      </c>
      <c r="I4014" s="2" t="s">
        <v>9284</v>
      </c>
      <c r="J4014" s="3" t="str">
        <f>HYPERLINK("https://www.boe.es/gazeta/dias/1814/08/02/pdfs/GMD-1814-106.pdf#page=8","Abrir facsímil")</f>
        <v>Abrir facsímil</v>
      </c>
      <c r="K4014" s="3" t="s">
        <v>64</v>
      </c>
    </row>
    <row r="4015" spans="1:11" ht="42" customHeight="1">
      <c r="A4015" s="2" t="s">
        <v>9285</v>
      </c>
      <c r="B4015" s="2" t="s">
        <v>9285</v>
      </c>
      <c r="C4015" s="2" t="s">
        <v>38</v>
      </c>
      <c r="D4015" s="2" t="s">
        <v>39</v>
      </c>
      <c r="E4015" s="5">
        <v>-31320</v>
      </c>
      <c r="F4015" s="3" t="s">
        <v>40</v>
      </c>
      <c r="G4015" s="3" t="s">
        <v>82</v>
      </c>
      <c r="H4015" s="2" t="s">
        <v>62</v>
      </c>
      <c r="I4015" s="2" t="s">
        <v>9286</v>
      </c>
      <c r="J4015" s="3" t="str">
        <f>HYPERLINK("https://www.boe.es/gazeta/dias/1814/03/31/pdfs/GRE-1814-46.pdf#page=3","Abrir facsímil")</f>
        <v>Abrir facsímil</v>
      </c>
      <c r="K4015" s="3" t="s">
        <v>64</v>
      </c>
    </row>
    <row r="4016" spans="1:11" ht="42" customHeight="1">
      <c r="A4016" s="2" t="s">
        <v>9287</v>
      </c>
      <c r="B4016" s="2" t="s">
        <v>9287</v>
      </c>
      <c r="C4016" s="2" t="s">
        <v>38</v>
      </c>
      <c r="D4016" s="2" t="s">
        <v>39</v>
      </c>
      <c r="E4016" s="5">
        <v>-31334</v>
      </c>
      <c r="F4016" s="3" t="s">
        <v>482</v>
      </c>
      <c r="G4016" s="3" t="s">
        <v>107</v>
      </c>
      <c r="H4016" s="2" t="s">
        <v>62</v>
      </c>
      <c r="I4016" s="2" t="s">
        <v>9288</v>
      </c>
      <c r="J4016" s="3" t="str">
        <f>HYPERLINK("https://www.boe.es/gazeta/dias/1814/03/17/pdfs/GRE-1814-37.pdf#page=1","Abrir facsímil")</f>
        <v>Abrir facsímil</v>
      </c>
      <c r="K4016" s="3" t="s">
        <v>64</v>
      </c>
    </row>
    <row r="4017" spans="1:11" ht="42" customHeight="1">
      <c r="A4017" s="2" t="s">
        <v>9287</v>
      </c>
      <c r="B4017" s="2" t="s">
        <v>9287</v>
      </c>
      <c r="C4017" s="2" t="s">
        <v>38</v>
      </c>
      <c r="D4017" s="2" t="s">
        <v>39</v>
      </c>
      <c r="E4017" s="5">
        <v>-31334</v>
      </c>
      <c r="F4017" s="3" t="s">
        <v>482</v>
      </c>
      <c r="G4017" s="3" t="s">
        <v>87</v>
      </c>
      <c r="H4017" s="2" t="s">
        <v>62</v>
      </c>
      <c r="I4017" s="2" t="s">
        <v>9289</v>
      </c>
      <c r="J4017" s="3" t="str">
        <f>HYPERLINK("https://www.boe.es/gazeta/dias/1814/03/17/pdfs/GRE-1814-37.pdf#page=2","Abrir facsímil")</f>
        <v>Abrir facsímil</v>
      </c>
      <c r="K4017" s="3" t="s">
        <v>64</v>
      </c>
    </row>
    <row r="4018" spans="1:11" ht="42" customHeight="1">
      <c r="A4018" s="2" t="s">
        <v>9290</v>
      </c>
      <c r="B4018" s="2" t="s">
        <v>9290</v>
      </c>
      <c r="C4018" s="2" t="s">
        <v>38</v>
      </c>
      <c r="D4018" s="2" t="s">
        <v>39</v>
      </c>
      <c r="E4018" s="5">
        <v>-31084</v>
      </c>
      <c r="F4018" s="3" t="s">
        <v>282</v>
      </c>
      <c r="G4018" s="3" t="s">
        <v>82</v>
      </c>
      <c r="H4018" s="2" t="s">
        <v>62</v>
      </c>
      <c r="I4018" s="2" t="s">
        <v>9291</v>
      </c>
      <c r="J4018" s="3" t="str">
        <f>HYPERLINK("https://www.boe.es/gazeta/dias/1814/11/22/pdfs/GMD-1814-155.pdf#page=3","Abrir facsímil")</f>
        <v>Abrir facsímil</v>
      </c>
      <c r="K4018" s="3" t="s">
        <v>64</v>
      </c>
    </row>
    <row r="4019" spans="1:11" ht="42" customHeight="1">
      <c r="A4019" s="2" t="s">
        <v>9292</v>
      </c>
      <c r="B4019" s="2" t="s">
        <v>9293</v>
      </c>
      <c r="C4019" s="2" t="s">
        <v>26</v>
      </c>
      <c r="D4019" s="2" t="s">
        <v>27</v>
      </c>
      <c r="E4019" s="5">
        <v>-31266</v>
      </c>
      <c r="F4019" s="3" t="s">
        <v>191</v>
      </c>
      <c r="G4019" s="3" t="s">
        <v>99</v>
      </c>
      <c r="H4019" s="2" t="s">
        <v>62</v>
      </c>
      <c r="I4019" s="2" t="s">
        <v>9294</v>
      </c>
      <c r="J4019" s="3" t="str">
        <f>HYPERLINK("https://www.boe.es/gazeta/dias/1814/05/24/pdfs/GMD-1814-76.pdf#page=5","Abrir facsímil")</f>
        <v>Abrir facsímil</v>
      </c>
      <c r="K4019" s="3" t="s">
        <v>64</v>
      </c>
    </row>
    <row r="4020" spans="1:11" ht="42" customHeight="1">
      <c r="A4020" s="2" t="s">
        <v>9295</v>
      </c>
      <c r="B4020" s="2" t="s">
        <v>9296</v>
      </c>
      <c r="C4020" s="2" t="s">
        <v>38</v>
      </c>
      <c r="D4020" s="2" t="s">
        <v>39</v>
      </c>
      <c r="E4020" s="5">
        <v>-31143</v>
      </c>
      <c r="F4020" s="3" t="s">
        <v>787</v>
      </c>
      <c r="G4020" s="3" t="s">
        <v>52</v>
      </c>
      <c r="H4020" s="2" t="s">
        <v>62</v>
      </c>
      <c r="I4020" s="2" t="s">
        <v>9297</v>
      </c>
      <c r="J4020" s="3" t="str">
        <f>HYPERLINK("https://www.boe.es/gazeta/dias/1814/09/24/pdfs/GMD-1814-130.pdf#page=8","Abrir facsímil")</f>
        <v>Abrir facsímil</v>
      </c>
      <c r="K4020" s="3" t="s">
        <v>64</v>
      </c>
    </row>
    <row r="4021" spans="1:11" ht="42" customHeight="1">
      <c r="A4021" s="2" t="s">
        <v>9298</v>
      </c>
      <c r="B4021" s="2" t="s">
        <v>9299</v>
      </c>
      <c r="C4021" s="2" t="s">
        <v>26</v>
      </c>
      <c r="D4021" s="2" t="s">
        <v>27</v>
      </c>
      <c r="E4021" s="5">
        <v>-31129</v>
      </c>
      <c r="F4021" s="3" t="s">
        <v>418</v>
      </c>
      <c r="G4021" s="3" t="s">
        <v>82</v>
      </c>
      <c r="H4021" s="2" t="s">
        <v>62</v>
      </c>
      <c r="I4021" s="2" t="s">
        <v>9300</v>
      </c>
      <c r="J4021" s="3" t="str">
        <f>HYPERLINK("https://www.boe.es/gazeta/dias/1814/10/08/pdfs/GMD-1814-136.pdf#page=3","Abrir facsímil")</f>
        <v>Abrir facsímil</v>
      </c>
      <c r="K4021" s="3" t="s">
        <v>64</v>
      </c>
    </row>
    <row r="4022" spans="1:11" ht="42" customHeight="1">
      <c r="A4022" s="2" t="s">
        <v>9301</v>
      </c>
      <c r="B4022" s="2" t="s">
        <v>9302</v>
      </c>
      <c r="C4022" s="2" t="s">
        <v>38</v>
      </c>
      <c r="D4022" s="2" t="s">
        <v>39</v>
      </c>
      <c r="E4022" s="5">
        <v>-31397</v>
      </c>
      <c r="F4022" s="3" t="s">
        <v>929</v>
      </c>
      <c r="G4022" s="3" t="s">
        <v>20</v>
      </c>
      <c r="H4022" s="2" t="s">
        <v>62</v>
      </c>
      <c r="I4022" s="2" t="s">
        <v>9303</v>
      </c>
      <c r="J4022" s="3" t="str">
        <f>HYPERLINK("https://www.boe.es/gazeta/dias/1814/01/13/pdfs/GRE-1814-7.pdf#page=7","Abrir facsímil")</f>
        <v>Abrir facsímil</v>
      </c>
      <c r="K4022" s="3" t="s">
        <v>64</v>
      </c>
    </row>
    <row r="4023" spans="1:11" ht="42" customHeight="1">
      <c r="A4023" s="2" t="s">
        <v>9304</v>
      </c>
      <c r="B4023" s="2" t="s">
        <v>9305</v>
      </c>
      <c r="C4023" s="2" t="s">
        <v>17</v>
      </c>
      <c r="D4023" s="2" t="s">
        <v>18</v>
      </c>
      <c r="E4023" s="5">
        <v>-31059</v>
      </c>
      <c r="F4023" s="3" t="s">
        <v>263</v>
      </c>
      <c r="G4023" s="3" t="s">
        <v>264</v>
      </c>
      <c r="H4023" s="2" t="s">
        <v>62</v>
      </c>
      <c r="I4023" s="2" t="s">
        <v>9306</v>
      </c>
      <c r="J4023" s="3" t="str">
        <f>HYPERLINK("https://www.boe.es/gazeta/dias/1814/12/17/pdfs/GMD-1814-167.pdf#page=7","Abrir facsímil")</f>
        <v>Abrir facsímil</v>
      </c>
      <c r="K4023" s="3" t="s">
        <v>64</v>
      </c>
    </row>
    <row r="4024" spans="1:11" ht="42" customHeight="1">
      <c r="A4024" s="2" t="s">
        <v>9307</v>
      </c>
      <c r="B4024" s="2" t="s">
        <v>9308</v>
      </c>
      <c r="C4024" s="2" t="s">
        <v>38</v>
      </c>
      <c r="D4024" s="2" t="s">
        <v>39</v>
      </c>
      <c r="E4024" s="5">
        <v>-31192</v>
      </c>
      <c r="F4024" s="3" t="s">
        <v>388</v>
      </c>
      <c r="G4024" s="3" t="s">
        <v>20</v>
      </c>
      <c r="H4024" s="2" t="s">
        <v>62</v>
      </c>
      <c r="I4024" s="2" t="s">
        <v>9309</v>
      </c>
      <c r="J4024" s="3" t="str">
        <f>HYPERLINK("https://www.boe.es/gazeta/dias/1814/08/06/pdfs/GMD-1814-108.pdf#page=7","Abrir facsímil")</f>
        <v>Abrir facsímil</v>
      </c>
      <c r="K4024" s="3" t="s">
        <v>64</v>
      </c>
    </row>
    <row r="4025" spans="1:11" ht="42" customHeight="1">
      <c r="A4025" s="2" t="s">
        <v>9310</v>
      </c>
      <c r="B4025" s="2" t="s">
        <v>9311</v>
      </c>
      <c r="C4025" s="2" t="s">
        <v>38</v>
      </c>
      <c r="D4025" s="2" t="s">
        <v>39</v>
      </c>
      <c r="E4025" s="5">
        <v>-31231</v>
      </c>
      <c r="F4025" s="3" t="s">
        <v>861</v>
      </c>
      <c r="G4025" s="3" t="s">
        <v>384</v>
      </c>
      <c r="H4025" s="2" t="s">
        <v>62</v>
      </c>
      <c r="I4025" s="2" t="s">
        <v>9312</v>
      </c>
      <c r="J4025" s="3" t="str">
        <f>HYPERLINK("https://www.boe.es/gazeta/dias/1814/06/28/pdfs/GMD-1814-91.pdf#page=11","Abrir facsímil")</f>
        <v>Abrir facsímil</v>
      </c>
      <c r="K4025" s="3" t="s">
        <v>64</v>
      </c>
    </row>
    <row r="4026" spans="1:11" ht="42" customHeight="1">
      <c r="A4026" s="2" t="s">
        <v>9313</v>
      </c>
      <c r="B4026" s="2" t="s">
        <v>9314</v>
      </c>
      <c r="C4026" s="2" t="s">
        <v>17</v>
      </c>
      <c r="D4026" s="2" t="s">
        <v>314</v>
      </c>
      <c r="E4026" s="5">
        <v>-31327</v>
      </c>
      <c r="F4026" s="3" t="s">
        <v>9315</v>
      </c>
      <c r="G4026" s="3" t="s">
        <v>107</v>
      </c>
      <c r="H4026" s="2" t="s">
        <v>62</v>
      </c>
      <c r="I4026" s="2" t="s">
        <v>9316</v>
      </c>
      <c r="J4026" s="3" t="str">
        <f>HYPERLINK("https://www.boe.es/gazeta/dias/1814/03/24/pdfs/GRE-1814-42E.pdf#page=1","Abrir facsímil")</f>
        <v>Abrir facsímil</v>
      </c>
      <c r="K4026" s="3" t="s">
        <v>64</v>
      </c>
    </row>
    <row r="4027" spans="1:11" ht="42" customHeight="1">
      <c r="A4027" s="2" t="s">
        <v>9317</v>
      </c>
      <c r="B4027" s="2" t="s">
        <v>9318</v>
      </c>
      <c r="C4027" s="2" t="s">
        <v>38</v>
      </c>
      <c r="D4027" s="2" t="s">
        <v>39</v>
      </c>
      <c r="E4027" s="5">
        <v>-31152</v>
      </c>
      <c r="F4027" s="3" t="s">
        <v>199</v>
      </c>
      <c r="G4027" s="3" t="s">
        <v>9319</v>
      </c>
      <c r="H4027" s="2" t="s">
        <v>62</v>
      </c>
      <c r="I4027" s="2" t="s">
        <v>9320</v>
      </c>
      <c r="J4027" s="3" t="str">
        <f>HYPERLINK("https://www.boe.es/gazeta/dias/1814/09/15/pdfs/GMD-1814-126.pdf#page=6","Abrir facsímil")</f>
        <v>Abrir facsímil</v>
      </c>
      <c r="K4027" s="3" t="s">
        <v>64</v>
      </c>
    </row>
    <row r="4028" spans="1:11" ht="42" customHeight="1">
      <c r="A4028" s="2" t="s">
        <v>9321</v>
      </c>
      <c r="B4028" s="2" t="s">
        <v>9322</v>
      </c>
      <c r="C4028" s="2" t="s">
        <v>38</v>
      </c>
      <c r="D4028" s="2" t="s">
        <v>39</v>
      </c>
      <c r="E4028" s="5">
        <v>-31208</v>
      </c>
      <c r="F4028" s="3" t="s">
        <v>509</v>
      </c>
      <c r="G4028" s="3" t="s">
        <v>20</v>
      </c>
      <c r="H4028" s="2" t="s">
        <v>21</v>
      </c>
      <c r="I4028" s="2" t="s">
        <v>9323</v>
      </c>
      <c r="J4028" s="3" t="str">
        <f>HYPERLINK("https://www.boe.es/gazeta/dias/1814/07/21/pdfs/GMD-1814-101.pdf#page=7","Abrir facsímil")</f>
        <v>Abrir facsímil</v>
      </c>
      <c r="K4028" s="3" t="s">
        <v>23</v>
      </c>
    </row>
    <row r="4029" spans="1:11" ht="42" customHeight="1">
      <c r="A4029" s="2" t="s">
        <v>9324</v>
      </c>
      <c r="B4029" s="2" t="s">
        <v>9325</v>
      </c>
      <c r="C4029" s="2" t="s">
        <v>38</v>
      </c>
      <c r="D4029" s="2" t="s">
        <v>39</v>
      </c>
      <c r="E4029" s="5">
        <v>-31325</v>
      </c>
      <c r="F4029" s="3" t="s">
        <v>67</v>
      </c>
      <c r="G4029" s="3" t="s">
        <v>52</v>
      </c>
      <c r="H4029" s="2" t="s">
        <v>62</v>
      </c>
      <c r="I4029" s="2" t="s">
        <v>9326</v>
      </c>
      <c r="J4029" s="3" t="str">
        <f>HYPERLINK("https://www.boe.es/gazeta/dias/1814/03/26/pdfs/GRE-1814-43.pdf#page=8","Abrir facsímil")</f>
        <v>Abrir facsímil</v>
      </c>
      <c r="K4029" s="3" t="s">
        <v>64</v>
      </c>
    </row>
    <row r="4030" spans="1:11" ht="42" customHeight="1">
      <c r="A4030" s="2" t="s">
        <v>9324</v>
      </c>
      <c r="B4030" s="2" t="s">
        <v>9325</v>
      </c>
      <c r="C4030" s="2" t="s">
        <v>17</v>
      </c>
      <c r="D4030" s="2" t="s">
        <v>18</v>
      </c>
      <c r="E4030" s="5">
        <v>-31143</v>
      </c>
      <c r="F4030" s="3" t="s">
        <v>787</v>
      </c>
      <c r="G4030" s="3" t="s">
        <v>52</v>
      </c>
      <c r="H4030" s="2" t="s">
        <v>62</v>
      </c>
      <c r="I4030" s="2" t="s">
        <v>9327</v>
      </c>
      <c r="J4030" s="3" t="str">
        <f>HYPERLINK("https://www.boe.es/gazeta/dias/1814/09/24/pdfs/GMD-1814-130.pdf#page=8","Abrir facsímil")</f>
        <v>Abrir facsímil</v>
      </c>
      <c r="K4030" s="3" t="s">
        <v>64</v>
      </c>
    </row>
    <row r="4031" spans="1:11" ht="42" customHeight="1">
      <c r="A4031" s="2" t="s">
        <v>9324</v>
      </c>
      <c r="B4031" s="2" t="s">
        <v>9325</v>
      </c>
      <c r="C4031" s="2" t="s">
        <v>32</v>
      </c>
      <c r="D4031" s="2" t="s">
        <v>18</v>
      </c>
      <c r="E4031" s="5">
        <v>-31124</v>
      </c>
      <c r="F4031" s="3" t="s">
        <v>383</v>
      </c>
      <c r="G4031" s="3" t="s">
        <v>322</v>
      </c>
      <c r="H4031" s="2" t="s">
        <v>62</v>
      </c>
      <c r="I4031" s="2" t="s">
        <v>9328</v>
      </c>
      <c r="J4031" s="3" t="str">
        <f>HYPERLINK("https://www.boe.es/gazeta/dias/1814/10/13/pdfs/GMD-1814-138.pdf#page=12","Abrir facsímil")</f>
        <v>Abrir facsímil</v>
      </c>
      <c r="K4031" s="3" t="s">
        <v>64</v>
      </c>
    </row>
    <row r="4032" spans="1:11" ht="42" customHeight="1">
      <c r="A4032" s="2" t="s">
        <v>9329</v>
      </c>
      <c r="B4032" s="2" t="s">
        <v>9329</v>
      </c>
      <c r="C4032" s="2" t="s">
        <v>17</v>
      </c>
      <c r="D4032" s="2" t="s">
        <v>18</v>
      </c>
      <c r="E4032" s="5">
        <v>-31133</v>
      </c>
      <c r="F4032" s="3" t="s">
        <v>184</v>
      </c>
      <c r="G4032" s="3" t="s">
        <v>1241</v>
      </c>
      <c r="H4032" s="2" t="s">
        <v>62</v>
      </c>
      <c r="I4032" s="2" t="s">
        <v>9330</v>
      </c>
      <c r="J4032" s="3" t="str">
        <f>HYPERLINK("https://www.boe.es/gazeta/dias/1814/10/04/pdfs/GMD-1814-134.pdf#page=3","Abrir facsímil")</f>
        <v>Abrir facsímil</v>
      </c>
      <c r="K4032" s="3" t="s">
        <v>64</v>
      </c>
    </row>
    <row r="4033" spans="1:11" ht="42" customHeight="1">
      <c r="A4033" s="2" t="s">
        <v>9331</v>
      </c>
      <c r="B4033" s="2" t="s">
        <v>9332</v>
      </c>
      <c r="C4033" s="2" t="s">
        <v>38</v>
      </c>
      <c r="D4033" s="2" t="s">
        <v>39</v>
      </c>
      <c r="E4033" s="5">
        <v>-31306</v>
      </c>
      <c r="F4033" s="3" t="s">
        <v>670</v>
      </c>
      <c r="G4033" s="3" t="s">
        <v>99</v>
      </c>
      <c r="H4033" s="2" t="s">
        <v>62</v>
      </c>
      <c r="I4033" s="2" t="s">
        <v>9333</v>
      </c>
      <c r="J4033" s="3" t="str">
        <f>HYPERLINK("https://www.boe.es/gazeta/dias/1814/04/14/pdfs/GRE-1814-53.pdf#page=5","Abrir facsímil")</f>
        <v>Abrir facsímil</v>
      </c>
      <c r="K4033" s="3" t="s">
        <v>64</v>
      </c>
    </row>
    <row r="4034" spans="1:11" ht="42" customHeight="1">
      <c r="A4034" s="2" t="s">
        <v>9334</v>
      </c>
      <c r="B4034" s="2" t="s">
        <v>9335</v>
      </c>
      <c r="C4034" s="2" t="s">
        <v>38</v>
      </c>
      <c r="D4034" s="2" t="s">
        <v>39</v>
      </c>
      <c r="E4034" s="5">
        <v>-31045</v>
      </c>
      <c r="F4034" s="3" t="s">
        <v>165</v>
      </c>
      <c r="G4034" s="3" t="s">
        <v>20</v>
      </c>
      <c r="H4034" s="2" t="s">
        <v>62</v>
      </c>
      <c r="I4034" s="2" t="s">
        <v>9336</v>
      </c>
      <c r="J4034" s="3" t="str">
        <f>HYPERLINK("https://www.boe.es/gazeta/dias/1814/12/31/pdfs/GMD-1814-173.pdf#page=7","Abrir facsímil")</f>
        <v>Abrir facsímil</v>
      </c>
      <c r="K4034" s="3" t="s">
        <v>64</v>
      </c>
    </row>
    <row r="4035" spans="1:11" ht="42" customHeight="1">
      <c r="A4035" s="2" t="s">
        <v>9337</v>
      </c>
      <c r="B4035" s="2" t="s">
        <v>9338</v>
      </c>
      <c r="C4035" s="2" t="s">
        <v>45</v>
      </c>
      <c r="D4035" s="2" t="s">
        <v>18</v>
      </c>
      <c r="E4035" s="5">
        <v>-31080</v>
      </c>
      <c r="F4035" s="3" t="s">
        <v>286</v>
      </c>
      <c r="G4035" s="3" t="s">
        <v>1031</v>
      </c>
      <c r="H4035" s="2" t="s">
        <v>62</v>
      </c>
      <c r="I4035" s="2" t="s">
        <v>9339</v>
      </c>
      <c r="J4035" s="3" t="str">
        <f>HYPERLINK("https://www.boe.es/gazeta/dias/1814/11/26/pdfs/GMD-1814-157.pdf#page=8","Abrir facsímil")</f>
        <v>Abrir facsímil</v>
      </c>
      <c r="K4035" s="3" t="s">
        <v>64</v>
      </c>
    </row>
    <row r="4036" spans="1:11" ht="42" customHeight="1">
      <c r="A4036" s="2" t="s">
        <v>9340</v>
      </c>
      <c r="B4036" s="2" t="s">
        <v>9341</v>
      </c>
      <c r="C4036" s="2" t="s">
        <v>17</v>
      </c>
      <c r="D4036" s="2" t="s">
        <v>18</v>
      </c>
      <c r="E4036" s="5">
        <v>-31052</v>
      </c>
      <c r="F4036" s="3" t="s">
        <v>1407</v>
      </c>
      <c r="G4036" s="3" t="s">
        <v>52</v>
      </c>
      <c r="H4036" s="2" t="s">
        <v>62</v>
      </c>
      <c r="I4036" s="2" t="s">
        <v>9342</v>
      </c>
      <c r="J4036" s="3" t="str">
        <f>HYPERLINK("https://www.boe.es/gazeta/dias/1814/12/24/pdfs/GMD-1814-170.pdf#page=8","Abrir facsímil")</f>
        <v>Abrir facsímil</v>
      </c>
      <c r="K4036" s="3" t="s">
        <v>64</v>
      </c>
    </row>
    <row r="4037" spans="1:11" ht="42" customHeight="1">
      <c r="A4037" s="2" t="s">
        <v>9343</v>
      </c>
      <c r="B4037" s="2" t="s">
        <v>9344</v>
      </c>
      <c r="C4037" s="2" t="s">
        <v>26</v>
      </c>
      <c r="D4037" s="2" t="s">
        <v>27</v>
      </c>
      <c r="E4037" s="5">
        <v>-31115</v>
      </c>
      <c r="F4037" s="3" t="s">
        <v>805</v>
      </c>
      <c r="G4037" s="3" t="s">
        <v>99</v>
      </c>
      <c r="H4037" s="2" t="s">
        <v>62</v>
      </c>
      <c r="I4037" s="2" t="s">
        <v>9345</v>
      </c>
      <c r="J4037" s="3" t="str">
        <f>HYPERLINK("https://www.boe.es/gazeta/dias/1814/10/22/pdfs/GMD-1814-142.pdf#page=5","Abrir facsímil")</f>
        <v>Abrir facsímil</v>
      </c>
      <c r="K4037" s="3" t="s">
        <v>64</v>
      </c>
    </row>
    <row r="4038" spans="1:11" ht="42" customHeight="1">
      <c r="A4038" s="2" t="s">
        <v>9346</v>
      </c>
      <c r="B4038" s="2" t="s">
        <v>9346</v>
      </c>
      <c r="C4038" s="2" t="s">
        <v>38</v>
      </c>
      <c r="D4038" s="2" t="s">
        <v>39</v>
      </c>
      <c r="E4038" s="5">
        <v>-31292</v>
      </c>
      <c r="F4038" s="3" t="s">
        <v>557</v>
      </c>
      <c r="G4038" s="3" t="s">
        <v>41</v>
      </c>
      <c r="H4038" s="2" t="s">
        <v>62</v>
      </c>
      <c r="I4038" s="2" t="s">
        <v>9347</v>
      </c>
      <c r="J4038" s="3" t="str">
        <f>HYPERLINK("https://www.boe.es/gazeta/dias/1814/04/28/pdfs/GRE-1814-63.pdf#page=4","Abrir facsímil")</f>
        <v>Abrir facsímil</v>
      </c>
      <c r="K4038" s="3" t="s">
        <v>64</v>
      </c>
    </row>
    <row r="4039" spans="1:11" ht="42" customHeight="1">
      <c r="A4039" s="2" t="s">
        <v>9348</v>
      </c>
      <c r="B4039" s="2" t="s">
        <v>9349</v>
      </c>
      <c r="C4039" s="2" t="s">
        <v>17</v>
      </c>
      <c r="D4039" s="2" t="s">
        <v>18</v>
      </c>
      <c r="E4039" s="5">
        <v>-31115</v>
      </c>
      <c r="F4039" s="3" t="s">
        <v>805</v>
      </c>
      <c r="G4039" s="3" t="s">
        <v>20</v>
      </c>
      <c r="H4039" s="2" t="s">
        <v>62</v>
      </c>
      <c r="I4039" s="2" t="s">
        <v>9350</v>
      </c>
      <c r="J4039" s="3" t="str">
        <f>HYPERLINK("https://www.boe.es/gazeta/dias/1814/10/22/pdfs/GMD-1814-142.pdf#page=7","Abrir facsímil")</f>
        <v>Abrir facsímil</v>
      </c>
      <c r="K4039" s="3" t="s">
        <v>64</v>
      </c>
    </row>
    <row r="4040" spans="1:11" ht="42" customHeight="1">
      <c r="A4040" s="2" t="s">
        <v>9348</v>
      </c>
      <c r="B4040" s="2" t="s">
        <v>9349</v>
      </c>
      <c r="C4040" s="2" t="s">
        <v>17</v>
      </c>
      <c r="D4040" s="2" t="s">
        <v>18</v>
      </c>
      <c r="E4040" s="5">
        <v>-31110</v>
      </c>
      <c r="F4040" s="3" t="s">
        <v>149</v>
      </c>
      <c r="G4040" s="3" t="s">
        <v>20</v>
      </c>
      <c r="H4040" s="2" t="s">
        <v>62</v>
      </c>
      <c r="I4040" s="2" t="s">
        <v>9351</v>
      </c>
      <c r="J4040" s="3" t="str">
        <f>HYPERLINK("https://www.boe.es/gazeta/dias/1814/10/27/pdfs/GMD-1814-144.pdf#page=7","Abrir facsímil")</f>
        <v>Abrir facsímil</v>
      </c>
      <c r="K4040" s="3" t="s">
        <v>64</v>
      </c>
    </row>
    <row r="4041" spans="1:11" ht="42" customHeight="1">
      <c r="A4041" s="2" t="s">
        <v>9352</v>
      </c>
      <c r="B4041" s="2" t="s">
        <v>9353</v>
      </c>
      <c r="C4041" s="2" t="s">
        <v>26</v>
      </c>
      <c r="D4041" s="2" t="s">
        <v>27</v>
      </c>
      <c r="E4041" s="5">
        <v>-31250</v>
      </c>
      <c r="F4041" s="3" t="s">
        <v>177</v>
      </c>
      <c r="G4041" s="3" t="s">
        <v>52</v>
      </c>
      <c r="H4041" s="2" t="s">
        <v>62</v>
      </c>
      <c r="I4041" s="2" t="s">
        <v>9354</v>
      </c>
      <c r="J4041" s="3" t="str">
        <f>HYPERLINK("https://www.boe.es/gazeta/dias/1814/06/09/pdfs/GMD-1814-83.pdf#page=8","Abrir facsímil")</f>
        <v>Abrir facsímil</v>
      </c>
      <c r="K4041" s="3" t="s">
        <v>64</v>
      </c>
    </row>
    <row r="4042" spans="1:11" ht="42" customHeight="1">
      <c r="A4042" s="2" t="s">
        <v>9355</v>
      </c>
      <c r="B4042" s="2" t="s">
        <v>9356</v>
      </c>
      <c r="C4042" s="2" t="s">
        <v>26</v>
      </c>
      <c r="D4042" s="2" t="s">
        <v>27</v>
      </c>
      <c r="E4042" s="5">
        <v>-31234</v>
      </c>
      <c r="F4042" s="3" t="s">
        <v>462</v>
      </c>
      <c r="G4042" s="3" t="s">
        <v>2864</v>
      </c>
      <c r="H4042" s="2" t="s">
        <v>62</v>
      </c>
      <c r="I4042" s="2" t="s">
        <v>9357</v>
      </c>
      <c r="J4042" s="3" t="str">
        <f>HYPERLINK("https://www.boe.es/gazeta/dias/1814/06/25/pdfs/GMD-1814-90.pdf#page=12","Abrir facsímil")</f>
        <v>Abrir facsímil</v>
      </c>
      <c r="K4042" s="3" t="s">
        <v>64</v>
      </c>
    </row>
    <row r="4043" spans="1:11" ht="42" customHeight="1">
      <c r="A4043" s="2" t="s">
        <v>9358</v>
      </c>
      <c r="B4043" s="2" t="s">
        <v>9359</v>
      </c>
      <c r="C4043" s="2" t="s">
        <v>26</v>
      </c>
      <c r="D4043" s="2" t="s">
        <v>27</v>
      </c>
      <c r="E4043" s="5">
        <v>-31145</v>
      </c>
      <c r="F4043" s="3" t="s">
        <v>523</v>
      </c>
      <c r="G4043" s="3" t="s">
        <v>20</v>
      </c>
      <c r="H4043" s="2" t="s">
        <v>21</v>
      </c>
      <c r="I4043" s="2" t="s">
        <v>9360</v>
      </c>
      <c r="J4043" s="3" t="str">
        <f>HYPERLINK("https://www.boe.es/gazeta/dias/1814/09/22/pdfs/GMD-1814-129.pdf#page=7","Abrir facsímil")</f>
        <v>Abrir facsímil</v>
      </c>
      <c r="K4043" s="3" t="s">
        <v>23</v>
      </c>
    </row>
    <row r="4044" spans="1:11" ht="42" customHeight="1">
      <c r="A4044" s="2" t="s">
        <v>9361</v>
      </c>
      <c r="B4044" s="2" t="s">
        <v>9362</v>
      </c>
      <c r="C4044" s="2" t="s">
        <v>38</v>
      </c>
      <c r="D4044" s="2" t="s">
        <v>39</v>
      </c>
      <c r="E4044" s="5">
        <v>-31213</v>
      </c>
      <c r="F4044" s="3" t="s">
        <v>276</v>
      </c>
      <c r="G4044" s="3" t="s">
        <v>57</v>
      </c>
      <c r="H4044" s="2" t="s">
        <v>62</v>
      </c>
      <c r="I4044" s="2" t="s">
        <v>9363</v>
      </c>
      <c r="J4044" s="3" t="str">
        <f>HYPERLINK("https://www.boe.es/gazeta/dias/1814/07/16/pdfs/GMD-1814-99.pdf#page=6","Abrir facsímil")</f>
        <v>Abrir facsímil</v>
      </c>
      <c r="K4044" s="3" t="s">
        <v>64</v>
      </c>
    </row>
    <row r="4045" spans="1:11" ht="42" customHeight="1">
      <c r="A4045" s="2" t="s">
        <v>9364</v>
      </c>
      <c r="B4045" s="2" t="s">
        <v>9365</v>
      </c>
      <c r="C4045" s="2" t="s">
        <v>38</v>
      </c>
      <c r="D4045" s="2" t="s">
        <v>314</v>
      </c>
      <c r="E4045" s="5">
        <v>-31296</v>
      </c>
      <c r="F4045" s="3" t="s">
        <v>315</v>
      </c>
      <c r="G4045" s="3" t="s">
        <v>52</v>
      </c>
      <c r="H4045" s="2" t="s">
        <v>62</v>
      </c>
      <c r="I4045" s="2" t="s">
        <v>9366</v>
      </c>
      <c r="J4045" s="3" t="str">
        <f>HYPERLINK("https://www.boe.es/gazeta/dias/1814/04/24/pdfs/GRE-1814-60E.pdf#page=8","Abrir facsímil")</f>
        <v>Abrir facsímil</v>
      </c>
      <c r="K4045" s="3" t="s">
        <v>64</v>
      </c>
    </row>
    <row r="4046" spans="1:11" ht="42" customHeight="1">
      <c r="A4046" s="2" t="s">
        <v>9367</v>
      </c>
      <c r="B4046" s="2" t="s">
        <v>9368</v>
      </c>
      <c r="C4046" s="2" t="s">
        <v>17</v>
      </c>
      <c r="D4046" s="2" t="s">
        <v>18</v>
      </c>
      <c r="E4046" s="5">
        <v>-31383</v>
      </c>
      <c r="F4046" s="3" t="s">
        <v>715</v>
      </c>
      <c r="G4046" s="3" t="s">
        <v>57</v>
      </c>
      <c r="H4046" s="2" t="s">
        <v>62</v>
      </c>
      <c r="I4046" s="2" t="s">
        <v>9369</v>
      </c>
      <c r="J4046" s="3" t="str">
        <f>HYPERLINK("https://www.boe.es/gazeta/dias/1814/01/27/pdfs/GRE-1814-13.pdf#page=6","Abrir facsímil")</f>
        <v>Abrir facsímil</v>
      </c>
      <c r="K4046" s="3" t="s">
        <v>64</v>
      </c>
    </row>
    <row r="4047" spans="1:11" ht="42" customHeight="1">
      <c r="A4047" s="2" t="s">
        <v>9370</v>
      </c>
      <c r="B4047" s="2" t="s">
        <v>9371</v>
      </c>
      <c r="C4047" s="2" t="s">
        <v>38</v>
      </c>
      <c r="D4047" s="2" t="s">
        <v>314</v>
      </c>
      <c r="E4047" s="5">
        <v>-31296</v>
      </c>
      <c r="F4047" s="3" t="s">
        <v>315</v>
      </c>
      <c r="G4047" s="3" t="s">
        <v>57</v>
      </c>
      <c r="H4047" s="2" t="s">
        <v>62</v>
      </c>
      <c r="I4047" s="2" t="s">
        <v>9372</v>
      </c>
      <c r="J4047" s="3" t="str">
        <f>HYPERLINK("https://www.boe.es/gazeta/dias/1814/04/24/pdfs/GRE-1814-60E.pdf#page=6","Abrir facsímil")</f>
        <v>Abrir facsímil</v>
      </c>
      <c r="K4047" s="3" t="s">
        <v>64</v>
      </c>
    </row>
    <row r="4048" spans="1:11" ht="42" customHeight="1">
      <c r="A4048" s="2" t="s">
        <v>9373</v>
      </c>
      <c r="B4048" s="2" t="s">
        <v>9374</v>
      </c>
      <c r="C4048" s="2" t="s">
        <v>32</v>
      </c>
      <c r="D4048" s="2" t="s">
        <v>18</v>
      </c>
      <c r="E4048" s="5">
        <v>-31145</v>
      </c>
      <c r="F4048" s="3" t="s">
        <v>523</v>
      </c>
      <c r="G4048" s="3" t="s">
        <v>20</v>
      </c>
      <c r="H4048" s="2" t="s">
        <v>62</v>
      </c>
      <c r="I4048" s="2" t="s">
        <v>9375</v>
      </c>
      <c r="J4048" s="3" t="str">
        <f>HYPERLINK("https://www.boe.es/gazeta/dias/1814/09/22/pdfs/GMD-1814-129.pdf#page=7","Abrir facsímil")</f>
        <v>Abrir facsímil</v>
      </c>
      <c r="K4048" s="3" t="s">
        <v>64</v>
      </c>
    </row>
    <row r="4049" spans="1:11" ht="42" customHeight="1">
      <c r="A4049" s="2" t="s">
        <v>9376</v>
      </c>
      <c r="B4049" s="2" t="s">
        <v>9377</v>
      </c>
      <c r="C4049" s="2" t="s">
        <v>17</v>
      </c>
      <c r="D4049" s="2" t="s">
        <v>18</v>
      </c>
      <c r="E4049" s="5">
        <v>-31110</v>
      </c>
      <c r="F4049" s="3" t="s">
        <v>149</v>
      </c>
      <c r="G4049" s="3" t="s">
        <v>82</v>
      </c>
      <c r="H4049" s="2" t="s">
        <v>62</v>
      </c>
      <c r="I4049" s="2" t="s">
        <v>9378</v>
      </c>
      <c r="J4049" s="3" t="str">
        <f>HYPERLINK("https://www.boe.es/gazeta/dias/1814/10/27/pdfs/GMD-1814-144.pdf#page=3","Abrir facsímil")</f>
        <v>Abrir facsímil</v>
      </c>
      <c r="K4049" s="3" t="s">
        <v>64</v>
      </c>
    </row>
    <row r="4050" spans="1:11" ht="42" customHeight="1">
      <c r="A4050" s="2" t="s">
        <v>9379</v>
      </c>
      <c r="B4050" s="2" t="s">
        <v>9380</v>
      </c>
      <c r="C4050" s="2" t="s">
        <v>38</v>
      </c>
      <c r="D4050" s="2" t="s">
        <v>39</v>
      </c>
      <c r="E4050" s="5">
        <v>-31262</v>
      </c>
      <c r="F4050" s="3" t="s">
        <v>254</v>
      </c>
      <c r="G4050" s="3" t="s">
        <v>82</v>
      </c>
      <c r="H4050" s="2" t="s">
        <v>62</v>
      </c>
      <c r="I4050" s="2" t="s">
        <v>9381</v>
      </c>
      <c r="J4050" s="3" t="str">
        <f>HYPERLINK("https://www.boe.es/gazeta/dias/1814/05/28/pdfs/GMD-1814-78.pdf#page=3","Abrir facsímil")</f>
        <v>Abrir facsímil</v>
      </c>
      <c r="K4050" s="3" t="s">
        <v>64</v>
      </c>
    </row>
    <row r="4051" spans="1:11" ht="42" customHeight="1">
      <c r="A4051" s="2" t="s">
        <v>9382</v>
      </c>
      <c r="B4051" s="2" t="s">
        <v>9383</v>
      </c>
      <c r="C4051" s="2" t="s">
        <v>38</v>
      </c>
      <c r="D4051" s="2" t="s">
        <v>39</v>
      </c>
      <c r="E4051" s="5">
        <v>-31145</v>
      </c>
      <c r="F4051" s="3" t="s">
        <v>523</v>
      </c>
      <c r="G4051" s="3" t="s">
        <v>82</v>
      </c>
      <c r="H4051" s="2" t="s">
        <v>62</v>
      </c>
      <c r="I4051" s="2" t="s">
        <v>9384</v>
      </c>
      <c r="J4051" s="3" t="str">
        <f>HYPERLINK("https://www.boe.es/gazeta/dias/1814/09/22/pdfs/GMD-1814-129.pdf#page=3","Abrir facsímil")</f>
        <v>Abrir facsímil</v>
      </c>
      <c r="K4051" s="3" t="s">
        <v>64</v>
      </c>
    </row>
    <row r="4052" spans="1:11" ht="42" customHeight="1">
      <c r="A4052" s="2" t="s">
        <v>9385</v>
      </c>
      <c r="B4052" s="2" t="s">
        <v>9385</v>
      </c>
      <c r="C4052" s="2" t="s">
        <v>38</v>
      </c>
      <c r="D4052" s="2" t="s">
        <v>39</v>
      </c>
      <c r="E4052" s="5">
        <v>-31405</v>
      </c>
      <c r="F4052" s="3" t="s">
        <v>1754</v>
      </c>
      <c r="G4052" s="3" t="s">
        <v>3368</v>
      </c>
      <c r="H4052" s="2" t="s">
        <v>62</v>
      </c>
      <c r="I4052" s="2" t="s">
        <v>9386</v>
      </c>
      <c r="J4052" s="3" t="str">
        <f>HYPERLINK("https://www.boe.es/gazeta/dias/1814/01/05/pdfs/GRE-1814-5.pdf#page=8","Abrir facsímil")</f>
        <v>Abrir facsímil</v>
      </c>
      <c r="K4052" s="3" t="s">
        <v>64</v>
      </c>
    </row>
    <row r="4053" spans="1:11" ht="42" customHeight="1">
      <c r="A4053" s="2" t="s">
        <v>9385</v>
      </c>
      <c r="B4053" s="2" t="s">
        <v>9385</v>
      </c>
      <c r="C4053" s="2" t="s">
        <v>38</v>
      </c>
      <c r="D4053" s="2" t="s">
        <v>39</v>
      </c>
      <c r="E4053" s="5">
        <v>-31404</v>
      </c>
      <c r="F4053" s="3" t="s">
        <v>630</v>
      </c>
      <c r="G4053" s="3" t="s">
        <v>631</v>
      </c>
      <c r="H4053" s="2" t="s">
        <v>62</v>
      </c>
      <c r="I4053" s="2" t="s">
        <v>9387</v>
      </c>
      <c r="J4053" s="3" t="str">
        <f>HYPERLINK("https://www.boe.es/gazeta/dias/1814/01/06/pdfs/GRE-1814-3.pdf#page=4","Abrir facsímil")</f>
        <v>Abrir facsímil</v>
      </c>
      <c r="K4053" s="3" t="s">
        <v>64</v>
      </c>
    </row>
    <row r="4054" spans="1:11" ht="42" customHeight="1">
      <c r="A4054" s="2" t="s">
        <v>9385</v>
      </c>
      <c r="B4054" s="2" t="s">
        <v>9385</v>
      </c>
      <c r="C4054" s="2" t="s">
        <v>38</v>
      </c>
      <c r="D4054" s="2" t="s">
        <v>39</v>
      </c>
      <c r="E4054" s="5">
        <v>-31404</v>
      </c>
      <c r="F4054" s="3" t="s">
        <v>630</v>
      </c>
      <c r="G4054" s="3" t="s">
        <v>82</v>
      </c>
      <c r="H4054" s="2" t="s">
        <v>62</v>
      </c>
      <c r="I4054" s="2" t="s">
        <v>9388</v>
      </c>
      <c r="J4054" s="3" t="str">
        <f>HYPERLINK("https://www.boe.es/gazeta/dias/1814/01/06/pdfs/GRE-1814-3.pdf#page=3","Abrir facsímil")</f>
        <v>Abrir facsímil</v>
      </c>
      <c r="K4054" s="3" t="s">
        <v>64</v>
      </c>
    </row>
    <row r="4055" spans="1:11" ht="42" customHeight="1">
      <c r="A4055" s="2" t="s">
        <v>9385</v>
      </c>
      <c r="B4055" s="2" t="s">
        <v>9385</v>
      </c>
      <c r="C4055" s="2" t="s">
        <v>38</v>
      </c>
      <c r="D4055" s="2" t="s">
        <v>39</v>
      </c>
      <c r="E4055" s="5">
        <v>-31402</v>
      </c>
      <c r="F4055" s="3" t="s">
        <v>1754</v>
      </c>
      <c r="G4055" s="3" t="s">
        <v>3368</v>
      </c>
      <c r="H4055" s="2" t="s">
        <v>62</v>
      </c>
      <c r="I4055" s="2" t="s">
        <v>9386</v>
      </c>
      <c r="J4055" s="3" t="str">
        <f>HYPERLINK("https://www.boe.es/gazeta/dias/1814/01/08/pdfs/GRE-1814-5.pdf#page=8","Abrir facsímil")</f>
        <v>Abrir facsímil</v>
      </c>
      <c r="K4055" s="3" t="s">
        <v>64</v>
      </c>
    </row>
    <row r="4056" spans="1:11" ht="42" customHeight="1">
      <c r="A4056" s="2" t="s">
        <v>9389</v>
      </c>
      <c r="B4056" s="2" t="s">
        <v>9389</v>
      </c>
      <c r="C4056" s="2" t="s">
        <v>38</v>
      </c>
      <c r="D4056" s="2" t="s">
        <v>39</v>
      </c>
      <c r="E4056" s="5">
        <v>-31390</v>
      </c>
      <c r="F4056" s="3" t="s">
        <v>349</v>
      </c>
      <c r="G4056" s="3" t="s">
        <v>20</v>
      </c>
      <c r="H4056" s="2" t="s">
        <v>62</v>
      </c>
      <c r="I4056" s="2" t="s">
        <v>9390</v>
      </c>
      <c r="J4056" s="3" t="str">
        <f>HYPERLINK("https://www.boe.es/gazeta/dias/1814/01/20/pdfs/GRE-1814-10.pdf#page=7","Abrir facsímil")</f>
        <v>Abrir facsímil</v>
      </c>
      <c r="K4056" s="3" t="s">
        <v>64</v>
      </c>
    </row>
    <row r="4057" spans="1:11" ht="42" customHeight="1">
      <c r="A4057" s="2" t="s">
        <v>9385</v>
      </c>
      <c r="B4057" s="2" t="s">
        <v>9385</v>
      </c>
      <c r="C4057" s="2" t="s">
        <v>38</v>
      </c>
      <c r="D4057" s="2" t="s">
        <v>39</v>
      </c>
      <c r="E4057" s="5">
        <v>-31350</v>
      </c>
      <c r="F4057" s="3" t="s">
        <v>377</v>
      </c>
      <c r="G4057" s="3" t="s">
        <v>20</v>
      </c>
      <c r="H4057" s="2" t="s">
        <v>62</v>
      </c>
      <c r="I4057" s="2" t="s">
        <v>9391</v>
      </c>
      <c r="J4057" s="3" t="str">
        <f>HYPERLINK("https://www.boe.es/gazeta/dias/1814/03/01/pdfs/GRE-1814-28.pdf#page=7","Abrir facsímil")</f>
        <v>Abrir facsímil</v>
      </c>
      <c r="K4057" s="3" t="s">
        <v>64</v>
      </c>
    </row>
    <row r="4058" spans="1:11" ht="42" customHeight="1">
      <c r="A4058" s="2" t="s">
        <v>9392</v>
      </c>
      <c r="B4058" s="2" t="s">
        <v>9393</v>
      </c>
      <c r="C4058" s="2" t="s">
        <v>38</v>
      </c>
      <c r="D4058" s="2" t="s">
        <v>314</v>
      </c>
      <c r="E4058" s="5">
        <v>-31294</v>
      </c>
      <c r="F4058" s="3" t="s">
        <v>2505</v>
      </c>
      <c r="G4058" s="3" t="s">
        <v>107</v>
      </c>
      <c r="H4058" s="2" t="s">
        <v>62</v>
      </c>
      <c r="I4058" s="2" t="s">
        <v>9394</v>
      </c>
      <c r="J4058" s="3" t="str">
        <f>HYPERLINK("https://www.boe.es/gazeta/dias/1814/04/26/pdfs/GRE-1814-62E.pdf#page=1","Abrir facsímil")</f>
        <v>Abrir facsímil</v>
      </c>
      <c r="K4058" s="3" t="s">
        <v>64</v>
      </c>
    </row>
    <row r="4059" spans="1:11" ht="42" customHeight="1">
      <c r="A4059" s="2" t="s">
        <v>9395</v>
      </c>
      <c r="B4059" s="2" t="s">
        <v>9396</v>
      </c>
      <c r="C4059" s="2" t="s">
        <v>38</v>
      </c>
      <c r="D4059" s="2" t="s">
        <v>39</v>
      </c>
      <c r="E4059" s="5">
        <v>-31346</v>
      </c>
      <c r="F4059" s="3" t="s">
        <v>78</v>
      </c>
      <c r="G4059" s="3" t="s">
        <v>52</v>
      </c>
      <c r="H4059" s="2" t="s">
        <v>62</v>
      </c>
      <c r="I4059" s="2" t="s">
        <v>9397</v>
      </c>
      <c r="J4059" s="3" t="str">
        <f>HYPERLINK("https://www.boe.es/gazeta/dias/1814/03/05/pdfs/GRE-1814-30.pdf#page=8","Abrir facsímil")</f>
        <v>Abrir facsímil</v>
      </c>
      <c r="K4059" s="3" t="s">
        <v>64</v>
      </c>
    </row>
    <row r="4060" spans="1:11" ht="42" customHeight="1">
      <c r="A4060" s="2" t="s">
        <v>9398</v>
      </c>
      <c r="B4060" s="2" t="s">
        <v>9399</v>
      </c>
      <c r="C4060" s="2" t="s">
        <v>17</v>
      </c>
      <c r="D4060" s="2" t="s">
        <v>18</v>
      </c>
      <c r="E4060" s="5">
        <v>-31122</v>
      </c>
      <c r="F4060" s="3" t="s">
        <v>28</v>
      </c>
      <c r="G4060" s="3" t="s">
        <v>20</v>
      </c>
      <c r="H4060" s="2" t="s">
        <v>62</v>
      </c>
      <c r="I4060" s="2" t="s">
        <v>9400</v>
      </c>
      <c r="J4060" s="3" t="str">
        <f>HYPERLINK("https://www.boe.es/gazeta/dias/1814/10/15/pdfs/GMD-1814-139.pdf#page=7","Abrir facsímil")</f>
        <v>Abrir facsímil</v>
      </c>
      <c r="K4060" s="3" t="s">
        <v>64</v>
      </c>
    </row>
    <row r="4061" spans="1:11" ht="42" customHeight="1">
      <c r="A4061" s="2" t="s">
        <v>9401</v>
      </c>
      <c r="B4061" s="2" t="s">
        <v>9402</v>
      </c>
      <c r="C4061" s="2" t="s">
        <v>38</v>
      </c>
      <c r="D4061" s="2" t="s">
        <v>39</v>
      </c>
      <c r="E4061" s="5">
        <v>-31122</v>
      </c>
      <c r="F4061" s="3" t="s">
        <v>28</v>
      </c>
      <c r="G4061" s="3" t="s">
        <v>52</v>
      </c>
      <c r="H4061" s="2" t="s">
        <v>62</v>
      </c>
      <c r="I4061" s="2" t="s">
        <v>9403</v>
      </c>
      <c r="J4061" s="3" t="str">
        <f>HYPERLINK("https://www.boe.es/gazeta/dias/1814/10/15/pdfs/GMD-1814-139.pdf#page=8","Abrir facsímil")</f>
        <v>Abrir facsímil</v>
      </c>
      <c r="K4061" s="3" t="s">
        <v>64</v>
      </c>
    </row>
    <row r="4062" spans="1:11" ht="42" customHeight="1">
      <c r="A4062" s="2" t="s">
        <v>9404</v>
      </c>
      <c r="B4062" s="2" t="s">
        <v>9405</v>
      </c>
      <c r="C4062" s="2" t="s">
        <v>26</v>
      </c>
      <c r="D4062" s="2" t="s">
        <v>27</v>
      </c>
      <c r="E4062" s="5">
        <v>-31182</v>
      </c>
      <c r="F4062" s="3" t="s">
        <v>19</v>
      </c>
      <c r="G4062" s="3" t="s">
        <v>82</v>
      </c>
      <c r="H4062" s="2" t="s">
        <v>62</v>
      </c>
      <c r="I4062" s="2" t="s">
        <v>9406</v>
      </c>
      <c r="J4062" s="3" t="str">
        <f>HYPERLINK("https://www.boe.es/gazeta/dias/1814/08/16/pdfs/GMD-1814-112.pdf#page=3","Abrir facsímil")</f>
        <v>Abrir facsímil</v>
      </c>
      <c r="K4062" s="3" t="s">
        <v>64</v>
      </c>
    </row>
    <row r="4063" spans="1:11" ht="42" customHeight="1">
      <c r="A4063" s="2" t="s">
        <v>9407</v>
      </c>
      <c r="B4063" s="2" t="s">
        <v>9407</v>
      </c>
      <c r="C4063" s="2" t="s">
        <v>26</v>
      </c>
      <c r="D4063" s="2" t="s">
        <v>27</v>
      </c>
      <c r="E4063" s="5">
        <v>-31287</v>
      </c>
      <c r="F4063" s="3" t="s">
        <v>491</v>
      </c>
      <c r="G4063" s="3" t="s">
        <v>82</v>
      </c>
      <c r="H4063" s="2" t="s">
        <v>62</v>
      </c>
      <c r="I4063" s="2" t="s">
        <v>9408</v>
      </c>
      <c r="J4063" s="3" t="str">
        <f>HYPERLINK("https://www.boe.es/gazeta/dias/1814/05/03/pdfs/GRE-1814-65.pdf#page=3","Abrir facsímil")</f>
        <v>Abrir facsímil</v>
      </c>
      <c r="K4063" s="3" t="s">
        <v>64</v>
      </c>
    </row>
    <row r="4064" spans="1:11" ht="42" customHeight="1">
      <c r="A4064" s="2" t="s">
        <v>9407</v>
      </c>
      <c r="B4064" s="2" t="s">
        <v>9407</v>
      </c>
      <c r="C4064" s="2" t="s">
        <v>17</v>
      </c>
      <c r="D4064" s="2" t="s">
        <v>18</v>
      </c>
      <c r="E4064" s="5">
        <v>-31236</v>
      </c>
      <c r="F4064" s="3" t="s">
        <v>33</v>
      </c>
      <c r="G4064" s="3" t="s">
        <v>41</v>
      </c>
      <c r="H4064" s="2" t="s">
        <v>62</v>
      </c>
      <c r="I4064" s="2" t="s">
        <v>9409</v>
      </c>
      <c r="J4064" s="3" t="str">
        <f>HYPERLINK("https://www.boe.es/gazeta/dias/1814/06/23/pdfs/GMD-1814-89.pdf#page=4","Abrir facsímil")</f>
        <v>Abrir facsímil</v>
      </c>
      <c r="K4064" s="3" t="s">
        <v>64</v>
      </c>
    </row>
    <row r="4065" spans="1:11" ht="42" customHeight="1">
      <c r="A4065" s="2" t="s">
        <v>9410</v>
      </c>
      <c r="B4065" s="2" t="s">
        <v>9410</v>
      </c>
      <c r="C4065" s="2" t="s">
        <v>144</v>
      </c>
      <c r="D4065" s="2" t="s">
        <v>18</v>
      </c>
      <c r="E4065" s="5">
        <v>-31124</v>
      </c>
      <c r="F4065" s="3" t="s">
        <v>383</v>
      </c>
      <c r="G4065" s="3" t="s">
        <v>384</v>
      </c>
      <c r="H4065" s="2" t="s">
        <v>62</v>
      </c>
      <c r="I4065" s="2" t="s">
        <v>9411</v>
      </c>
      <c r="J4065" s="3" t="str">
        <f>HYPERLINK("https://www.boe.es/gazeta/dias/1814/10/13/pdfs/GMD-1814-138.pdf#page=11","Abrir facsímil")</f>
        <v>Abrir facsímil</v>
      </c>
      <c r="K4065" s="3" t="s">
        <v>64</v>
      </c>
    </row>
    <row r="4066" spans="1:11" ht="42" customHeight="1">
      <c r="A4066" s="2" t="s">
        <v>9410</v>
      </c>
      <c r="B4066" s="2" t="s">
        <v>9410</v>
      </c>
      <c r="C4066" s="2" t="s">
        <v>38</v>
      </c>
      <c r="D4066" s="2" t="s">
        <v>39</v>
      </c>
      <c r="E4066" s="5">
        <v>-31101</v>
      </c>
      <c r="F4066" s="3" t="s">
        <v>2095</v>
      </c>
      <c r="G4066" s="3" t="s">
        <v>99</v>
      </c>
      <c r="H4066" s="2" t="s">
        <v>62</v>
      </c>
      <c r="I4066" s="2" t="s">
        <v>9412</v>
      </c>
      <c r="J4066" s="3" t="str">
        <f>HYPERLINK("https://www.boe.es/gazeta/dias/1814/11/05/pdfs/GMD-1814-148.pdf#page=5","Abrir facsímil")</f>
        <v>Abrir facsímil</v>
      </c>
      <c r="K4066" s="3" t="s">
        <v>64</v>
      </c>
    </row>
    <row r="4067" spans="1:11" ht="42" customHeight="1">
      <c r="A4067" s="2" t="s">
        <v>9413</v>
      </c>
      <c r="B4067" s="2" t="s">
        <v>9414</v>
      </c>
      <c r="C4067" s="2" t="s">
        <v>38</v>
      </c>
      <c r="D4067" s="2" t="s">
        <v>39</v>
      </c>
      <c r="E4067" s="5">
        <v>-31066</v>
      </c>
      <c r="F4067" s="3" t="s">
        <v>1323</v>
      </c>
      <c r="G4067" s="3" t="s">
        <v>99</v>
      </c>
      <c r="H4067" s="2" t="s">
        <v>62</v>
      </c>
      <c r="I4067" s="2" t="s">
        <v>9415</v>
      </c>
      <c r="J4067" s="3" t="str">
        <f>HYPERLINK("https://www.boe.es/gazeta/dias/1814/12/10/pdfs/GMD-1814-163.pdf#page=5","Abrir facsímil")</f>
        <v>Abrir facsímil</v>
      </c>
      <c r="K4067" s="3" t="s">
        <v>64</v>
      </c>
    </row>
    <row r="4068" spans="1:11" ht="42" customHeight="1">
      <c r="A4068" s="2" t="s">
        <v>9416</v>
      </c>
      <c r="B4068" s="2" t="s">
        <v>9417</v>
      </c>
      <c r="C4068" s="2" t="s">
        <v>26</v>
      </c>
      <c r="D4068" s="2" t="s">
        <v>27</v>
      </c>
      <c r="E4068" s="5">
        <v>-31217</v>
      </c>
      <c r="F4068" s="3" t="s">
        <v>506</v>
      </c>
      <c r="G4068" s="3" t="s">
        <v>9418</v>
      </c>
      <c r="H4068" s="2" t="s">
        <v>62</v>
      </c>
      <c r="I4068" s="2" t="s">
        <v>9419</v>
      </c>
      <c r="J4068" s="3" t="str">
        <f>HYPERLINK("https://www.boe.es/gazeta/dias/1814/07/12/pdfs/GMD-1814-97.pdf#page=6","Abrir facsímil")</f>
        <v>Abrir facsímil</v>
      </c>
      <c r="K4068" s="3" t="s">
        <v>64</v>
      </c>
    </row>
    <row r="4069" spans="1:11" ht="42" customHeight="1">
      <c r="A4069" s="2" t="s">
        <v>9420</v>
      </c>
      <c r="B4069" s="2" t="s">
        <v>9421</v>
      </c>
      <c r="C4069" s="2" t="s">
        <v>38</v>
      </c>
      <c r="D4069" s="2" t="s">
        <v>314</v>
      </c>
      <c r="E4069" s="5">
        <v>-31328</v>
      </c>
      <c r="F4069" s="3" t="s">
        <v>442</v>
      </c>
      <c r="G4069" s="3" t="s">
        <v>20</v>
      </c>
      <c r="H4069" s="2" t="s">
        <v>62</v>
      </c>
      <c r="I4069" s="2" t="s">
        <v>9422</v>
      </c>
      <c r="J4069" s="3" t="str">
        <f>HYPERLINK("https://www.boe.es/gazeta/dias/1814/03/23/pdfs/GRE-1814-40E.pdf#page=7","Abrir facsímil")</f>
        <v>Abrir facsímil</v>
      </c>
      <c r="K4069" s="3" t="s">
        <v>64</v>
      </c>
    </row>
    <row r="4070" spans="1:11" ht="42" customHeight="1">
      <c r="A4070" s="2" t="s">
        <v>9423</v>
      </c>
      <c r="B4070" s="2" t="s">
        <v>9424</v>
      </c>
      <c r="C4070" s="2" t="s">
        <v>38</v>
      </c>
      <c r="D4070" s="2" t="s">
        <v>39</v>
      </c>
      <c r="E4070" s="5">
        <v>-31364</v>
      </c>
      <c r="F4070" s="3" t="s">
        <v>594</v>
      </c>
      <c r="G4070" s="3" t="s">
        <v>57</v>
      </c>
      <c r="H4070" s="2" t="s">
        <v>62</v>
      </c>
      <c r="I4070" s="2" t="s">
        <v>9425</v>
      </c>
      <c r="J4070" s="3" t="str">
        <f>HYPERLINK("https://www.boe.es/gazeta/dias/1814/02/15/pdfs/GRE-1814-21.pdf#page=6","Abrir facsímil")</f>
        <v>Abrir facsímil</v>
      </c>
      <c r="K4070" s="3" t="s">
        <v>64</v>
      </c>
    </row>
    <row r="4071" spans="1:11" ht="42" customHeight="1">
      <c r="A4071" s="2" t="s">
        <v>9426</v>
      </c>
      <c r="B4071" s="2" t="s">
        <v>9427</v>
      </c>
      <c r="C4071" s="2" t="s">
        <v>38</v>
      </c>
      <c r="D4071" s="2" t="s">
        <v>314</v>
      </c>
      <c r="E4071" s="5">
        <v>-31296</v>
      </c>
      <c r="F4071" s="3" t="s">
        <v>315</v>
      </c>
      <c r="G4071" s="3" t="s">
        <v>20</v>
      </c>
      <c r="H4071" s="2" t="s">
        <v>62</v>
      </c>
      <c r="I4071" s="2" t="s">
        <v>9428</v>
      </c>
      <c r="J4071" s="3" t="str">
        <f>HYPERLINK("https://www.boe.es/gazeta/dias/1814/04/24/pdfs/GRE-1814-60E.pdf#page=7","Abrir facsímil")</f>
        <v>Abrir facsímil</v>
      </c>
      <c r="K4071" s="3" t="s">
        <v>64</v>
      </c>
    </row>
    <row r="4072" spans="1:11" ht="42" customHeight="1">
      <c r="A4072" s="2" t="s">
        <v>9429</v>
      </c>
      <c r="B4072" s="2" t="s">
        <v>9430</v>
      </c>
      <c r="C4072" s="2" t="s">
        <v>38</v>
      </c>
      <c r="D4072" s="2" t="s">
        <v>39</v>
      </c>
      <c r="E4072" s="5">
        <v>-31045</v>
      </c>
      <c r="F4072" s="3" t="s">
        <v>165</v>
      </c>
      <c r="G4072" s="3" t="s">
        <v>57</v>
      </c>
      <c r="H4072" s="2" t="s">
        <v>62</v>
      </c>
      <c r="I4072" s="2" t="s">
        <v>9431</v>
      </c>
      <c r="J4072" s="3" t="str">
        <f>HYPERLINK("https://www.boe.es/gazeta/dias/1814/12/31/pdfs/GMD-1814-173.pdf#page=6","Abrir facsímil")</f>
        <v>Abrir facsímil</v>
      </c>
      <c r="K4072" s="3" t="s">
        <v>64</v>
      </c>
    </row>
    <row r="4073" spans="1:11" ht="42" customHeight="1">
      <c r="A4073" s="2" t="s">
        <v>9432</v>
      </c>
      <c r="B4073" s="2" t="s">
        <v>9432</v>
      </c>
      <c r="C4073" s="2" t="s">
        <v>38</v>
      </c>
      <c r="D4073" s="2" t="s">
        <v>39</v>
      </c>
      <c r="E4073" s="5">
        <v>-31208</v>
      </c>
      <c r="F4073" s="3" t="s">
        <v>509</v>
      </c>
      <c r="G4073" s="3" t="s">
        <v>107</v>
      </c>
      <c r="H4073" s="2" t="s">
        <v>62</v>
      </c>
      <c r="I4073" s="2" t="s">
        <v>9433</v>
      </c>
      <c r="J4073" s="3" t="str">
        <f>HYPERLINK("https://www.boe.es/gazeta/dias/1814/07/21/pdfs/GMD-1814-101.pdf#page=1","Abrir facsímil")</f>
        <v>Abrir facsímil</v>
      </c>
      <c r="K4073" s="3" t="s">
        <v>64</v>
      </c>
    </row>
    <row r="4074" spans="1:11" ht="42" customHeight="1">
      <c r="A4074" s="2" t="s">
        <v>9434</v>
      </c>
      <c r="B4074" s="2" t="s">
        <v>9435</v>
      </c>
      <c r="C4074" s="2" t="s">
        <v>38</v>
      </c>
      <c r="D4074" s="2" t="s">
        <v>39</v>
      </c>
      <c r="E4074" s="5">
        <v>-31063</v>
      </c>
      <c r="F4074" s="3" t="s">
        <v>649</v>
      </c>
      <c r="G4074" s="3" t="s">
        <v>52</v>
      </c>
      <c r="H4074" s="2" t="s">
        <v>62</v>
      </c>
      <c r="I4074" s="2" t="s">
        <v>9436</v>
      </c>
      <c r="J4074" s="3" t="str">
        <f>HYPERLINK("https://www.boe.es/gazeta/dias/1814/12/13/pdfs/GMD-1814-164.pdf#page=8","Abrir facsímil")</f>
        <v>Abrir facsímil</v>
      </c>
      <c r="K4074" s="3" t="s">
        <v>64</v>
      </c>
    </row>
    <row r="4075" spans="1:11" ht="42" customHeight="1">
      <c r="A4075" s="2" t="s">
        <v>9437</v>
      </c>
      <c r="B4075" s="2" t="s">
        <v>9437</v>
      </c>
      <c r="C4075" s="2" t="s">
        <v>38</v>
      </c>
      <c r="D4075" s="2" t="s">
        <v>39</v>
      </c>
      <c r="E4075" s="5">
        <v>-31063</v>
      </c>
      <c r="F4075" s="3" t="s">
        <v>649</v>
      </c>
      <c r="G4075" s="3" t="s">
        <v>107</v>
      </c>
      <c r="H4075" s="2" t="s">
        <v>62</v>
      </c>
      <c r="I4075" s="2" t="s">
        <v>9438</v>
      </c>
      <c r="J4075" s="3" t="str">
        <f>HYPERLINK("https://www.boe.es/gazeta/dias/1814/12/13/pdfs/GMD-1814-164.pdf#page=1","Abrir facsímil")</f>
        <v>Abrir facsímil</v>
      </c>
      <c r="K4075" s="3" t="s">
        <v>64</v>
      </c>
    </row>
    <row r="4076" spans="1:11" ht="42" customHeight="1">
      <c r="A4076" s="2" t="s">
        <v>9439</v>
      </c>
      <c r="B4076" s="2" t="s">
        <v>9440</v>
      </c>
      <c r="C4076" s="2" t="s">
        <v>38</v>
      </c>
      <c r="D4076" s="2" t="s">
        <v>39</v>
      </c>
      <c r="E4076" s="5">
        <v>-31122</v>
      </c>
      <c r="F4076" s="3" t="s">
        <v>28</v>
      </c>
      <c r="G4076" s="3" t="s">
        <v>20</v>
      </c>
      <c r="H4076" s="2" t="s">
        <v>62</v>
      </c>
      <c r="I4076" s="2" t="s">
        <v>9441</v>
      </c>
      <c r="J4076" s="3" t="str">
        <f>HYPERLINK("https://www.boe.es/gazeta/dias/1814/10/15/pdfs/GMD-1814-139.pdf#page=7","Abrir facsímil")</f>
        <v>Abrir facsímil</v>
      </c>
      <c r="K4076" s="3" t="s">
        <v>64</v>
      </c>
    </row>
    <row r="4077" spans="1:11" ht="42" customHeight="1">
      <c r="A4077" s="2" t="s">
        <v>9442</v>
      </c>
      <c r="B4077" s="2" t="s">
        <v>9443</v>
      </c>
      <c r="C4077" s="2" t="s">
        <v>17</v>
      </c>
      <c r="D4077" s="2" t="s">
        <v>18</v>
      </c>
      <c r="E4077" s="5">
        <v>-31049</v>
      </c>
      <c r="F4077" s="3" t="s">
        <v>542</v>
      </c>
      <c r="G4077" s="3" t="s">
        <v>41</v>
      </c>
      <c r="H4077" s="2" t="s">
        <v>62</v>
      </c>
      <c r="I4077" s="2" t="s">
        <v>9444</v>
      </c>
      <c r="J4077" s="3" t="str">
        <f>HYPERLINK("https://www.boe.es/gazeta/dias/1814/12/27/pdfs/GMD-1814-171.pdf#page=4","Abrir facsímil")</f>
        <v>Abrir facsímil</v>
      </c>
      <c r="K4077" s="3" t="s">
        <v>64</v>
      </c>
    </row>
    <row r="4078" spans="1:11" ht="42" customHeight="1">
      <c r="A4078" s="2" t="s">
        <v>9445</v>
      </c>
      <c r="B4078" s="2" t="s">
        <v>9445</v>
      </c>
      <c r="C4078" s="2" t="s">
        <v>38</v>
      </c>
      <c r="D4078" s="2" t="s">
        <v>39</v>
      </c>
      <c r="E4078" s="5">
        <v>-31374</v>
      </c>
      <c r="F4078" s="3" t="s">
        <v>474</v>
      </c>
      <c r="G4078" s="3" t="s">
        <v>82</v>
      </c>
      <c r="H4078" s="2" t="s">
        <v>62</v>
      </c>
      <c r="I4078" s="2" t="s">
        <v>9446</v>
      </c>
      <c r="J4078" s="3" t="str">
        <f>HYPERLINK("https://www.boe.es/gazeta/dias/1814/02/05/pdfs/GRE-1814-17.pdf#page=3","Abrir facsímil")</f>
        <v>Abrir facsímil</v>
      </c>
      <c r="K4078" s="3" t="s">
        <v>64</v>
      </c>
    </row>
    <row r="4079" spans="1:11" ht="42" customHeight="1">
      <c r="A4079" s="2" t="s">
        <v>9447</v>
      </c>
      <c r="B4079" s="2" t="s">
        <v>9447</v>
      </c>
      <c r="C4079" s="2" t="s">
        <v>38</v>
      </c>
      <c r="D4079" s="2" t="s">
        <v>39</v>
      </c>
      <c r="E4079" s="5">
        <v>-31075</v>
      </c>
      <c r="F4079" s="3" t="s">
        <v>537</v>
      </c>
      <c r="G4079" s="3" t="s">
        <v>57</v>
      </c>
      <c r="H4079" s="2" t="s">
        <v>62</v>
      </c>
      <c r="I4079" s="2" t="s">
        <v>9448</v>
      </c>
      <c r="J4079" s="3" t="str">
        <f>HYPERLINK("https://www.boe.es/gazeta/dias/1814/12/01/pdfs/GMD-1814-159.pdf#page=6","Abrir facsímil")</f>
        <v>Abrir facsímil</v>
      </c>
      <c r="K4079" s="3" t="s">
        <v>64</v>
      </c>
    </row>
    <row r="4080" spans="1:11" ht="42" customHeight="1">
      <c r="A4080" s="2" t="s">
        <v>9449</v>
      </c>
      <c r="B4080" s="2" t="s">
        <v>9450</v>
      </c>
      <c r="C4080" s="2" t="s">
        <v>17</v>
      </c>
      <c r="D4080" s="2" t="s">
        <v>18</v>
      </c>
      <c r="E4080" s="5">
        <v>-31241</v>
      </c>
      <c r="F4080" s="3" t="s">
        <v>703</v>
      </c>
      <c r="G4080" s="3" t="s">
        <v>704</v>
      </c>
      <c r="H4080" s="2" t="s">
        <v>62</v>
      </c>
      <c r="I4080" s="2" t="s">
        <v>9451</v>
      </c>
      <c r="J4080" s="3" t="str">
        <f>HYPERLINK("https://www.boe.es/gazeta/dias/1814/06/18/pdfs/GMD-1814-87.pdf#page=10","Abrir facsímil")</f>
        <v>Abrir facsímil</v>
      </c>
      <c r="K4080" s="3" t="s">
        <v>64</v>
      </c>
    </row>
    <row r="4081" spans="1:11" ht="42" customHeight="1">
      <c r="A4081" s="2" t="s">
        <v>9452</v>
      </c>
      <c r="B4081" s="2" t="s">
        <v>9452</v>
      </c>
      <c r="C4081" s="2" t="s">
        <v>32</v>
      </c>
      <c r="D4081" s="2" t="s">
        <v>18</v>
      </c>
      <c r="E4081" s="5">
        <v>-31152</v>
      </c>
      <c r="F4081" s="3" t="s">
        <v>199</v>
      </c>
      <c r="G4081" s="3" t="s">
        <v>87</v>
      </c>
      <c r="H4081" s="2" t="s">
        <v>62</v>
      </c>
      <c r="I4081" s="2" t="s">
        <v>9453</v>
      </c>
      <c r="J4081" s="3" t="str">
        <f>HYPERLINK("https://www.boe.es/gazeta/dias/1814/09/15/pdfs/GMD-1814-126.pdf#page=2","Abrir facsímil")</f>
        <v>Abrir facsímil</v>
      </c>
      <c r="K4081" s="3" t="s">
        <v>64</v>
      </c>
    </row>
    <row r="4082" spans="1:11" ht="42" customHeight="1">
      <c r="A4082" s="2" t="s">
        <v>9454</v>
      </c>
      <c r="B4082" s="2" t="s">
        <v>9455</v>
      </c>
      <c r="C4082" s="2" t="s">
        <v>38</v>
      </c>
      <c r="D4082" s="2" t="s">
        <v>39</v>
      </c>
      <c r="E4082" s="5">
        <v>-31355</v>
      </c>
      <c r="F4082" s="3" t="s">
        <v>50</v>
      </c>
      <c r="G4082" s="3" t="s">
        <v>20</v>
      </c>
      <c r="H4082" s="2" t="s">
        <v>62</v>
      </c>
      <c r="I4082" s="2" t="s">
        <v>9456</v>
      </c>
      <c r="J4082" s="3" t="str">
        <f>HYPERLINK("https://www.boe.es/gazeta/dias/1814/02/24/pdfs/GRE-1814-26.pdf#page=7","Abrir facsímil")</f>
        <v>Abrir facsímil</v>
      </c>
      <c r="K4082" s="3" t="s">
        <v>64</v>
      </c>
    </row>
    <row r="4083" spans="1:11" ht="42" customHeight="1">
      <c r="A4083" s="2" t="s">
        <v>9457</v>
      </c>
      <c r="B4083" s="2" t="s">
        <v>9458</v>
      </c>
      <c r="C4083" s="2" t="s">
        <v>309</v>
      </c>
      <c r="D4083" s="2" t="s">
        <v>18</v>
      </c>
      <c r="E4083" s="5">
        <v>-31068</v>
      </c>
      <c r="F4083" s="3" t="s">
        <v>548</v>
      </c>
      <c r="G4083" s="3" t="s">
        <v>52</v>
      </c>
      <c r="H4083" s="2" t="s">
        <v>21</v>
      </c>
      <c r="I4083" s="2" t="s">
        <v>9459</v>
      </c>
      <c r="J4083" s="3" t="str">
        <f>HYPERLINK("https://www.boe.es/gazeta/dias/1814/12/08/pdfs/GMD-1814-162.pdf#page=8","Abrir facsímil")</f>
        <v>Abrir facsímil</v>
      </c>
      <c r="K4083" s="3" t="s">
        <v>23</v>
      </c>
    </row>
    <row r="4084" spans="1:11" ht="42" customHeight="1">
      <c r="A4084" s="2" t="s">
        <v>9460</v>
      </c>
      <c r="B4084" s="2" t="s">
        <v>9461</v>
      </c>
      <c r="C4084" s="2" t="s">
        <v>17</v>
      </c>
      <c r="D4084" s="2" t="s">
        <v>18</v>
      </c>
      <c r="E4084" s="5">
        <v>-31119</v>
      </c>
      <c r="F4084" s="3" t="s">
        <v>136</v>
      </c>
      <c r="G4084" s="3" t="s">
        <v>137</v>
      </c>
      <c r="H4084" s="2" t="s">
        <v>62</v>
      </c>
      <c r="I4084" s="2" t="s">
        <v>9462</v>
      </c>
      <c r="J4084" s="3" t="str">
        <f>HYPERLINK("https://www.boe.es/gazeta/dias/1814/10/18/pdfs/GMD-1814-140.pdf#page=9","Abrir facsímil")</f>
        <v>Abrir facsímil</v>
      </c>
      <c r="K4084" s="3" t="s">
        <v>64</v>
      </c>
    </row>
    <row r="4085" spans="1:11" ht="42" customHeight="1">
      <c r="A4085" s="2" t="s">
        <v>9463</v>
      </c>
      <c r="B4085" s="2" t="s">
        <v>9464</v>
      </c>
      <c r="C4085" s="2" t="s">
        <v>17</v>
      </c>
      <c r="D4085" s="2" t="s">
        <v>18</v>
      </c>
      <c r="E4085" s="5">
        <v>-31355</v>
      </c>
      <c r="F4085" s="3" t="s">
        <v>50</v>
      </c>
      <c r="G4085" s="3" t="s">
        <v>2740</v>
      </c>
      <c r="H4085" s="2" t="s">
        <v>62</v>
      </c>
      <c r="I4085" s="2" t="s">
        <v>9465</v>
      </c>
      <c r="J4085" s="3" t="str">
        <f>HYPERLINK("https://www.boe.es/gazeta/dias/1814/02/24/pdfs/GRE-1814-26.pdf#page=6","Abrir facsímil")</f>
        <v>Abrir facsímil</v>
      </c>
      <c r="K4085" s="3" t="s">
        <v>64</v>
      </c>
    </row>
    <row r="4086" spans="1:11" ht="42" customHeight="1">
      <c r="A4086" s="2" t="s">
        <v>9466</v>
      </c>
      <c r="B4086" s="2" t="s">
        <v>9467</v>
      </c>
      <c r="C4086" s="2" t="s">
        <v>17</v>
      </c>
      <c r="D4086" s="2" t="s">
        <v>18</v>
      </c>
      <c r="E4086" s="5">
        <v>-31192</v>
      </c>
      <c r="F4086" s="3" t="s">
        <v>388</v>
      </c>
      <c r="G4086" s="3" t="s">
        <v>20</v>
      </c>
      <c r="H4086" s="2" t="s">
        <v>62</v>
      </c>
      <c r="I4086" s="2" t="s">
        <v>9468</v>
      </c>
      <c r="J4086" s="3" t="str">
        <f>HYPERLINK("https://www.boe.es/gazeta/dias/1814/08/06/pdfs/GMD-1814-108.pdf#page=7","Abrir facsímil")</f>
        <v>Abrir facsímil</v>
      </c>
      <c r="K4086" s="3" t="s">
        <v>64</v>
      </c>
    </row>
    <row r="4087" spans="1:11" ht="42" customHeight="1">
      <c r="A4087" s="2" t="s">
        <v>9469</v>
      </c>
      <c r="B4087" s="2" t="s">
        <v>9469</v>
      </c>
      <c r="C4087" s="2" t="s">
        <v>26</v>
      </c>
      <c r="D4087" s="2" t="s">
        <v>27</v>
      </c>
      <c r="E4087" s="5">
        <v>-31138</v>
      </c>
      <c r="F4087" s="3" t="s">
        <v>1363</v>
      </c>
      <c r="G4087" s="3" t="s">
        <v>82</v>
      </c>
      <c r="H4087" s="2" t="s">
        <v>62</v>
      </c>
      <c r="I4087" s="2" t="s">
        <v>9470</v>
      </c>
      <c r="J4087" s="3" t="str">
        <f>HYPERLINK("https://www.boe.es/gazeta/dias/1814/09/29/pdfs/GMD-1814-132.pdf#page=3","Abrir facsímil")</f>
        <v>Abrir facsímil</v>
      </c>
      <c r="K4087" s="3" t="s">
        <v>64</v>
      </c>
    </row>
    <row r="4088" spans="1:11" ht="42" customHeight="1">
      <c r="A4088" s="2" t="s">
        <v>9471</v>
      </c>
      <c r="B4088" s="2" t="s">
        <v>9472</v>
      </c>
      <c r="C4088" s="2" t="s">
        <v>38</v>
      </c>
      <c r="D4088" s="2" t="s">
        <v>39</v>
      </c>
      <c r="E4088" s="5">
        <v>-31252</v>
      </c>
      <c r="F4088" s="3" t="s">
        <v>364</v>
      </c>
      <c r="G4088" s="3" t="s">
        <v>82</v>
      </c>
      <c r="H4088" s="2" t="s">
        <v>62</v>
      </c>
      <c r="I4088" s="2" t="s">
        <v>9473</v>
      </c>
      <c r="J4088" s="3" t="str">
        <f>HYPERLINK("https://www.boe.es/gazeta/dias/1814/06/07/pdfs/GMD-1814-82.pdf#page=3","Abrir facsímil")</f>
        <v>Abrir facsímil</v>
      </c>
      <c r="K4088" s="3" t="s">
        <v>64</v>
      </c>
    </row>
    <row r="4089" spans="1:11" ht="42" customHeight="1">
      <c r="A4089" s="2" t="s">
        <v>9474</v>
      </c>
      <c r="B4089" s="2" t="s">
        <v>9475</v>
      </c>
      <c r="C4089" s="2" t="s">
        <v>38</v>
      </c>
      <c r="D4089" s="2" t="s">
        <v>39</v>
      </c>
      <c r="E4089" s="5">
        <v>-31206</v>
      </c>
      <c r="F4089" s="3" t="s">
        <v>1196</v>
      </c>
      <c r="G4089" s="3" t="s">
        <v>41</v>
      </c>
      <c r="H4089" s="2" t="s">
        <v>62</v>
      </c>
      <c r="I4089" s="2" t="s">
        <v>9476</v>
      </c>
      <c r="J4089" s="3" t="str">
        <f>HYPERLINK("https://www.boe.es/gazeta/dias/1814/07/23/pdfs/GMD-1814-102.pdf#page=4","Abrir facsímil")</f>
        <v>Abrir facsímil</v>
      </c>
      <c r="K4089" s="3" t="s">
        <v>64</v>
      </c>
    </row>
    <row r="4090" spans="1:11" ht="42" customHeight="1">
      <c r="A4090" s="2" t="s">
        <v>9477</v>
      </c>
      <c r="B4090" s="2" t="s">
        <v>9477</v>
      </c>
      <c r="C4090" s="2" t="s">
        <v>38</v>
      </c>
      <c r="D4090" s="2" t="s">
        <v>39</v>
      </c>
      <c r="E4090" s="5">
        <v>-31364</v>
      </c>
      <c r="F4090" s="3" t="s">
        <v>594</v>
      </c>
      <c r="G4090" s="3" t="s">
        <v>82</v>
      </c>
      <c r="H4090" s="2" t="s">
        <v>62</v>
      </c>
      <c r="I4090" s="2" t="s">
        <v>9478</v>
      </c>
      <c r="J4090" s="3" t="str">
        <f>HYPERLINK("https://www.boe.es/gazeta/dias/1814/02/15/pdfs/GRE-1814-21.pdf#page=3","Abrir facsímil")</f>
        <v>Abrir facsímil</v>
      </c>
      <c r="K4090" s="3" t="s">
        <v>64</v>
      </c>
    </row>
    <row r="4091" spans="1:11" ht="42" customHeight="1">
      <c r="A4091" s="2" t="s">
        <v>9479</v>
      </c>
      <c r="B4091" s="2" t="s">
        <v>9479</v>
      </c>
      <c r="C4091" s="2" t="s">
        <v>38</v>
      </c>
      <c r="D4091" s="2" t="s">
        <v>39</v>
      </c>
      <c r="E4091" s="5">
        <v>-31259</v>
      </c>
      <c r="F4091" s="3" t="s">
        <v>853</v>
      </c>
      <c r="G4091" s="3" t="s">
        <v>41</v>
      </c>
      <c r="H4091" s="2" t="s">
        <v>62</v>
      </c>
      <c r="I4091" s="2" t="s">
        <v>9480</v>
      </c>
      <c r="J4091" s="3" t="str">
        <f>HYPERLINK("https://www.boe.es/gazeta/dias/1814/05/31/pdfs/GMD-1814-79.pdf#page=4","Abrir facsímil")</f>
        <v>Abrir facsímil</v>
      </c>
      <c r="K4091" s="3" t="s">
        <v>64</v>
      </c>
    </row>
    <row r="4092" spans="1:11" ht="42" customHeight="1">
      <c r="A4092" s="2" t="s">
        <v>9481</v>
      </c>
      <c r="B4092" s="2" t="s">
        <v>9482</v>
      </c>
      <c r="C4092" s="2" t="s">
        <v>144</v>
      </c>
      <c r="D4092" s="2" t="s">
        <v>18</v>
      </c>
      <c r="E4092" s="5">
        <v>-31264</v>
      </c>
      <c r="F4092" s="3" t="s">
        <v>396</v>
      </c>
      <c r="G4092" s="3" t="s">
        <v>57</v>
      </c>
      <c r="H4092" s="2" t="s">
        <v>62</v>
      </c>
      <c r="I4092" s="2" t="s">
        <v>9483</v>
      </c>
      <c r="J4092" s="3" t="str">
        <f>HYPERLINK("https://www.boe.es/gazeta/dias/1814/05/26/pdfs/GMD-1814-77.pdf#page=6","Abrir facsímil")</f>
        <v>Abrir facsímil</v>
      </c>
      <c r="K4092" s="3" t="s">
        <v>64</v>
      </c>
    </row>
    <row r="4093" spans="1:11" ht="42" customHeight="1">
      <c r="A4093" s="2" t="s">
        <v>9484</v>
      </c>
      <c r="B4093" s="2" t="s">
        <v>9484</v>
      </c>
      <c r="C4093" s="2" t="s">
        <v>38</v>
      </c>
      <c r="D4093" s="2" t="s">
        <v>314</v>
      </c>
      <c r="E4093" s="5">
        <v>-31296</v>
      </c>
      <c r="F4093" s="3" t="s">
        <v>315</v>
      </c>
      <c r="G4093" s="3" t="s">
        <v>99</v>
      </c>
      <c r="H4093" s="2" t="s">
        <v>62</v>
      </c>
      <c r="I4093" s="2" t="s">
        <v>9485</v>
      </c>
      <c r="J4093" s="3" t="str">
        <f>HYPERLINK("https://www.boe.es/gazeta/dias/1814/04/24/pdfs/GRE-1814-60E.pdf#page=5","Abrir facsímil")</f>
        <v>Abrir facsímil</v>
      </c>
      <c r="K4093" s="3" t="s">
        <v>64</v>
      </c>
    </row>
    <row r="4094" spans="1:11" ht="42" customHeight="1">
      <c r="A4094" s="2" t="s">
        <v>9484</v>
      </c>
      <c r="B4094" s="2" t="s">
        <v>9484</v>
      </c>
      <c r="C4094" s="2" t="s">
        <v>38</v>
      </c>
      <c r="D4094" s="2" t="s">
        <v>39</v>
      </c>
      <c r="E4094" s="5">
        <v>-31213</v>
      </c>
      <c r="F4094" s="3" t="s">
        <v>276</v>
      </c>
      <c r="G4094" s="3" t="s">
        <v>20</v>
      </c>
      <c r="H4094" s="2" t="s">
        <v>62</v>
      </c>
      <c r="I4094" s="2" t="s">
        <v>9486</v>
      </c>
      <c r="J4094" s="3" t="str">
        <f>HYPERLINK("https://www.boe.es/gazeta/dias/1814/07/16/pdfs/GMD-1814-99.pdf#page=7","Abrir facsímil")</f>
        <v>Abrir facsímil</v>
      </c>
      <c r="K4094" s="3" t="s">
        <v>64</v>
      </c>
    </row>
    <row r="4095" spans="1:11" ht="42" customHeight="1">
      <c r="A4095" s="2" t="s">
        <v>9484</v>
      </c>
      <c r="B4095" s="2" t="s">
        <v>9484</v>
      </c>
      <c r="C4095" s="2" t="s">
        <v>26</v>
      </c>
      <c r="D4095" s="2" t="s">
        <v>27</v>
      </c>
      <c r="E4095" s="5">
        <v>-31161</v>
      </c>
      <c r="F4095" s="3" t="s">
        <v>407</v>
      </c>
      <c r="G4095" s="3" t="s">
        <v>2802</v>
      </c>
      <c r="H4095" s="2" t="s">
        <v>62</v>
      </c>
      <c r="I4095" s="2" t="s">
        <v>9487</v>
      </c>
      <c r="J4095" s="3" t="str">
        <f>HYPERLINK("https://www.boe.es/gazeta/dias/1814/09/06/pdfs/GMD-1814-122.pdf#page=5","Abrir facsímil")</f>
        <v>Abrir facsímil</v>
      </c>
      <c r="K4095" s="3" t="s">
        <v>64</v>
      </c>
    </row>
    <row r="4096" spans="1:11" ht="42" customHeight="1">
      <c r="A4096" s="2" t="s">
        <v>9484</v>
      </c>
      <c r="B4096" s="2" t="s">
        <v>9484</v>
      </c>
      <c r="C4096" s="2" t="s">
        <v>38</v>
      </c>
      <c r="D4096" s="2" t="s">
        <v>39</v>
      </c>
      <c r="E4096" s="5">
        <v>-31122</v>
      </c>
      <c r="F4096" s="3" t="s">
        <v>28</v>
      </c>
      <c r="G4096" s="3" t="s">
        <v>20</v>
      </c>
      <c r="H4096" s="2" t="s">
        <v>62</v>
      </c>
      <c r="I4096" s="2" t="s">
        <v>9488</v>
      </c>
      <c r="J4096" s="3" t="str">
        <f>HYPERLINK("https://www.boe.es/gazeta/dias/1814/10/15/pdfs/GMD-1814-139.pdf#page=7","Abrir facsímil")</f>
        <v>Abrir facsímil</v>
      </c>
      <c r="K4096" s="3" t="s">
        <v>64</v>
      </c>
    </row>
    <row r="4097" spans="1:11" ht="42" customHeight="1">
      <c r="A4097" s="2" t="s">
        <v>9484</v>
      </c>
      <c r="B4097" s="2" t="s">
        <v>9484</v>
      </c>
      <c r="C4097" s="2" t="s">
        <v>45</v>
      </c>
      <c r="D4097" s="2" t="s">
        <v>18</v>
      </c>
      <c r="E4097" s="5">
        <v>-31077</v>
      </c>
      <c r="F4097" s="3" t="s">
        <v>414</v>
      </c>
      <c r="G4097" s="3" t="s">
        <v>20</v>
      </c>
      <c r="H4097" s="2" t="s">
        <v>62</v>
      </c>
      <c r="I4097" s="2" t="s">
        <v>9489</v>
      </c>
      <c r="J4097" s="3" t="str">
        <f>HYPERLINK("https://www.boe.es/gazeta/dias/1814/11/29/pdfs/GMD-1814-158.pdf#page=7","Abrir facsímil")</f>
        <v>Abrir facsímil</v>
      </c>
      <c r="K4097" s="3" t="s">
        <v>64</v>
      </c>
    </row>
    <row r="4098" spans="1:11" ht="42" customHeight="1">
      <c r="A4098" s="2" t="s">
        <v>9490</v>
      </c>
      <c r="B4098" s="2" t="s">
        <v>9491</v>
      </c>
      <c r="C4098" s="2" t="s">
        <v>26</v>
      </c>
      <c r="D4098" s="2" t="s">
        <v>27</v>
      </c>
      <c r="E4098" s="5">
        <v>-31124</v>
      </c>
      <c r="F4098" s="3" t="s">
        <v>383</v>
      </c>
      <c r="G4098" s="3" t="s">
        <v>384</v>
      </c>
      <c r="H4098" s="2" t="s">
        <v>21</v>
      </c>
      <c r="I4098" s="2" t="s">
        <v>9492</v>
      </c>
      <c r="J4098" s="3" t="str">
        <f>HYPERLINK("https://www.boe.es/gazeta/dias/1814/10/13/pdfs/GMD-1814-138.pdf#page=11","Abrir facsímil")</f>
        <v>Abrir facsímil</v>
      </c>
      <c r="K4098" s="3" t="s">
        <v>23</v>
      </c>
    </row>
    <row r="4099" spans="1:11" ht="42" customHeight="1">
      <c r="A4099" s="2" t="s">
        <v>9493</v>
      </c>
      <c r="B4099" s="2" t="s">
        <v>9494</v>
      </c>
      <c r="C4099" s="2" t="s">
        <v>26</v>
      </c>
      <c r="D4099" s="2" t="s">
        <v>27</v>
      </c>
      <c r="E4099" s="5">
        <v>-31159</v>
      </c>
      <c r="F4099" s="3" t="s">
        <v>1175</v>
      </c>
      <c r="G4099" s="3" t="s">
        <v>20</v>
      </c>
      <c r="H4099" s="2" t="s">
        <v>62</v>
      </c>
      <c r="I4099" s="2" t="s">
        <v>9495</v>
      </c>
      <c r="J4099" s="3" t="str">
        <f>HYPERLINK("https://www.boe.es/gazeta/dias/1814/09/08/pdfs/GMD-1814-123.pdf#page=7","Abrir facsímil")</f>
        <v>Abrir facsímil</v>
      </c>
      <c r="K4099" s="3" t="s">
        <v>64</v>
      </c>
    </row>
    <row r="4100" spans="1:11" ht="42" customHeight="1">
      <c r="A4100" s="2" t="s">
        <v>9496</v>
      </c>
      <c r="B4100" s="2" t="s">
        <v>9497</v>
      </c>
      <c r="C4100" s="2" t="s">
        <v>26</v>
      </c>
      <c r="D4100" s="2" t="s">
        <v>27</v>
      </c>
      <c r="E4100" s="5">
        <v>-31168</v>
      </c>
      <c r="F4100" s="3" t="s">
        <v>893</v>
      </c>
      <c r="G4100" s="3" t="s">
        <v>82</v>
      </c>
      <c r="H4100" s="2" t="s">
        <v>21</v>
      </c>
      <c r="I4100" s="2" t="s">
        <v>9498</v>
      </c>
      <c r="J4100" s="3" t="str">
        <f>HYPERLINK("https://www.boe.es/gazeta/dias/1814/08/30/pdfs/GMD-1814-118.pdf#page=3","Abrir facsímil")</f>
        <v>Abrir facsímil</v>
      </c>
      <c r="K4100" s="3" t="s">
        <v>23</v>
      </c>
    </row>
    <row r="4101" spans="1:11" ht="42" customHeight="1">
      <c r="A4101" s="2" t="s">
        <v>9499</v>
      </c>
      <c r="B4101" s="2" t="s">
        <v>9500</v>
      </c>
      <c r="C4101" s="2" t="s">
        <v>38</v>
      </c>
      <c r="D4101" s="2" t="s">
        <v>39</v>
      </c>
      <c r="E4101" s="5">
        <v>-31346</v>
      </c>
      <c r="F4101" s="3" t="s">
        <v>78</v>
      </c>
      <c r="G4101" s="3" t="s">
        <v>52</v>
      </c>
      <c r="H4101" s="2" t="s">
        <v>62</v>
      </c>
      <c r="I4101" s="2" t="s">
        <v>9501</v>
      </c>
      <c r="J4101" s="3" t="str">
        <f>HYPERLINK("https://www.boe.es/gazeta/dias/1814/03/05/pdfs/GRE-1814-30.pdf#page=8","Abrir facsímil")</f>
        <v>Abrir facsímil</v>
      </c>
      <c r="K4101" s="3" t="s">
        <v>64</v>
      </c>
    </row>
    <row r="4102" spans="1:11" ht="42" customHeight="1">
      <c r="A4102" s="2" t="s">
        <v>9502</v>
      </c>
      <c r="B4102" s="2" t="s">
        <v>9503</v>
      </c>
      <c r="C4102" s="2" t="s">
        <v>26</v>
      </c>
      <c r="D4102" s="2" t="s">
        <v>27</v>
      </c>
      <c r="E4102" s="5">
        <v>-31154</v>
      </c>
      <c r="F4102" s="3" t="s">
        <v>688</v>
      </c>
      <c r="G4102" s="3" t="s">
        <v>831</v>
      </c>
      <c r="H4102" s="2" t="s">
        <v>62</v>
      </c>
      <c r="I4102" s="2" t="s">
        <v>9504</v>
      </c>
      <c r="J4102" s="3" t="str">
        <f>HYPERLINK("https://www.boe.es/gazeta/dias/1814/09/13/pdfs/GMD-1814-125.pdf#page=3","Abrir facsímil")</f>
        <v>Abrir facsímil</v>
      </c>
      <c r="K4102" s="3" t="s">
        <v>64</v>
      </c>
    </row>
    <row r="4103" spans="1:11" ht="42" customHeight="1">
      <c r="A4103" s="2" t="s">
        <v>9505</v>
      </c>
      <c r="B4103" s="2" t="s">
        <v>9505</v>
      </c>
      <c r="C4103" s="2" t="s">
        <v>26</v>
      </c>
      <c r="D4103" s="2" t="s">
        <v>27</v>
      </c>
      <c r="E4103" s="5">
        <v>-31103</v>
      </c>
      <c r="F4103" s="3" t="s">
        <v>1260</v>
      </c>
      <c r="G4103" s="3" t="s">
        <v>99</v>
      </c>
      <c r="H4103" s="2" t="s">
        <v>62</v>
      </c>
      <c r="I4103" s="2" t="s">
        <v>9506</v>
      </c>
      <c r="J4103" s="3" t="str">
        <f>HYPERLINK("https://www.boe.es/gazeta/dias/1814/11/03/pdfs/GMD-1814-147.pdf#page=5","Abrir facsímil")</f>
        <v>Abrir facsímil</v>
      </c>
      <c r="K4103" s="3" t="s">
        <v>64</v>
      </c>
    </row>
    <row r="4104" spans="1:11" ht="42" customHeight="1">
      <c r="A4104" s="2" t="s">
        <v>9507</v>
      </c>
      <c r="B4104" s="2" t="s">
        <v>9508</v>
      </c>
      <c r="C4104" s="2" t="s">
        <v>26</v>
      </c>
      <c r="D4104" s="2" t="s">
        <v>27</v>
      </c>
      <c r="E4104" s="5">
        <v>-31059</v>
      </c>
      <c r="F4104" s="3" t="s">
        <v>263</v>
      </c>
      <c r="G4104" s="3" t="s">
        <v>264</v>
      </c>
      <c r="H4104" s="2" t="s">
        <v>62</v>
      </c>
      <c r="I4104" s="2" t="s">
        <v>9509</v>
      </c>
      <c r="J4104" s="3" t="str">
        <f>HYPERLINK("https://www.boe.es/gazeta/dias/1814/12/17/pdfs/GMD-1814-167.pdf#page=7","Abrir facsímil")</f>
        <v>Abrir facsímil</v>
      </c>
      <c r="K4104" s="3" t="s">
        <v>64</v>
      </c>
    </row>
    <row r="4105" spans="1:11" ht="42" customHeight="1">
      <c r="A4105" s="2" t="s">
        <v>9510</v>
      </c>
      <c r="B4105" s="2" t="s">
        <v>9510</v>
      </c>
      <c r="C4105" s="2" t="s">
        <v>38</v>
      </c>
      <c r="D4105" s="2" t="s">
        <v>39</v>
      </c>
      <c r="E4105" s="5">
        <v>-31369</v>
      </c>
      <c r="F4105" s="3" t="s">
        <v>695</v>
      </c>
      <c r="G4105" s="3" t="s">
        <v>99</v>
      </c>
      <c r="H4105" s="2" t="s">
        <v>62</v>
      </c>
      <c r="I4105" s="2" t="s">
        <v>9511</v>
      </c>
      <c r="J4105" s="3" t="str">
        <f>HYPERLINK("https://www.boe.es/gazeta/dias/1814/02/10/pdfs/GRE-1814-19.pdf#page=5","Abrir facsímil")</f>
        <v>Abrir facsímil</v>
      </c>
      <c r="K4105" s="3" t="s">
        <v>64</v>
      </c>
    </row>
    <row r="4106" spans="1:11" ht="42" customHeight="1">
      <c r="A4106" s="2" t="s">
        <v>9512</v>
      </c>
      <c r="B4106" s="2" t="s">
        <v>9513</v>
      </c>
      <c r="C4106" s="2" t="s">
        <v>17</v>
      </c>
      <c r="D4106" s="2" t="s">
        <v>18</v>
      </c>
      <c r="E4106" s="5">
        <v>-31364</v>
      </c>
      <c r="F4106" s="3" t="s">
        <v>594</v>
      </c>
      <c r="G4106" s="3" t="s">
        <v>107</v>
      </c>
      <c r="H4106" s="2" t="s">
        <v>62</v>
      </c>
      <c r="I4106" s="2" t="s">
        <v>9514</v>
      </c>
      <c r="J4106" s="3" t="str">
        <f>HYPERLINK("https://www.boe.es/gazeta/dias/1814/02/15/pdfs/GRE-1814-21.pdf#page=1","Abrir facsímil")</f>
        <v>Abrir facsímil</v>
      </c>
      <c r="K4106" s="3" t="s">
        <v>64</v>
      </c>
    </row>
    <row r="4107" spans="1:11" ht="42" customHeight="1">
      <c r="A4107" s="2" t="s">
        <v>9515</v>
      </c>
      <c r="B4107" s="2" t="s">
        <v>9516</v>
      </c>
      <c r="C4107" s="2" t="s">
        <v>45</v>
      </c>
      <c r="D4107" s="2" t="s">
        <v>18</v>
      </c>
      <c r="E4107" s="5">
        <v>-31117</v>
      </c>
      <c r="F4107" s="3" t="s">
        <v>172</v>
      </c>
      <c r="G4107" s="3" t="s">
        <v>392</v>
      </c>
      <c r="H4107" s="2" t="s">
        <v>62</v>
      </c>
      <c r="I4107" s="2" t="s">
        <v>9517</v>
      </c>
      <c r="J4107" s="3" t="str">
        <f>HYPERLINK("https://www.boe.es/gazeta/dias/1814/10/20/pdfs/GMD-1814-141.pdf#page=8","Abrir facsímil")</f>
        <v>Abrir facsímil</v>
      </c>
      <c r="K4107" s="3" t="s">
        <v>64</v>
      </c>
    </row>
    <row r="4108" spans="1:11" ht="42" customHeight="1">
      <c r="A4108" s="2" t="s">
        <v>9518</v>
      </c>
      <c r="B4108" s="2" t="s">
        <v>9519</v>
      </c>
      <c r="C4108" s="2" t="s">
        <v>26</v>
      </c>
      <c r="D4108" s="2" t="s">
        <v>27</v>
      </c>
      <c r="E4108" s="5">
        <v>-31096</v>
      </c>
      <c r="F4108" s="3" t="s">
        <v>223</v>
      </c>
      <c r="G4108" s="3" t="s">
        <v>972</v>
      </c>
      <c r="H4108" s="2" t="s">
        <v>62</v>
      </c>
      <c r="I4108" s="2" t="s">
        <v>9520</v>
      </c>
      <c r="J4108" s="3" t="str">
        <f>HYPERLINK("https://www.boe.es/gazeta/dias/1814/11/10/pdfs/GMD-1814-150.pdf#page=8","Abrir facsímil")</f>
        <v>Abrir facsímil</v>
      </c>
      <c r="K4108" s="3" t="s">
        <v>64</v>
      </c>
    </row>
    <row r="4109" spans="1:11" ht="42" customHeight="1">
      <c r="A4109" s="2" t="s">
        <v>9521</v>
      </c>
      <c r="B4109" s="2" t="s">
        <v>9522</v>
      </c>
      <c r="C4109" s="2" t="s">
        <v>38</v>
      </c>
      <c r="D4109" s="2" t="s">
        <v>39</v>
      </c>
      <c r="E4109" s="5">
        <v>-31374</v>
      </c>
      <c r="F4109" s="3" t="s">
        <v>474</v>
      </c>
      <c r="G4109" s="3" t="s">
        <v>99</v>
      </c>
      <c r="H4109" s="2" t="s">
        <v>62</v>
      </c>
      <c r="I4109" s="2" t="s">
        <v>9523</v>
      </c>
      <c r="J4109" s="3" t="str">
        <f>HYPERLINK("https://www.boe.es/gazeta/dias/1814/02/05/pdfs/GRE-1814-17.pdf#page=5","Abrir facsímil")</f>
        <v>Abrir facsímil</v>
      </c>
      <c r="K4109" s="3" t="s">
        <v>64</v>
      </c>
    </row>
    <row r="4110" spans="1:11" ht="42" customHeight="1">
      <c r="A4110" s="2" t="s">
        <v>9524</v>
      </c>
      <c r="B4110" s="2" t="s">
        <v>9525</v>
      </c>
      <c r="C4110" s="2" t="s">
        <v>38</v>
      </c>
      <c r="D4110" s="2" t="s">
        <v>39</v>
      </c>
      <c r="E4110" s="5">
        <v>-31325</v>
      </c>
      <c r="F4110" s="3" t="s">
        <v>67</v>
      </c>
      <c r="G4110" s="3" t="s">
        <v>57</v>
      </c>
      <c r="H4110" s="2" t="s">
        <v>62</v>
      </c>
      <c r="I4110" s="2" t="s">
        <v>9526</v>
      </c>
      <c r="J4110" s="3" t="str">
        <f>HYPERLINK("https://www.boe.es/gazeta/dias/1814/03/26/pdfs/GRE-1814-43.pdf#page=6","Abrir facsímil")</f>
        <v>Abrir facsímil</v>
      </c>
      <c r="K4110" s="3" t="s">
        <v>64</v>
      </c>
    </row>
    <row r="4111" spans="1:11" ht="42" customHeight="1">
      <c r="A4111" s="2" t="s">
        <v>9527</v>
      </c>
      <c r="B4111" s="2" t="s">
        <v>9528</v>
      </c>
      <c r="C4111" s="2" t="s">
        <v>17</v>
      </c>
      <c r="D4111" s="2" t="s">
        <v>18</v>
      </c>
      <c r="E4111" s="5">
        <v>-31353</v>
      </c>
      <c r="F4111" s="3" t="s">
        <v>247</v>
      </c>
      <c r="G4111" s="3" t="s">
        <v>248</v>
      </c>
      <c r="H4111" s="2" t="s">
        <v>62</v>
      </c>
      <c r="I4111" s="2" t="s">
        <v>9529</v>
      </c>
      <c r="J4111" s="3" t="str">
        <f>HYPERLINK("https://www.boe.es/gazeta/dias/1814/02/26/pdfs/GRE-1814-27.pdf#page=5","Abrir facsímil")</f>
        <v>Abrir facsímil</v>
      </c>
      <c r="K4111" s="3" t="s">
        <v>64</v>
      </c>
    </row>
    <row r="4112" spans="1:11" ht="42" customHeight="1">
      <c r="A4112" s="2" t="s">
        <v>9530</v>
      </c>
      <c r="B4112" s="2" t="s">
        <v>9531</v>
      </c>
      <c r="C4112" s="2" t="s">
        <v>38</v>
      </c>
      <c r="D4112" s="2" t="s">
        <v>39</v>
      </c>
      <c r="E4112" s="5">
        <v>-31119</v>
      </c>
      <c r="F4112" s="3" t="s">
        <v>136</v>
      </c>
      <c r="G4112" s="3" t="s">
        <v>704</v>
      </c>
      <c r="H4112" s="2" t="s">
        <v>62</v>
      </c>
      <c r="I4112" s="2" t="s">
        <v>9532</v>
      </c>
      <c r="J4112" s="3" t="str">
        <f>HYPERLINK("https://www.boe.es/gazeta/dias/1814/10/18/pdfs/GMD-1814-140.pdf#page=10","Abrir facsímil")</f>
        <v>Abrir facsímil</v>
      </c>
      <c r="K4112" s="3" t="s">
        <v>64</v>
      </c>
    </row>
    <row r="4113" spans="1:11" ht="42" customHeight="1">
      <c r="A4113" s="2" t="s">
        <v>9533</v>
      </c>
      <c r="B4113" s="2" t="s">
        <v>9534</v>
      </c>
      <c r="C4113" s="2" t="s">
        <v>38</v>
      </c>
      <c r="D4113" s="2" t="s">
        <v>39</v>
      </c>
      <c r="E4113" s="5">
        <v>-31208</v>
      </c>
      <c r="F4113" s="3" t="s">
        <v>509</v>
      </c>
      <c r="G4113" s="3" t="s">
        <v>3455</v>
      </c>
      <c r="H4113" s="2" t="s">
        <v>21</v>
      </c>
      <c r="I4113" s="2" t="s">
        <v>9535</v>
      </c>
      <c r="J4113" s="3" t="str">
        <f>HYPERLINK("https://www.boe.es/gazeta/dias/1814/07/21/pdfs/GMD-1814-101.pdf#page=8","Abrir facsímil")</f>
        <v>Abrir facsímil</v>
      </c>
      <c r="K4113" s="3" t="s">
        <v>23</v>
      </c>
    </row>
    <row r="4114" spans="1:11" ht="42" customHeight="1">
      <c r="A4114" s="2" t="s">
        <v>9536</v>
      </c>
      <c r="B4114" s="2" t="s">
        <v>9537</v>
      </c>
      <c r="C4114" s="2" t="s">
        <v>32</v>
      </c>
      <c r="D4114" s="2" t="s">
        <v>18</v>
      </c>
      <c r="E4114" s="5">
        <v>-31355</v>
      </c>
      <c r="F4114" s="3" t="s">
        <v>50</v>
      </c>
      <c r="G4114" s="3" t="s">
        <v>2740</v>
      </c>
      <c r="H4114" s="2" t="s">
        <v>62</v>
      </c>
      <c r="I4114" s="2" t="s">
        <v>9538</v>
      </c>
      <c r="J4114" s="3" t="str">
        <f>HYPERLINK("https://www.boe.es/gazeta/dias/1814/02/24/pdfs/GRE-1814-26.pdf#page=6","Abrir facsímil")</f>
        <v>Abrir facsímil</v>
      </c>
      <c r="K4114" s="3" t="s">
        <v>64</v>
      </c>
    </row>
    <row r="4115" spans="1:11" ht="42" customHeight="1">
      <c r="A4115" s="2" t="s">
        <v>9539</v>
      </c>
      <c r="B4115" s="2" t="s">
        <v>9539</v>
      </c>
      <c r="C4115" s="2" t="s">
        <v>38</v>
      </c>
      <c r="D4115" s="2" t="s">
        <v>314</v>
      </c>
      <c r="E4115" s="5">
        <v>-31341</v>
      </c>
      <c r="F4115" s="3" t="s">
        <v>354</v>
      </c>
      <c r="G4115" s="3" t="s">
        <v>1841</v>
      </c>
      <c r="H4115" s="2" t="s">
        <v>62</v>
      </c>
      <c r="I4115" s="2" t="s">
        <v>9540</v>
      </c>
      <c r="J4115" s="3" t="str">
        <f>HYPERLINK("https://www.boe.es/gazeta/dias/1814/03/10/pdfs/GRE-1814-34E.pdf#page=4","Abrir facsímil")</f>
        <v>Abrir facsímil</v>
      </c>
      <c r="K4115" s="3" t="s">
        <v>64</v>
      </c>
    </row>
    <row r="4116" spans="1:11" ht="42" customHeight="1">
      <c r="A4116" s="2" t="s">
        <v>9541</v>
      </c>
      <c r="B4116" s="2" t="s">
        <v>9542</v>
      </c>
      <c r="C4116" s="2" t="s">
        <v>38</v>
      </c>
      <c r="D4116" s="2" t="s">
        <v>39</v>
      </c>
      <c r="E4116" s="5">
        <v>-31243</v>
      </c>
      <c r="F4116" s="3" t="s">
        <v>500</v>
      </c>
      <c r="G4116" s="3" t="s">
        <v>57</v>
      </c>
      <c r="H4116" s="2" t="s">
        <v>62</v>
      </c>
      <c r="I4116" s="2" t="s">
        <v>9543</v>
      </c>
      <c r="J4116" s="3" t="str">
        <f>HYPERLINK("https://www.boe.es/gazeta/dias/1814/06/16/pdfs/GMD-1814-86.pdf#page=6","Abrir facsímil")</f>
        <v>Abrir facsímil</v>
      </c>
      <c r="K4116" s="3" t="s">
        <v>64</v>
      </c>
    </row>
    <row r="4117" spans="1:11" ht="42" customHeight="1">
      <c r="A4117" s="2" t="s">
        <v>9544</v>
      </c>
      <c r="B4117" s="2" t="s">
        <v>9545</v>
      </c>
      <c r="C4117" s="2" t="s">
        <v>45</v>
      </c>
      <c r="D4117" s="2" t="s">
        <v>18</v>
      </c>
      <c r="E4117" s="5">
        <v>-31189</v>
      </c>
      <c r="F4117" s="3" t="s">
        <v>379</v>
      </c>
      <c r="G4117" s="3" t="s">
        <v>52</v>
      </c>
      <c r="H4117" s="2" t="s">
        <v>62</v>
      </c>
      <c r="I4117" s="2" t="s">
        <v>9546</v>
      </c>
      <c r="J4117" s="3" t="str">
        <f>HYPERLINK("https://www.boe.es/gazeta/dias/1814/08/09/pdfs/GMD-1814-109.pdf#page=8","Abrir facsímil")</f>
        <v>Abrir facsímil</v>
      </c>
      <c r="K4117" s="3" t="s">
        <v>64</v>
      </c>
    </row>
    <row r="4118" spans="1:11" ht="42" customHeight="1">
      <c r="A4118" s="2" t="s">
        <v>9547</v>
      </c>
      <c r="B4118" s="2" t="s">
        <v>9548</v>
      </c>
      <c r="C4118" s="2" t="s">
        <v>26</v>
      </c>
      <c r="D4118" s="2" t="s">
        <v>27</v>
      </c>
      <c r="E4118" s="5">
        <v>-31115</v>
      </c>
      <c r="F4118" s="3" t="s">
        <v>805</v>
      </c>
      <c r="G4118" s="3" t="s">
        <v>99</v>
      </c>
      <c r="H4118" s="2" t="s">
        <v>62</v>
      </c>
      <c r="I4118" s="2" t="s">
        <v>9549</v>
      </c>
      <c r="J4118" s="3" t="str">
        <f>HYPERLINK("https://www.boe.es/gazeta/dias/1814/10/22/pdfs/GMD-1814-142.pdf#page=5","Abrir facsímil")</f>
        <v>Abrir facsímil</v>
      </c>
      <c r="K4118" s="3" t="s">
        <v>64</v>
      </c>
    </row>
    <row r="4119" spans="1:11" ht="42" customHeight="1">
      <c r="A4119" s="2" t="s">
        <v>9550</v>
      </c>
      <c r="B4119" s="2" t="s">
        <v>9550</v>
      </c>
      <c r="C4119" s="2" t="s">
        <v>38</v>
      </c>
      <c r="D4119" s="2" t="s">
        <v>39</v>
      </c>
      <c r="E4119" s="5">
        <v>-31339</v>
      </c>
      <c r="F4119" s="3" t="s">
        <v>641</v>
      </c>
      <c r="G4119" s="3" t="s">
        <v>99</v>
      </c>
      <c r="H4119" s="2" t="s">
        <v>62</v>
      </c>
      <c r="I4119" s="2" t="s">
        <v>9551</v>
      </c>
      <c r="J4119" s="3" t="str">
        <f>HYPERLINK("https://www.boe.es/gazeta/dias/1814/03/12/pdfs/GRE-1814-35.pdf#page=5","Abrir facsímil")</f>
        <v>Abrir facsímil</v>
      </c>
      <c r="K4119" s="3" t="s">
        <v>64</v>
      </c>
    </row>
    <row r="4120" spans="1:11" ht="42" customHeight="1">
      <c r="A4120" s="2" t="s">
        <v>9550</v>
      </c>
      <c r="B4120" s="2" t="s">
        <v>9550</v>
      </c>
      <c r="C4120" s="2" t="s">
        <v>38</v>
      </c>
      <c r="D4120" s="2" t="s">
        <v>39</v>
      </c>
      <c r="E4120" s="5">
        <v>-31332</v>
      </c>
      <c r="F4120" s="3" t="s">
        <v>343</v>
      </c>
      <c r="G4120" s="3" t="s">
        <v>82</v>
      </c>
      <c r="H4120" s="2" t="s">
        <v>62</v>
      </c>
      <c r="I4120" s="2" t="s">
        <v>9552</v>
      </c>
      <c r="J4120" s="3" t="str">
        <f>HYPERLINK("https://www.boe.es/gazeta/dias/1814/03/19/pdfs/GRE-1814-38.pdf#page=3","Abrir facsímil")</f>
        <v>Abrir facsímil</v>
      </c>
      <c r="K4120" s="3" t="s">
        <v>64</v>
      </c>
    </row>
    <row r="4121" spans="1:11" ht="42" customHeight="1">
      <c r="A4121" s="2" t="s">
        <v>9553</v>
      </c>
      <c r="B4121" s="2" t="s">
        <v>9554</v>
      </c>
      <c r="C4121" s="2" t="s">
        <v>45</v>
      </c>
      <c r="D4121" s="2" t="s">
        <v>18</v>
      </c>
      <c r="E4121" s="5">
        <v>-31131</v>
      </c>
      <c r="F4121" s="3" t="s">
        <v>132</v>
      </c>
      <c r="G4121" s="3" t="s">
        <v>20</v>
      </c>
      <c r="H4121" s="2" t="s">
        <v>62</v>
      </c>
      <c r="I4121" s="2" t="s">
        <v>9555</v>
      </c>
      <c r="J4121" s="3" t="str">
        <f>HYPERLINK("https://www.boe.es/gazeta/dias/1814/10/06/pdfs/GMD-1814-135.pdf#page=7","Abrir facsímil")</f>
        <v>Abrir facsímil</v>
      </c>
      <c r="K4121" s="3" t="s">
        <v>64</v>
      </c>
    </row>
    <row r="4122" spans="1:11" ht="42" customHeight="1">
      <c r="A4122" s="2" t="s">
        <v>9556</v>
      </c>
      <c r="B4122" s="2" t="s">
        <v>9557</v>
      </c>
      <c r="C4122" s="2" t="s">
        <v>38</v>
      </c>
      <c r="D4122" s="2" t="s">
        <v>39</v>
      </c>
      <c r="E4122" s="5">
        <v>-31259</v>
      </c>
      <c r="F4122" s="3" t="s">
        <v>853</v>
      </c>
      <c r="G4122" s="3" t="s">
        <v>20</v>
      </c>
      <c r="H4122" s="2" t="s">
        <v>62</v>
      </c>
      <c r="I4122" s="2" t="s">
        <v>9558</v>
      </c>
      <c r="J4122" s="3" t="str">
        <f>HYPERLINK("https://www.boe.es/gazeta/dias/1814/05/31/pdfs/GMD-1814-79.pdf#page=7","Abrir facsímil")</f>
        <v>Abrir facsímil</v>
      </c>
      <c r="K4122" s="3" t="s">
        <v>64</v>
      </c>
    </row>
    <row r="4123" spans="1:11" ht="42" customHeight="1">
      <c r="A4123" s="2" t="s">
        <v>9559</v>
      </c>
      <c r="B4123" s="2" t="s">
        <v>9560</v>
      </c>
      <c r="C4123" s="2" t="s">
        <v>17</v>
      </c>
      <c r="D4123" s="2" t="s">
        <v>18</v>
      </c>
      <c r="E4123" s="5">
        <v>-31355</v>
      </c>
      <c r="F4123" s="3" t="s">
        <v>50</v>
      </c>
      <c r="G4123" s="3" t="s">
        <v>20</v>
      </c>
      <c r="H4123" s="2" t="s">
        <v>62</v>
      </c>
      <c r="I4123" s="2" t="s">
        <v>9561</v>
      </c>
      <c r="J4123" s="3" t="str">
        <f>HYPERLINK("https://www.boe.es/gazeta/dias/1814/02/24/pdfs/GRE-1814-26.pdf#page=7","Abrir facsímil")</f>
        <v>Abrir facsímil</v>
      </c>
      <c r="K4123" s="3" t="s">
        <v>64</v>
      </c>
    </row>
    <row r="4124" spans="1:11" ht="42" customHeight="1">
      <c r="A4124" s="2" t="s">
        <v>9562</v>
      </c>
      <c r="B4124" s="2" t="s">
        <v>9563</v>
      </c>
      <c r="C4124" s="2" t="s">
        <v>144</v>
      </c>
      <c r="D4124" s="2" t="s">
        <v>18</v>
      </c>
      <c r="E4124" s="5">
        <v>-31122</v>
      </c>
      <c r="F4124" s="3" t="s">
        <v>28</v>
      </c>
      <c r="G4124" s="3" t="s">
        <v>1665</v>
      </c>
      <c r="H4124" s="2" t="s">
        <v>21</v>
      </c>
      <c r="I4124" s="2" t="s">
        <v>9564</v>
      </c>
      <c r="J4124" s="3" t="str">
        <f>HYPERLINK("https://www.boe.es/gazeta/dias/1814/10/15/pdfs/GMD-1814-139.pdf#page=4","Abrir facsímil")</f>
        <v>Abrir facsímil</v>
      </c>
      <c r="K4124" s="3" t="s">
        <v>23</v>
      </c>
    </row>
    <row r="4125" spans="1:11" ht="42" customHeight="1">
      <c r="A4125" s="2" t="s">
        <v>9565</v>
      </c>
      <c r="B4125" s="2" t="s">
        <v>9566</v>
      </c>
      <c r="C4125" s="2" t="s">
        <v>105</v>
      </c>
      <c r="D4125" s="2" t="s">
        <v>18</v>
      </c>
      <c r="E4125" s="5">
        <v>-31187</v>
      </c>
      <c r="F4125" s="3" t="s">
        <v>518</v>
      </c>
      <c r="G4125" s="3" t="s">
        <v>52</v>
      </c>
      <c r="H4125" s="2" t="s">
        <v>62</v>
      </c>
      <c r="I4125" s="2" t="s">
        <v>9567</v>
      </c>
      <c r="J4125" s="3" t="str">
        <f>HYPERLINK("https://www.boe.es/gazeta/dias/1814/08/11/pdfs/GMD-1814-110.pdf#page=8","Abrir facsímil")</f>
        <v>Abrir facsímil</v>
      </c>
      <c r="K4125" s="3" t="s">
        <v>64</v>
      </c>
    </row>
    <row r="4126" spans="1:11" ht="42" customHeight="1">
      <c r="A4126" s="2" t="s">
        <v>9568</v>
      </c>
      <c r="B4126" s="2" t="s">
        <v>9569</v>
      </c>
      <c r="C4126" s="2" t="s">
        <v>144</v>
      </c>
      <c r="D4126" s="2" t="s">
        <v>18</v>
      </c>
      <c r="E4126" s="5">
        <v>-31080</v>
      </c>
      <c r="F4126" s="3" t="s">
        <v>286</v>
      </c>
      <c r="G4126" s="3" t="s">
        <v>1031</v>
      </c>
      <c r="H4126" s="2" t="s">
        <v>62</v>
      </c>
      <c r="I4126" s="2" t="s">
        <v>9570</v>
      </c>
      <c r="J4126" s="3" t="str">
        <f>HYPERLINK("https://www.boe.es/gazeta/dias/1814/11/26/pdfs/GMD-1814-157.pdf#page=8","Abrir facsímil")</f>
        <v>Abrir facsímil</v>
      </c>
      <c r="K4126" s="3" t="s">
        <v>64</v>
      </c>
    </row>
    <row r="4127" spans="1:11" ht="42" customHeight="1">
      <c r="A4127" s="2" t="s">
        <v>9571</v>
      </c>
      <c r="B4127" s="2" t="s">
        <v>9572</v>
      </c>
      <c r="C4127" s="2" t="s">
        <v>26</v>
      </c>
      <c r="D4127" s="2" t="s">
        <v>27</v>
      </c>
      <c r="E4127" s="5">
        <v>-31392</v>
      </c>
      <c r="F4127" s="3" t="s">
        <v>195</v>
      </c>
      <c r="G4127" s="3" t="s">
        <v>758</v>
      </c>
      <c r="H4127" s="2" t="s">
        <v>62</v>
      </c>
      <c r="I4127" s="2" t="s">
        <v>9573</v>
      </c>
      <c r="J4127" s="3" t="str">
        <f>HYPERLINK("https://www.boe.es/gazeta/dias/1814/01/18/pdfs/GRE-1814-9.pdf#page=8","Abrir facsímil")</f>
        <v>Abrir facsímil</v>
      </c>
      <c r="K4127" s="3" t="s">
        <v>64</v>
      </c>
    </row>
    <row r="4128" spans="1:11" ht="42" customHeight="1">
      <c r="A4128" s="2" t="s">
        <v>9571</v>
      </c>
      <c r="B4128" s="2" t="s">
        <v>9572</v>
      </c>
      <c r="C4128" s="2" t="s">
        <v>26</v>
      </c>
      <c r="D4128" s="2" t="s">
        <v>27</v>
      </c>
      <c r="E4128" s="5">
        <v>-31360</v>
      </c>
      <c r="F4128" s="3" t="s">
        <v>480</v>
      </c>
      <c r="G4128" s="3" t="s">
        <v>52</v>
      </c>
      <c r="H4128" s="2" t="s">
        <v>62</v>
      </c>
      <c r="I4128" s="2" t="s">
        <v>9574</v>
      </c>
      <c r="J4128" s="3" t="str">
        <f>HYPERLINK("https://www.boe.es/gazeta/dias/1814/02/19/pdfs/GRE-1814-23.pdf#page=8","Abrir facsímil")</f>
        <v>Abrir facsímil</v>
      </c>
      <c r="K4128" s="3" t="s">
        <v>64</v>
      </c>
    </row>
    <row r="4129" spans="1:11" ht="42" customHeight="1">
      <c r="A4129" s="2" t="s">
        <v>9571</v>
      </c>
      <c r="B4129" s="2" t="s">
        <v>9572</v>
      </c>
      <c r="C4129" s="2" t="s">
        <v>26</v>
      </c>
      <c r="D4129" s="2" t="s">
        <v>27</v>
      </c>
      <c r="E4129" s="5">
        <v>-31315</v>
      </c>
      <c r="F4129" s="3" t="s">
        <v>645</v>
      </c>
      <c r="G4129" s="3" t="s">
        <v>82</v>
      </c>
      <c r="H4129" s="2" t="s">
        <v>62</v>
      </c>
      <c r="I4129" s="2" t="s">
        <v>9575</v>
      </c>
      <c r="J4129" s="3" t="str">
        <f>HYPERLINK("https://www.boe.es/gazeta/dias/1814/04/05/pdfs/GRE-1814-49.pdf#page=3","Abrir facsímil")</f>
        <v>Abrir facsímil</v>
      </c>
      <c r="K4129" s="3" t="s">
        <v>64</v>
      </c>
    </row>
    <row r="4130" spans="1:11" ht="42" customHeight="1">
      <c r="A4130" s="2" t="s">
        <v>9571</v>
      </c>
      <c r="B4130" s="2" t="s">
        <v>9572</v>
      </c>
      <c r="C4130" s="2" t="s">
        <v>26</v>
      </c>
      <c r="D4130" s="2" t="s">
        <v>27</v>
      </c>
      <c r="E4130" s="5">
        <v>-31145</v>
      </c>
      <c r="F4130" s="3" t="s">
        <v>523</v>
      </c>
      <c r="G4130" s="3" t="s">
        <v>20</v>
      </c>
      <c r="H4130" s="2" t="s">
        <v>62</v>
      </c>
      <c r="I4130" s="2" t="s">
        <v>9576</v>
      </c>
      <c r="J4130" s="3" t="str">
        <f>HYPERLINK("https://www.boe.es/gazeta/dias/1814/09/22/pdfs/GMD-1814-129.pdf#page=7","Abrir facsímil")</f>
        <v>Abrir facsímil</v>
      </c>
      <c r="K4130" s="3" t="s">
        <v>64</v>
      </c>
    </row>
    <row r="4131" spans="1:11" ht="42" customHeight="1">
      <c r="A4131" s="2" t="s">
        <v>9577</v>
      </c>
      <c r="B4131" s="2" t="s">
        <v>9578</v>
      </c>
      <c r="C4131" s="2" t="s">
        <v>17</v>
      </c>
      <c r="D4131" s="2" t="s">
        <v>18</v>
      </c>
      <c r="E4131" s="5">
        <v>-31222</v>
      </c>
      <c r="F4131" s="3" t="s">
        <v>153</v>
      </c>
      <c r="G4131" s="3" t="s">
        <v>20</v>
      </c>
      <c r="H4131" s="2" t="s">
        <v>62</v>
      </c>
      <c r="I4131" s="2" t="s">
        <v>9579</v>
      </c>
      <c r="J4131" s="3" t="str">
        <f>HYPERLINK("https://www.boe.es/gazeta/dias/1814/07/07/pdfs/GMD-1814-95.pdf#page=7","Abrir facsímil")</f>
        <v>Abrir facsímil</v>
      </c>
      <c r="K4131" s="3" t="s">
        <v>64</v>
      </c>
    </row>
    <row r="4132" spans="1:11" ht="42" customHeight="1">
      <c r="A4132" s="2" t="s">
        <v>9577</v>
      </c>
      <c r="B4132" s="2" t="s">
        <v>9578</v>
      </c>
      <c r="C4132" s="2" t="s">
        <v>26</v>
      </c>
      <c r="D4132" s="2" t="s">
        <v>27</v>
      </c>
      <c r="E4132" s="5">
        <v>-31059</v>
      </c>
      <c r="F4132" s="3" t="s">
        <v>263</v>
      </c>
      <c r="G4132" s="3" t="s">
        <v>264</v>
      </c>
      <c r="H4132" s="2" t="s">
        <v>62</v>
      </c>
      <c r="I4132" s="2" t="s">
        <v>9580</v>
      </c>
      <c r="J4132" s="3" t="str">
        <f>HYPERLINK("https://www.boe.es/gazeta/dias/1814/12/17/pdfs/GMD-1814-167.pdf#page=7","Abrir facsímil")</f>
        <v>Abrir facsímil</v>
      </c>
      <c r="K4132" s="3" t="s">
        <v>64</v>
      </c>
    </row>
    <row r="4133" spans="1:11" ht="42" customHeight="1">
      <c r="A4133" s="2" t="s">
        <v>9581</v>
      </c>
      <c r="B4133" s="2" t="s">
        <v>9582</v>
      </c>
      <c r="C4133" s="2" t="s">
        <v>17</v>
      </c>
      <c r="D4133" s="2" t="s">
        <v>18</v>
      </c>
      <c r="E4133" s="5">
        <v>-31119</v>
      </c>
      <c r="F4133" s="3" t="s">
        <v>136</v>
      </c>
      <c r="G4133" s="3" t="s">
        <v>322</v>
      </c>
      <c r="H4133" s="2" t="s">
        <v>62</v>
      </c>
      <c r="I4133" s="2" t="s">
        <v>9583</v>
      </c>
      <c r="J4133" s="3" t="str">
        <f>HYPERLINK("https://www.boe.es/gazeta/dias/1814/10/18/pdfs/GMD-1814-140.pdf#page=12","Abrir facsímil")</f>
        <v>Abrir facsímil</v>
      </c>
      <c r="K4133" s="3" t="s">
        <v>64</v>
      </c>
    </row>
    <row r="4134" spans="1:11" ht="42" customHeight="1">
      <c r="A4134" s="2" t="s">
        <v>9581</v>
      </c>
      <c r="B4134" s="2" t="s">
        <v>9582</v>
      </c>
      <c r="C4134" s="2" t="s">
        <v>17</v>
      </c>
      <c r="D4134" s="2" t="s">
        <v>18</v>
      </c>
      <c r="E4134" s="5">
        <v>-31115</v>
      </c>
      <c r="F4134" s="3" t="s">
        <v>805</v>
      </c>
      <c r="G4134" s="3" t="s">
        <v>20</v>
      </c>
      <c r="H4134" s="2" t="s">
        <v>62</v>
      </c>
      <c r="I4134" s="2" t="s">
        <v>9584</v>
      </c>
      <c r="J4134" s="3" t="str">
        <f>HYPERLINK("https://www.boe.es/gazeta/dias/1814/10/22/pdfs/GMD-1814-142.pdf#page=7","Abrir facsímil")</f>
        <v>Abrir facsímil</v>
      </c>
      <c r="K4134" s="3" t="s">
        <v>64</v>
      </c>
    </row>
    <row r="4135" spans="1:11" ht="42" customHeight="1">
      <c r="A4135" s="2" t="s">
        <v>9585</v>
      </c>
      <c r="B4135" s="2" t="s">
        <v>9586</v>
      </c>
      <c r="C4135" s="2" t="s">
        <v>17</v>
      </c>
      <c r="D4135" s="2" t="s">
        <v>18</v>
      </c>
      <c r="E4135" s="5">
        <v>-31376</v>
      </c>
      <c r="F4135" s="3" t="s">
        <v>1954</v>
      </c>
      <c r="G4135" s="3" t="s">
        <v>2546</v>
      </c>
      <c r="H4135" s="2" t="s">
        <v>62</v>
      </c>
      <c r="I4135" s="2" t="s">
        <v>9587</v>
      </c>
      <c r="J4135" s="3" t="str">
        <f>HYPERLINK("https://www.boe.es/gazeta/dias/1814/02/03/pdfs/GRE-1814-16.pdf#page=5","Abrir facsímil")</f>
        <v>Abrir facsímil</v>
      </c>
      <c r="K4135" s="3" t="s">
        <v>64</v>
      </c>
    </row>
    <row r="4136" spans="1:11" ht="42" customHeight="1">
      <c r="A4136" s="2" t="s">
        <v>9588</v>
      </c>
      <c r="B4136" s="2" t="s">
        <v>9589</v>
      </c>
      <c r="C4136" s="2" t="s">
        <v>26</v>
      </c>
      <c r="D4136" s="2" t="s">
        <v>27</v>
      </c>
      <c r="E4136" s="5">
        <v>-31227</v>
      </c>
      <c r="F4136" s="3" t="s">
        <v>102</v>
      </c>
      <c r="G4136" s="3" t="s">
        <v>798</v>
      </c>
      <c r="H4136" s="2" t="s">
        <v>62</v>
      </c>
      <c r="I4136" s="2" t="s">
        <v>9590</v>
      </c>
      <c r="J4136" s="3" t="str">
        <f>HYPERLINK("https://www.boe.es/gazeta/dias/1814/07/02/pdfs/GMD-1814-93.pdf#page=6","Abrir facsímil")</f>
        <v>Abrir facsímil</v>
      </c>
      <c r="K4136" s="3" t="s">
        <v>64</v>
      </c>
    </row>
    <row r="4137" spans="1:11" ht="42" customHeight="1">
      <c r="A4137" s="2" t="s">
        <v>9591</v>
      </c>
      <c r="B4137" s="2" t="s">
        <v>9592</v>
      </c>
      <c r="C4137" s="2" t="s">
        <v>17</v>
      </c>
      <c r="D4137" s="2" t="s">
        <v>18</v>
      </c>
      <c r="E4137" s="5">
        <v>-31105</v>
      </c>
      <c r="F4137" s="3" t="s">
        <v>61</v>
      </c>
      <c r="G4137" s="3" t="s">
        <v>4525</v>
      </c>
      <c r="H4137" s="2" t="s">
        <v>62</v>
      </c>
      <c r="I4137" s="2" t="s">
        <v>9593</v>
      </c>
      <c r="J4137" s="3" t="str">
        <f>HYPERLINK("https://www.boe.es/gazeta/dias/1814/11/01/pdfs/GMD-1814-146.pdf#page=4","Abrir facsímil")</f>
        <v>Abrir facsímil</v>
      </c>
      <c r="K4137" s="3" t="s">
        <v>64</v>
      </c>
    </row>
    <row r="4138" spans="1:11" ht="42" customHeight="1">
      <c r="A4138" s="2" t="s">
        <v>9594</v>
      </c>
      <c r="B4138" s="2" t="s">
        <v>9595</v>
      </c>
      <c r="C4138" s="2" t="s">
        <v>17</v>
      </c>
      <c r="D4138" s="2" t="s">
        <v>18</v>
      </c>
      <c r="E4138" s="5">
        <v>-31096</v>
      </c>
      <c r="F4138" s="3" t="s">
        <v>223</v>
      </c>
      <c r="G4138" s="3" t="s">
        <v>972</v>
      </c>
      <c r="H4138" s="2" t="s">
        <v>62</v>
      </c>
      <c r="I4138" s="2" t="s">
        <v>9596</v>
      </c>
      <c r="J4138" s="3" t="str">
        <f>HYPERLINK("https://www.boe.es/gazeta/dias/1814/11/10/pdfs/GMD-1814-150.pdf#page=8","Abrir facsímil")</f>
        <v>Abrir facsímil</v>
      </c>
      <c r="K4138" s="3" t="s">
        <v>64</v>
      </c>
    </row>
    <row r="4139" spans="1:11" ht="42" customHeight="1">
      <c r="A4139" s="2" t="s">
        <v>9597</v>
      </c>
      <c r="B4139" s="2" t="s">
        <v>9598</v>
      </c>
      <c r="C4139" s="2" t="s">
        <v>26</v>
      </c>
      <c r="D4139" s="2" t="s">
        <v>27</v>
      </c>
      <c r="E4139" s="5">
        <v>-31285</v>
      </c>
      <c r="F4139" s="3" t="s">
        <v>1141</v>
      </c>
      <c r="G4139" s="3" t="s">
        <v>1142</v>
      </c>
      <c r="H4139" s="2" t="s">
        <v>62</v>
      </c>
      <c r="I4139" s="2" t="s">
        <v>9599</v>
      </c>
      <c r="J4139" s="3" t="str">
        <f>HYPERLINK("https://www.boe.es/gazeta/dias/1814/05/05/pdfs/GRE-1814-66.pdf#page=8","Abrir facsímil")</f>
        <v>Abrir facsímil</v>
      </c>
      <c r="K4139" s="3" t="s">
        <v>64</v>
      </c>
    </row>
    <row r="4140" spans="1:11" ht="42" customHeight="1">
      <c r="A4140" s="2" t="s">
        <v>9597</v>
      </c>
      <c r="B4140" s="2" t="s">
        <v>9598</v>
      </c>
      <c r="C4140" s="2" t="s">
        <v>17</v>
      </c>
      <c r="D4140" s="2" t="s">
        <v>18</v>
      </c>
      <c r="E4140" s="5">
        <v>-31140</v>
      </c>
      <c r="F4140" s="3" t="s">
        <v>525</v>
      </c>
      <c r="G4140" s="3" t="s">
        <v>20</v>
      </c>
      <c r="H4140" s="2" t="s">
        <v>62</v>
      </c>
      <c r="I4140" s="2" t="s">
        <v>9600</v>
      </c>
      <c r="J4140" s="3" t="str">
        <f>HYPERLINK("https://www.boe.es/gazeta/dias/1814/09/27/pdfs/GMD-1814-131.pdf#page=7","Abrir facsímil")</f>
        <v>Abrir facsímil</v>
      </c>
      <c r="K4140" s="3" t="s">
        <v>64</v>
      </c>
    </row>
    <row r="4141" spans="1:11" ht="42" customHeight="1">
      <c r="A4141" s="2" t="s">
        <v>9601</v>
      </c>
      <c r="B4141" s="2" t="s">
        <v>9602</v>
      </c>
      <c r="C4141" s="2" t="s">
        <v>26</v>
      </c>
      <c r="D4141" s="2" t="s">
        <v>27</v>
      </c>
      <c r="E4141" s="5">
        <v>-31159</v>
      </c>
      <c r="F4141" s="3" t="s">
        <v>1175</v>
      </c>
      <c r="G4141" s="3" t="s">
        <v>57</v>
      </c>
      <c r="H4141" s="2" t="s">
        <v>62</v>
      </c>
      <c r="I4141" s="2" t="s">
        <v>9603</v>
      </c>
      <c r="J4141" s="3" t="str">
        <f>HYPERLINK("https://www.boe.es/gazeta/dias/1814/09/08/pdfs/GMD-1814-123.pdf#page=6","Abrir facsímil")</f>
        <v>Abrir facsímil</v>
      </c>
      <c r="K4141" s="3" t="s">
        <v>64</v>
      </c>
    </row>
    <row r="4142" spans="1:11" ht="42" customHeight="1">
      <c r="A4142" s="2" t="s">
        <v>9604</v>
      </c>
      <c r="B4142" s="2" t="s">
        <v>9605</v>
      </c>
      <c r="C4142" s="2" t="s">
        <v>45</v>
      </c>
      <c r="D4142" s="2" t="s">
        <v>18</v>
      </c>
      <c r="E4142" s="5">
        <v>-31084</v>
      </c>
      <c r="F4142" s="3" t="s">
        <v>282</v>
      </c>
      <c r="G4142" s="3" t="s">
        <v>52</v>
      </c>
      <c r="H4142" s="2" t="s">
        <v>62</v>
      </c>
      <c r="I4142" s="2" t="s">
        <v>9606</v>
      </c>
      <c r="J4142" s="3" t="str">
        <f>HYPERLINK("https://www.boe.es/gazeta/dias/1814/11/22/pdfs/GMD-1814-155.pdf#page=8","Abrir facsímil")</f>
        <v>Abrir facsímil</v>
      </c>
      <c r="K4142" s="3" t="s">
        <v>64</v>
      </c>
    </row>
    <row r="4143" spans="1:11" ht="42" customHeight="1">
      <c r="A4143" s="2" t="s">
        <v>9607</v>
      </c>
      <c r="B4143" s="2" t="s">
        <v>9608</v>
      </c>
      <c r="C4143" s="2" t="s">
        <v>38</v>
      </c>
      <c r="D4143" s="2" t="s">
        <v>39</v>
      </c>
      <c r="E4143" s="5">
        <v>-31369</v>
      </c>
      <c r="F4143" s="3" t="s">
        <v>695</v>
      </c>
      <c r="G4143" s="3" t="s">
        <v>3737</v>
      </c>
      <c r="H4143" s="2" t="s">
        <v>62</v>
      </c>
      <c r="I4143" s="2" t="s">
        <v>9609</v>
      </c>
      <c r="J4143" s="3" t="str">
        <f>HYPERLINK("https://www.boe.es/gazeta/dias/1814/02/10/pdfs/GRE-1814-19.pdf#page=6","Abrir facsímil")</f>
        <v>Abrir facsímil</v>
      </c>
      <c r="K4143" s="3" t="s">
        <v>64</v>
      </c>
    </row>
    <row r="4144" spans="1:11" ht="42" customHeight="1">
      <c r="A4144" s="2" t="s">
        <v>9610</v>
      </c>
      <c r="B4144" s="2" t="s">
        <v>9611</v>
      </c>
      <c r="C4144" s="2" t="s">
        <v>17</v>
      </c>
      <c r="D4144" s="2" t="s">
        <v>18</v>
      </c>
      <c r="E4144" s="5">
        <v>-31166</v>
      </c>
      <c r="F4144" s="3" t="s">
        <v>2799</v>
      </c>
      <c r="G4144" s="3" t="s">
        <v>99</v>
      </c>
      <c r="H4144" s="2" t="s">
        <v>62</v>
      </c>
      <c r="I4144" s="2" t="s">
        <v>9612</v>
      </c>
      <c r="J4144" s="3" t="str">
        <f>HYPERLINK("https://www.boe.es/gazeta/dias/1814/09/01/pdfs/GMD-1814-119.pdf#page=5","Abrir facsímil")</f>
        <v>Abrir facsímil</v>
      </c>
      <c r="K4144" s="3" t="s">
        <v>64</v>
      </c>
    </row>
    <row r="4145" spans="1:11" ht="42" customHeight="1">
      <c r="A4145" s="2" t="s">
        <v>9613</v>
      </c>
      <c r="B4145" s="2" t="s">
        <v>9614</v>
      </c>
      <c r="C4145" s="2" t="s">
        <v>38</v>
      </c>
      <c r="D4145" s="2" t="s">
        <v>39</v>
      </c>
      <c r="E4145" s="5">
        <v>-31080</v>
      </c>
      <c r="F4145" s="3" t="s">
        <v>286</v>
      </c>
      <c r="G4145" s="3" t="s">
        <v>677</v>
      </c>
      <c r="H4145" s="2" t="s">
        <v>62</v>
      </c>
      <c r="I4145" s="2" t="s">
        <v>9615</v>
      </c>
      <c r="J4145" s="3" t="str">
        <f>HYPERLINK("https://www.boe.es/gazeta/dias/1814/11/26/pdfs/GMD-1814-157.pdf#page=7","Abrir facsímil")</f>
        <v>Abrir facsímil</v>
      </c>
      <c r="K4145" s="3" t="s">
        <v>64</v>
      </c>
    </row>
    <row r="4146" spans="1:11" ht="42" customHeight="1">
      <c r="A4146" s="2" t="s">
        <v>9616</v>
      </c>
      <c r="B4146" s="2" t="s">
        <v>9617</v>
      </c>
      <c r="C4146" s="2" t="s">
        <v>38</v>
      </c>
      <c r="D4146" s="2" t="s">
        <v>39</v>
      </c>
      <c r="E4146" s="5">
        <v>-31318</v>
      </c>
      <c r="F4146" s="3" t="s">
        <v>400</v>
      </c>
      <c r="G4146" s="3" t="s">
        <v>82</v>
      </c>
      <c r="H4146" s="2" t="s">
        <v>62</v>
      </c>
      <c r="I4146" s="2" t="s">
        <v>9618</v>
      </c>
      <c r="J4146" s="3" t="str">
        <f>HYPERLINK("https://www.boe.es/gazeta/dias/1814/04/02/pdfs/GRE-1814-47.pdf#page=3","Abrir facsímil")</f>
        <v>Abrir facsímil</v>
      </c>
      <c r="K4146" s="3" t="s">
        <v>64</v>
      </c>
    </row>
    <row r="4147" spans="1:11" ht="42" customHeight="1">
      <c r="A4147" s="2" t="s">
        <v>9619</v>
      </c>
      <c r="B4147" s="2" t="s">
        <v>9620</v>
      </c>
      <c r="C4147" s="2" t="s">
        <v>38</v>
      </c>
      <c r="D4147" s="2" t="s">
        <v>39</v>
      </c>
      <c r="E4147" s="5">
        <v>-31259</v>
      </c>
      <c r="F4147" s="3" t="s">
        <v>853</v>
      </c>
      <c r="G4147" s="3" t="s">
        <v>1732</v>
      </c>
      <c r="H4147" s="2" t="s">
        <v>62</v>
      </c>
      <c r="I4147" s="2" t="s">
        <v>9621</v>
      </c>
      <c r="J4147" s="3" t="str">
        <f>HYPERLINK("https://www.boe.es/gazeta/dias/1814/05/31/pdfs/GMD-1814-79.pdf#page=5","Abrir facsímil")</f>
        <v>Abrir facsímil</v>
      </c>
      <c r="K4147" s="3" t="s">
        <v>64</v>
      </c>
    </row>
    <row r="4148" spans="1:11" ht="42" customHeight="1">
      <c r="A4148" s="2" t="s">
        <v>9622</v>
      </c>
      <c r="B4148" s="2" t="s">
        <v>9622</v>
      </c>
      <c r="C4148" s="2" t="s">
        <v>26</v>
      </c>
      <c r="D4148" s="2" t="s">
        <v>27</v>
      </c>
      <c r="E4148" s="5">
        <v>-31182</v>
      </c>
      <c r="F4148" s="3" t="s">
        <v>19</v>
      </c>
      <c r="G4148" s="3" t="s">
        <v>3827</v>
      </c>
      <c r="H4148" s="2" t="s">
        <v>62</v>
      </c>
      <c r="I4148" s="2" t="s">
        <v>9623</v>
      </c>
      <c r="J4148" s="3" t="str">
        <f>HYPERLINK("https://www.boe.es/gazeta/dias/1814/08/16/pdfs/GMD-1814-112.pdf#page=8","Abrir facsímil")</f>
        <v>Abrir facsímil</v>
      </c>
      <c r="K4148" s="3" t="s">
        <v>64</v>
      </c>
    </row>
    <row r="4149" spans="1:11" ht="42" customHeight="1">
      <c r="A4149" s="2" t="s">
        <v>9624</v>
      </c>
      <c r="B4149" s="2" t="s">
        <v>9624</v>
      </c>
      <c r="C4149" s="2" t="s">
        <v>38</v>
      </c>
      <c r="D4149" s="2" t="s">
        <v>39</v>
      </c>
      <c r="E4149" s="5">
        <v>-31374</v>
      </c>
      <c r="F4149" s="3" t="s">
        <v>474</v>
      </c>
      <c r="G4149" s="3" t="s">
        <v>57</v>
      </c>
      <c r="H4149" s="2" t="s">
        <v>62</v>
      </c>
      <c r="I4149" s="2" t="s">
        <v>9625</v>
      </c>
      <c r="J4149" s="3" t="str">
        <f>HYPERLINK("https://www.boe.es/gazeta/dias/1814/02/05/pdfs/GRE-1814-17.pdf#page=6","Abrir facsímil")</f>
        <v>Abrir facsímil</v>
      </c>
      <c r="K4149" s="3" t="s">
        <v>64</v>
      </c>
    </row>
    <row r="4150" spans="1:11" ht="42" customHeight="1">
      <c r="A4150" s="2" t="s">
        <v>9626</v>
      </c>
      <c r="B4150" s="2" t="s">
        <v>9626</v>
      </c>
      <c r="C4150" s="2" t="s">
        <v>38</v>
      </c>
      <c r="D4150" s="2" t="s">
        <v>39</v>
      </c>
      <c r="E4150" s="5">
        <v>-31395</v>
      </c>
      <c r="F4150" s="3" t="s">
        <v>662</v>
      </c>
      <c r="G4150" s="3" t="s">
        <v>41</v>
      </c>
      <c r="H4150" s="2" t="s">
        <v>62</v>
      </c>
      <c r="I4150" s="2" t="s">
        <v>9627</v>
      </c>
      <c r="J4150" s="3" t="str">
        <f>HYPERLINK("https://www.boe.es/gazeta/dias/1814/01/15/pdfs/GRE-1814-8.pdf#page=4","Abrir facsímil")</f>
        <v>Abrir facsímil</v>
      </c>
      <c r="K4150" s="3" t="s">
        <v>64</v>
      </c>
    </row>
    <row r="4151" spans="1:11" ht="42" customHeight="1">
      <c r="A4151" s="2" t="s">
        <v>9628</v>
      </c>
      <c r="B4151" s="2" t="s">
        <v>9628</v>
      </c>
      <c r="C4151" s="2" t="s">
        <v>38</v>
      </c>
      <c r="D4151" s="2" t="s">
        <v>39</v>
      </c>
      <c r="E4151" s="5">
        <v>-31315</v>
      </c>
      <c r="F4151" s="3" t="s">
        <v>645</v>
      </c>
      <c r="G4151" s="3" t="s">
        <v>82</v>
      </c>
      <c r="H4151" s="2" t="s">
        <v>62</v>
      </c>
      <c r="I4151" s="2" t="s">
        <v>9629</v>
      </c>
      <c r="J4151" s="3" t="str">
        <f>HYPERLINK("https://www.boe.es/gazeta/dias/1814/04/05/pdfs/GRE-1814-49.pdf#page=3","Abrir facsímil")</f>
        <v>Abrir facsímil</v>
      </c>
      <c r="K4151" s="3" t="s">
        <v>64</v>
      </c>
    </row>
    <row r="4152" spans="1:11" ht="42" customHeight="1">
      <c r="A4152" s="2" t="s">
        <v>9630</v>
      </c>
      <c r="B4152" s="2" t="s">
        <v>9631</v>
      </c>
      <c r="C4152" s="2" t="s">
        <v>26</v>
      </c>
      <c r="D4152" s="2" t="s">
        <v>27</v>
      </c>
      <c r="E4152" s="5">
        <v>-31250</v>
      </c>
      <c r="F4152" s="3" t="s">
        <v>177</v>
      </c>
      <c r="G4152" s="3" t="s">
        <v>52</v>
      </c>
      <c r="H4152" s="2" t="s">
        <v>62</v>
      </c>
      <c r="I4152" s="2" t="s">
        <v>9632</v>
      </c>
      <c r="J4152" s="3" t="str">
        <f>HYPERLINK("https://www.boe.es/gazeta/dias/1814/06/09/pdfs/GMD-1814-83.pdf#page=8","Abrir facsímil")</f>
        <v>Abrir facsímil</v>
      </c>
      <c r="K4152" s="3" t="s">
        <v>64</v>
      </c>
    </row>
    <row r="4153" spans="1:11" ht="42" customHeight="1">
      <c r="A4153" s="2" t="s">
        <v>9633</v>
      </c>
      <c r="B4153" s="2" t="s">
        <v>9634</v>
      </c>
      <c r="C4153" s="2" t="s">
        <v>38</v>
      </c>
      <c r="D4153" s="2" t="s">
        <v>314</v>
      </c>
      <c r="E4153" s="5">
        <v>-31296</v>
      </c>
      <c r="F4153" s="3" t="s">
        <v>315</v>
      </c>
      <c r="G4153" s="3" t="s">
        <v>20</v>
      </c>
      <c r="H4153" s="2" t="s">
        <v>62</v>
      </c>
      <c r="I4153" s="2" t="s">
        <v>9635</v>
      </c>
      <c r="J4153" s="3" t="str">
        <f>HYPERLINK("https://www.boe.es/gazeta/dias/1814/04/24/pdfs/GRE-1814-60E.pdf#page=7","Abrir facsímil")</f>
        <v>Abrir facsímil</v>
      </c>
      <c r="K4153" s="3" t="s">
        <v>64</v>
      </c>
    </row>
    <row r="4154" spans="1:11" ht="42" customHeight="1">
      <c r="A4154" s="2" t="s">
        <v>9636</v>
      </c>
      <c r="B4154" s="2" t="s">
        <v>9636</v>
      </c>
      <c r="C4154" s="2" t="s">
        <v>17</v>
      </c>
      <c r="D4154" s="2" t="s">
        <v>18</v>
      </c>
      <c r="E4154" s="5">
        <v>-31227</v>
      </c>
      <c r="F4154" s="3" t="s">
        <v>102</v>
      </c>
      <c r="G4154" s="3" t="s">
        <v>87</v>
      </c>
      <c r="H4154" s="2" t="s">
        <v>62</v>
      </c>
      <c r="I4154" s="2" t="s">
        <v>9637</v>
      </c>
      <c r="J4154" s="3" t="str">
        <f>HYPERLINK("https://www.boe.es/gazeta/dias/1814/07/02/pdfs/GMD-1814-93.pdf#page=2","Abrir facsímil")</f>
        <v>Abrir facsímil</v>
      </c>
      <c r="K4154" s="3" t="s">
        <v>64</v>
      </c>
    </row>
    <row r="4155" spans="1:11" ht="42" customHeight="1">
      <c r="A4155" s="2" t="s">
        <v>9638</v>
      </c>
      <c r="B4155" s="2" t="s">
        <v>9639</v>
      </c>
      <c r="C4155" s="2" t="s">
        <v>38</v>
      </c>
      <c r="D4155" s="2" t="s">
        <v>39</v>
      </c>
      <c r="E4155" s="5">
        <v>-31276</v>
      </c>
      <c r="F4155" s="3" t="s">
        <v>494</v>
      </c>
      <c r="G4155" s="3" t="s">
        <v>99</v>
      </c>
      <c r="H4155" s="2" t="s">
        <v>62</v>
      </c>
      <c r="I4155" s="2" t="s">
        <v>9640</v>
      </c>
      <c r="J4155" s="3" t="str">
        <f>HYPERLINK("https://www.boe.es/gazeta/dias/1814/05/14/pdfs/GMD-1814-71.pdf#page=5","Abrir facsímil")</f>
        <v>Abrir facsímil</v>
      </c>
      <c r="K4155" s="3" t="s">
        <v>64</v>
      </c>
    </row>
    <row r="4156" spans="1:11" ht="42" customHeight="1">
      <c r="A4156" s="2" t="s">
        <v>9641</v>
      </c>
      <c r="B4156" s="2" t="s">
        <v>9642</v>
      </c>
      <c r="C4156" s="2" t="s">
        <v>38</v>
      </c>
      <c r="D4156" s="2" t="s">
        <v>39</v>
      </c>
      <c r="E4156" s="5">
        <v>-31210</v>
      </c>
      <c r="F4156" s="3" t="s">
        <v>141</v>
      </c>
      <c r="G4156" s="3" t="s">
        <v>41</v>
      </c>
      <c r="H4156" s="2" t="s">
        <v>62</v>
      </c>
      <c r="I4156" s="2" t="s">
        <v>9643</v>
      </c>
      <c r="J4156" s="3" t="str">
        <f>HYPERLINK("https://www.boe.es/gazeta/dias/1814/07/19/pdfs/GMD-1814-100.pdf#page=4","Abrir facsímil")</f>
        <v>Abrir facsímil</v>
      </c>
      <c r="K4156" s="3" t="s">
        <v>64</v>
      </c>
    </row>
    <row r="4157" spans="1:11" ht="42" customHeight="1">
      <c r="A4157" s="2" t="s">
        <v>9644</v>
      </c>
      <c r="B4157" s="2" t="s">
        <v>9644</v>
      </c>
      <c r="C4157" s="2" t="s">
        <v>38</v>
      </c>
      <c r="D4157" s="2" t="s">
        <v>39</v>
      </c>
      <c r="E4157" s="5">
        <v>-31371</v>
      </c>
      <c r="F4157" s="3" t="s">
        <v>476</v>
      </c>
      <c r="G4157" s="3" t="s">
        <v>5855</v>
      </c>
      <c r="H4157" s="2" t="s">
        <v>62</v>
      </c>
      <c r="I4157" s="2" t="s">
        <v>9645</v>
      </c>
      <c r="J4157" s="3" t="str">
        <f>HYPERLINK("https://www.boe.es/gazeta/dias/1814/02/08/pdfs/GRE-1814-31.pdf#page=7","Abrir facsímil")</f>
        <v>Abrir facsímil</v>
      </c>
      <c r="K4157" s="3" t="s">
        <v>64</v>
      </c>
    </row>
    <row r="4158" spans="1:11" ht="42" customHeight="1">
      <c r="A4158" s="2" t="s">
        <v>9644</v>
      </c>
      <c r="B4158" s="2" t="s">
        <v>9644</v>
      </c>
      <c r="C4158" s="2" t="s">
        <v>38</v>
      </c>
      <c r="D4158" s="2" t="s">
        <v>39</v>
      </c>
      <c r="E4158" s="5">
        <v>-31343</v>
      </c>
      <c r="F4158" s="3" t="s">
        <v>476</v>
      </c>
      <c r="G4158" s="3" t="s">
        <v>5855</v>
      </c>
      <c r="H4158" s="2" t="s">
        <v>62</v>
      </c>
      <c r="I4158" s="2" t="s">
        <v>9645</v>
      </c>
      <c r="J4158" s="3" t="str">
        <f>HYPERLINK("https://www.boe.es/gazeta/dias/1814/03/08/pdfs/GRE-1814-31.pdf#page=7","Abrir facsímil")</f>
        <v>Abrir facsímil</v>
      </c>
      <c r="K4158" s="3" t="s">
        <v>64</v>
      </c>
    </row>
    <row r="4159" spans="1:11" ht="42" customHeight="1">
      <c r="A4159" s="2" t="s">
        <v>9644</v>
      </c>
      <c r="B4159" s="2" t="s">
        <v>9644</v>
      </c>
      <c r="C4159" s="2" t="s">
        <v>38</v>
      </c>
      <c r="D4159" s="2" t="s">
        <v>314</v>
      </c>
      <c r="E4159" s="5">
        <v>-31341</v>
      </c>
      <c r="F4159" s="3" t="s">
        <v>354</v>
      </c>
      <c r="G4159" s="3" t="s">
        <v>87</v>
      </c>
      <c r="H4159" s="2" t="s">
        <v>62</v>
      </c>
      <c r="I4159" s="2" t="s">
        <v>9646</v>
      </c>
      <c r="J4159" s="3" t="str">
        <f>HYPERLINK("https://www.boe.es/gazeta/dias/1814/03/10/pdfs/GRE-1814-34E.pdf#page=2","Abrir facsímil")</f>
        <v>Abrir facsímil</v>
      </c>
      <c r="K4159" s="3" t="s">
        <v>64</v>
      </c>
    </row>
    <row r="4160" spans="1:11" ht="42" customHeight="1">
      <c r="A4160" s="2" t="s">
        <v>9644</v>
      </c>
      <c r="B4160" s="2" t="s">
        <v>9644</v>
      </c>
      <c r="C4160" s="2" t="s">
        <v>38</v>
      </c>
      <c r="D4160" s="2" t="s">
        <v>314</v>
      </c>
      <c r="E4160" s="5">
        <v>-31341</v>
      </c>
      <c r="F4160" s="3" t="s">
        <v>354</v>
      </c>
      <c r="G4160" s="3" t="s">
        <v>82</v>
      </c>
      <c r="H4160" s="2" t="s">
        <v>62</v>
      </c>
      <c r="I4160" s="2" t="s">
        <v>9647</v>
      </c>
      <c r="J4160" s="3" t="str">
        <f>HYPERLINK("https://www.boe.es/gazeta/dias/1814/03/10/pdfs/GRE-1814-34E.pdf#page=3","Abrir facsímil")</f>
        <v>Abrir facsímil</v>
      </c>
      <c r="K4160" s="3" t="s">
        <v>64</v>
      </c>
    </row>
    <row r="4161" spans="1:11" ht="42" customHeight="1">
      <c r="A4161" s="2" t="s">
        <v>9648</v>
      </c>
      <c r="B4161" s="2" t="s">
        <v>9648</v>
      </c>
      <c r="C4161" s="2" t="s">
        <v>38</v>
      </c>
      <c r="D4161" s="2" t="s">
        <v>39</v>
      </c>
      <c r="E4161" s="5">
        <v>-31339</v>
      </c>
      <c r="F4161" s="3" t="s">
        <v>641</v>
      </c>
      <c r="G4161" s="3" t="s">
        <v>82</v>
      </c>
      <c r="H4161" s="2" t="s">
        <v>62</v>
      </c>
      <c r="I4161" s="2" t="s">
        <v>9649</v>
      </c>
      <c r="J4161" s="3" t="str">
        <f>HYPERLINK("https://www.boe.es/gazeta/dias/1814/03/12/pdfs/GRE-1814-35.pdf#page=3","Abrir facsímil")</f>
        <v>Abrir facsímil</v>
      </c>
      <c r="K4161" s="3" t="s">
        <v>64</v>
      </c>
    </row>
    <row r="4162" spans="1:11" ht="42" customHeight="1">
      <c r="A4162" s="2" t="s">
        <v>9650</v>
      </c>
      <c r="B4162" s="2" t="s">
        <v>9650</v>
      </c>
      <c r="C4162" s="2" t="s">
        <v>17</v>
      </c>
      <c r="D4162" s="2" t="s">
        <v>18</v>
      </c>
      <c r="E4162" s="5">
        <v>-31334</v>
      </c>
      <c r="F4162" s="3" t="s">
        <v>482</v>
      </c>
      <c r="G4162" s="3" t="s">
        <v>87</v>
      </c>
      <c r="H4162" s="2" t="s">
        <v>62</v>
      </c>
      <c r="I4162" s="2" t="s">
        <v>9651</v>
      </c>
      <c r="J4162" s="3" t="str">
        <f>HYPERLINK("https://www.boe.es/gazeta/dias/1814/03/17/pdfs/GRE-1814-37.pdf#page=2","Abrir facsímil")</f>
        <v>Abrir facsímil</v>
      </c>
      <c r="K4162" s="3" t="s">
        <v>64</v>
      </c>
    </row>
    <row r="4163" spans="1:11" ht="42" customHeight="1">
      <c r="A4163" s="2" t="s">
        <v>9652</v>
      </c>
      <c r="B4163" s="2" t="s">
        <v>9652</v>
      </c>
      <c r="C4163" s="2" t="s">
        <v>38</v>
      </c>
      <c r="D4163" s="2" t="s">
        <v>39</v>
      </c>
      <c r="E4163" s="5">
        <v>-31231</v>
      </c>
      <c r="F4163" s="3" t="s">
        <v>861</v>
      </c>
      <c r="G4163" s="3" t="s">
        <v>87</v>
      </c>
      <c r="H4163" s="2" t="s">
        <v>62</v>
      </c>
      <c r="I4163" s="2" t="s">
        <v>9653</v>
      </c>
      <c r="J4163" s="3" t="str">
        <f>HYPERLINK("https://www.boe.es/gazeta/dias/1814/06/28/pdfs/GMD-1814-91.pdf#page=2","Abrir facsímil")</f>
        <v>Abrir facsímil</v>
      </c>
      <c r="K4163" s="3" t="s">
        <v>64</v>
      </c>
    </row>
    <row r="4164" spans="1:11" ht="42" customHeight="1">
      <c r="A4164" s="2" t="s">
        <v>9654</v>
      </c>
      <c r="B4164" s="2" t="s">
        <v>9654</v>
      </c>
      <c r="C4164" s="2" t="s">
        <v>38</v>
      </c>
      <c r="D4164" s="2" t="s">
        <v>314</v>
      </c>
      <c r="E4164" s="5">
        <v>-31296</v>
      </c>
      <c r="F4164" s="3" t="s">
        <v>315</v>
      </c>
      <c r="G4164" s="3" t="s">
        <v>41</v>
      </c>
      <c r="H4164" s="2" t="s">
        <v>62</v>
      </c>
      <c r="I4164" s="2" t="s">
        <v>9655</v>
      </c>
      <c r="J4164" s="3" t="str">
        <f>HYPERLINK("https://www.boe.es/gazeta/dias/1814/04/24/pdfs/GRE-1814-60E.pdf#page=4","Abrir facsímil")</f>
        <v>Abrir facsímil</v>
      </c>
      <c r="K4164" s="3" t="s">
        <v>64</v>
      </c>
    </row>
    <row r="4165" spans="1:11" ht="42" customHeight="1">
      <c r="A4165" s="2" t="s">
        <v>9656</v>
      </c>
      <c r="B4165" s="2" t="s">
        <v>9657</v>
      </c>
      <c r="C4165" s="2" t="s">
        <v>38</v>
      </c>
      <c r="D4165" s="2" t="s">
        <v>39</v>
      </c>
      <c r="E4165" s="5">
        <v>-31299</v>
      </c>
      <c r="F4165" s="3" t="s">
        <v>71</v>
      </c>
      <c r="G4165" s="3" t="s">
        <v>52</v>
      </c>
      <c r="H4165" s="2" t="s">
        <v>62</v>
      </c>
      <c r="I4165" s="2" t="s">
        <v>9658</v>
      </c>
      <c r="J4165" s="3" t="str">
        <f>HYPERLINK("https://www.boe.es/gazeta/dias/1814/04/21/pdfs/GRE-1814-57.pdf#page=8","Abrir facsímil")</f>
        <v>Abrir facsímil</v>
      </c>
      <c r="K4165" s="3" t="s">
        <v>64</v>
      </c>
    </row>
    <row r="4166" spans="1:11" ht="42" customHeight="1">
      <c r="A4166" s="2" t="s">
        <v>9659</v>
      </c>
      <c r="B4166" s="2" t="s">
        <v>9660</v>
      </c>
      <c r="C4166" s="2" t="s">
        <v>38</v>
      </c>
      <c r="D4166" s="2" t="s">
        <v>39</v>
      </c>
      <c r="E4166" s="5">
        <v>-31131</v>
      </c>
      <c r="F4166" s="3" t="s">
        <v>132</v>
      </c>
      <c r="G4166" s="3" t="s">
        <v>20</v>
      </c>
      <c r="H4166" s="2" t="s">
        <v>62</v>
      </c>
      <c r="I4166" s="2" t="s">
        <v>9661</v>
      </c>
      <c r="J4166" s="3" t="str">
        <f>HYPERLINK("https://www.boe.es/gazeta/dias/1814/10/06/pdfs/GMD-1814-135.pdf#page=7","Abrir facsímil")</f>
        <v>Abrir facsímil</v>
      </c>
      <c r="K4166" s="3" t="s">
        <v>64</v>
      </c>
    </row>
    <row r="4167" spans="1:11" ht="42" customHeight="1">
      <c r="A4167" s="2" t="s">
        <v>9662</v>
      </c>
      <c r="B4167" s="2" t="s">
        <v>9663</v>
      </c>
      <c r="C4167" s="2" t="s">
        <v>38</v>
      </c>
      <c r="D4167" s="2" t="s">
        <v>314</v>
      </c>
      <c r="E4167" s="5">
        <v>-31328</v>
      </c>
      <c r="F4167" s="3" t="s">
        <v>442</v>
      </c>
      <c r="G4167" s="3" t="s">
        <v>20</v>
      </c>
      <c r="H4167" s="2" t="s">
        <v>62</v>
      </c>
      <c r="I4167" s="2" t="s">
        <v>9664</v>
      </c>
      <c r="J4167" s="3" t="str">
        <f>HYPERLINK("https://www.boe.es/gazeta/dias/1814/03/23/pdfs/GRE-1814-40E.pdf#page=7","Abrir facsímil")</f>
        <v>Abrir facsímil</v>
      </c>
      <c r="K4167" s="3" t="s">
        <v>64</v>
      </c>
    </row>
    <row r="4168" spans="1:11" ht="42" customHeight="1">
      <c r="A4168" s="2" t="s">
        <v>9665</v>
      </c>
      <c r="B4168" s="2" t="s">
        <v>9666</v>
      </c>
      <c r="C4168" s="2" t="s">
        <v>38</v>
      </c>
      <c r="D4168" s="2" t="s">
        <v>314</v>
      </c>
      <c r="E4168" s="5">
        <v>-31296</v>
      </c>
      <c r="F4168" s="3" t="s">
        <v>315</v>
      </c>
      <c r="G4168" s="3" t="s">
        <v>52</v>
      </c>
      <c r="H4168" s="2" t="s">
        <v>62</v>
      </c>
      <c r="I4168" s="2" t="s">
        <v>9667</v>
      </c>
      <c r="J4168" s="3" t="str">
        <f>HYPERLINK("https://www.boe.es/gazeta/dias/1814/04/24/pdfs/GRE-1814-60E.pdf#page=8","Abrir facsímil")</f>
        <v>Abrir facsímil</v>
      </c>
      <c r="K4168" s="3" t="s">
        <v>64</v>
      </c>
    </row>
    <row r="4169" spans="1:11" ht="42" customHeight="1">
      <c r="A4169" s="2" t="s">
        <v>9668</v>
      </c>
      <c r="B4169" s="2" t="s">
        <v>9669</v>
      </c>
      <c r="C4169" s="2" t="s">
        <v>26</v>
      </c>
      <c r="D4169" s="2" t="s">
        <v>27</v>
      </c>
      <c r="E4169" s="5">
        <v>-31262</v>
      </c>
      <c r="F4169" s="3" t="s">
        <v>254</v>
      </c>
      <c r="G4169" s="3" t="s">
        <v>99</v>
      </c>
      <c r="H4169" s="2" t="s">
        <v>21</v>
      </c>
      <c r="I4169" s="2" t="s">
        <v>9670</v>
      </c>
      <c r="J4169" s="3" t="str">
        <f>HYPERLINK("https://www.boe.es/gazeta/dias/1814/05/28/pdfs/GMD-1814-78.pdf#page=5","Abrir facsímil")</f>
        <v>Abrir facsímil</v>
      </c>
      <c r="K4169" s="3" t="s">
        <v>23</v>
      </c>
    </row>
    <row r="4170" spans="1:11" ht="42" customHeight="1">
      <c r="A4170" s="2" t="s">
        <v>9671</v>
      </c>
      <c r="B4170" s="2" t="s">
        <v>9672</v>
      </c>
      <c r="C4170" s="2" t="s">
        <v>17</v>
      </c>
      <c r="D4170" s="2" t="s">
        <v>18</v>
      </c>
      <c r="E4170" s="5">
        <v>-31199</v>
      </c>
      <c r="F4170" s="3" t="s">
        <v>453</v>
      </c>
      <c r="G4170" s="3" t="s">
        <v>4678</v>
      </c>
      <c r="H4170" s="2" t="s">
        <v>62</v>
      </c>
      <c r="I4170" s="2" t="s">
        <v>9673</v>
      </c>
      <c r="J4170" s="3" t="str">
        <f>HYPERLINK("https://www.boe.es/gazeta/dias/1814/07/30/pdfs/GMD-1814-105.pdf#page=6","Abrir facsímil")</f>
        <v>Abrir facsímil</v>
      </c>
      <c r="K4170" s="3" t="s">
        <v>64</v>
      </c>
    </row>
    <row r="4171" spans="1:11" ht="42" customHeight="1">
      <c r="A4171" s="2" t="s">
        <v>9674</v>
      </c>
      <c r="B4171" s="2" t="s">
        <v>9675</v>
      </c>
      <c r="C4171" s="2" t="s">
        <v>38</v>
      </c>
      <c r="D4171" s="2" t="s">
        <v>39</v>
      </c>
      <c r="E4171" s="5">
        <v>-31257</v>
      </c>
      <c r="F4171" s="3" t="s">
        <v>437</v>
      </c>
      <c r="G4171" s="3" t="s">
        <v>438</v>
      </c>
      <c r="H4171" s="2" t="s">
        <v>62</v>
      </c>
      <c r="I4171" s="2" t="s">
        <v>9676</v>
      </c>
      <c r="J4171" s="3" t="str">
        <f>HYPERLINK("https://www.boe.es/gazeta/dias/1814/06/02/pdfs/GMD-1814-80.pdf#page=5","Abrir facsímil")</f>
        <v>Abrir facsímil</v>
      </c>
      <c r="K4171" s="3" t="s">
        <v>64</v>
      </c>
    </row>
    <row r="4172" spans="1:11" ht="42" customHeight="1">
      <c r="A4172" s="2" t="s">
        <v>9677</v>
      </c>
      <c r="B4172" s="2" t="s">
        <v>9678</v>
      </c>
      <c r="C4172" s="2" t="s">
        <v>38</v>
      </c>
      <c r="D4172" s="2" t="s">
        <v>39</v>
      </c>
      <c r="E4172" s="5">
        <v>-31124</v>
      </c>
      <c r="F4172" s="3" t="s">
        <v>383</v>
      </c>
      <c r="G4172" s="3" t="s">
        <v>384</v>
      </c>
      <c r="H4172" s="2" t="s">
        <v>62</v>
      </c>
      <c r="I4172" s="2" t="s">
        <v>9679</v>
      </c>
      <c r="J4172" s="3" t="str">
        <f>HYPERLINK("https://www.boe.es/gazeta/dias/1814/10/13/pdfs/GMD-1814-138.pdf#page=11","Abrir facsímil")</f>
        <v>Abrir facsímil</v>
      </c>
      <c r="K4172" s="3" t="s">
        <v>64</v>
      </c>
    </row>
    <row r="4173" spans="1:11" ht="42" customHeight="1">
      <c r="A4173" s="2" t="s">
        <v>9680</v>
      </c>
      <c r="B4173" s="2" t="s">
        <v>9681</v>
      </c>
      <c r="C4173" s="2" t="s">
        <v>38</v>
      </c>
      <c r="D4173" s="2" t="s">
        <v>39</v>
      </c>
      <c r="E4173" s="5">
        <v>-31192</v>
      </c>
      <c r="F4173" s="3" t="s">
        <v>388</v>
      </c>
      <c r="G4173" s="3" t="s">
        <v>20</v>
      </c>
      <c r="H4173" s="2" t="s">
        <v>62</v>
      </c>
      <c r="I4173" s="2" t="s">
        <v>9682</v>
      </c>
      <c r="J4173" s="3" t="str">
        <f>HYPERLINK("https://www.boe.es/gazeta/dias/1814/08/06/pdfs/GMD-1814-108.pdf#page=7","Abrir facsímil")</f>
        <v>Abrir facsímil</v>
      </c>
      <c r="K4173" s="3" t="s">
        <v>64</v>
      </c>
    </row>
    <row r="4174" spans="1:11" ht="42" customHeight="1">
      <c r="A4174" s="2" t="s">
        <v>9683</v>
      </c>
      <c r="B4174" s="2" t="s">
        <v>9684</v>
      </c>
      <c r="C4174" s="2" t="s">
        <v>17</v>
      </c>
      <c r="D4174" s="2" t="s">
        <v>18</v>
      </c>
      <c r="E4174" s="5">
        <v>-31122</v>
      </c>
      <c r="F4174" s="3" t="s">
        <v>28</v>
      </c>
      <c r="G4174" s="3" t="s">
        <v>20</v>
      </c>
      <c r="H4174" s="2" t="s">
        <v>62</v>
      </c>
      <c r="I4174" s="2" t="s">
        <v>9685</v>
      </c>
      <c r="J4174" s="3" t="str">
        <f>HYPERLINK("https://www.boe.es/gazeta/dias/1814/10/15/pdfs/GMD-1814-139.pdf#page=7","Abrir facsímil")</f>
        <v>Abrir facsímil</v>
      </c>
      <c r="K4174" s="3" t="s">
        <v>64</v>
      </c>
    </row>
    <row r="4175" spans="1:11" ht="42" customHeight="1">
      <c r="A4175" s="2" t="s">
        <v>9686</v>
      </c>
      <c r="B4175" s="2" t="s">
        <v>9687</v>
      </c>
      <c r="C4175" s="2" t="s">
        <v>38</v>
      </c>
      <c r="D4175" s="2" t="s">
        <v>39</v>
      </c>
      <c r="E4175" s="5">
        <v>-31171</v>
      </c>
      <c r="F4175" s="3" t="s">
        <v>157</v>
      </c>
      <c r="G4175" s="3" t="s">
        <v>57</v>
      </c>
      <c r="H4175" s="2" t="s">
        <v>62</v>
      </c>
      <c r="I4175" s="2" t="s">
        <v>9688</v>
      </c>
      <c r="J4175" s="3" t="str">
        <f>HYPERLINK("https://www.boe.es/gazeta/dias/1814/08/27/pdfs/GMD-1814-117.pdf#page=6","Abrir facsímil")</f>
        <v>Abrir facsímil</v>
      </c>
      <c r="K4175" s="3" t="s">
        <v>64</v>
      </c>
    </row>
    <row r="4176" spans="1:11" ht="42" customHeight="1">
      <c r="A4176" s="2" t="s">
        <v>9689</v>
      </c>
      <c r="B4176" s="2" t="s">
        <v>9690</v>
      </c>
      <c r="C4176" s="2" t="s">
        <v>26</v>
      </c>
      <c r="D4176" s="2" t="s">
        <v>27</v>
      </c>
      <c r="E4176" s="5">
        <v>-31196</v>
      </c>
      <c r="F4176" s="3" t="s">
        <v>828</v>
      </c>
      <c r="G4176" s="3" t="s">
        <v>52</v>
      </c>
      <c r="H4176" s="2" t="s">
        <v>62</v>
      </c>
      <c r="I4176" s="2" t="s">
        <v>9691</v>
      </c>
      <c r="J4176" s="3" t="str">
        <f>HYPERLINK("https://www.boe.es/gazeta/dias/1814/08/02/pdfs/GMD-1814-106.pdf#page=8","Abrir facsímil")</f>
        <v>Abrir facsímil</v>
      </c>
      <c r="K4176" s="3" t="s">
        <v>64</v>
      </c>
    </row>
    <row r="4177" spans="1:11" ht="42" customHeight="1">
      <c r="A4177" s="2" t="s">
        <v>9692</v>
      </c>
      <c r="B4177" s="2" t="s">
        <v>9693</v>
      </c>
      <c r="C4177" s="2" t="s">
        <v>38</v>
      </c>
      <c r="D4177" s="2" t="s">
        <v>39</v>
      </c>
      <c r="E4177" s="5">
        <v>-31325</v>
      </c>
      <c r="F4177" s="3" t="s">
        <v>67</v>
      </c>
      <c r="G4177" s="3" t="s">
        <v>20</v>
      </c>
      <c r="H4177" s="2" t="s">
        <v>62</v>
      </c>
      <c r="I4177" s="2" t="s">
        <v>9694</v>
      </c>
      <c r="J4177" s="3" t="str">
        <f>HYPERLINK("https://www.boe.es/gazeta/dias/1814/03/26/pdfs/GRE-1814-43.pdf#page=7","Abrir facsímil")</f>
        <v>Abrir facsímil</v>
      </c>
      <c r="K4177" s="3" t="s">
        <v>64</v>
      </c>
    </row>
    <row r="4178" spans="1:11" ht="42" customHeight="1">
      <c r="A4178" s="2" t="s">
        <v>9695</v>
      </c>
      <c r="B4178" s="2" t="s">
        <v>9695</v>
      </c>
      <c r="C4178" s="2" t="s">
        <v>38</v>
      </c>
      <c r="D4178" s="2" t="s">
        <v>39</v>
      </c>
      <c r="E4178" s="5">
        <v>-31404</v>
      </c>
      <c r="F4178" s="3" t="s">
        <v>630</v>
      </c>
      <c r="G4178" s="3" t="s">
        <v>107</v>
      </c>
      <c r="H4178" s="2" t="s">
        <v>62</v>
      </c>
      <c r="I4178" s="2" t="s">
        <v>9696</v>
      </c>
      <c r="J4178" s="3" t="str">
        <f>HYPERLINK("https://www.boe.es/gazeta/dias/1814/01/06/pdfs/GRE-1814-3.pdf#page=1","Abrir facsímil")</f>
        <v>Abrir facsímil</v>
      </c>
      <c r="K4178" s="3" t="s">
        <v>64</v>
      </c>
    </row>
    <row r="4179" spans="1:11" ht="42" customHeight="1">
      <c r="A4179" s="2" t="s">
        <v>9697</v>
      </c>
      <c r="B4179" s="2" t="s">
        <v>9698</v>
      </c>
      <c r="C4179" s="2" t="s">
        <v>17</v>
      </c>
      <c r="D4179" s="2" t="s">
        <v>18</v>
      </c>
      <c r="E4179" s="5">
        <v>-31152</v>
      </c>
      <c r="F4179" s="3" t="s">
        <v>199</v>
      </c>
      <c r="G4179" s="3" t="s">
        <v>20</v>
      </c>
      <c r="H4179" s="2" t="s">
        <v>62</v>
      </c>
      <c r="I4179" s="2" t="s">
        <v>9699</v>
      </c>
      <c r="J4179" s="3" t="str">
        <f>HYPERLINK("https://www.boe.es/gazeta/dias/1814/09/15/pdfs/GMD-1814-126.pdf#page=7","Abrir facsímil")</f>
        <v>Abrir facsímil</v>
      </c>
      <c r="K4179" s="3" t="s">
        <v>64</v>
      </c>
    </row>
    <row r="4180" spans="1:11" ht="42" customHeight="1">
      <c r="A4180" s="2" t="s">
        <v>9700</v>
      </c>
      <c r="B4180" s="2" t="s">
        <v>9701</v>
      </c>
      <c r="C4180" s="2" t="s">
        <v>38</v>
      </c>
      <c r="D4180" s="2" t="s">
        <v>39</v>
      </c>
      <c r="E4180" s="5">
        <v>-31264</v>
      </c>
      <c r="F4180" s="3" t="s">
        <v>396</v>
      </c>
      <c r="G4180" s="3" t="s">
        <v>99</v>
      </c>
      <c r="H4180" s="2" t="s">
        <v>62</v>
      </c>
      <c r="I4180" s="2" t="s">
        <v>9702</v>
      </c>
      <c r="J4180" s="3" t="str">
        <f>HYPERLINK("https://www.boe.es/gazeta/dias/1814/05/26/pdfs/GMD-1814-77.pdf#page=5","Abrir facsímil")</f>
        <v>Abrir facsímil</v>
      </c>
      <c r="K4180" s="3" t="s">
        <v>64</v>
      </c>
    </row>
    <row r="4181" spans="1:11" ht="42" customHeight="1">
      <c r="A4181" s="2" t="s">
        <v>9703</v>
      </c>
      <c r="B4181" s="2" t="s">
        <v>9703</v>
      </c>
      <c r="C4181" s="2" t="s">
        <v>17</v>
      </c>
      <c r="D4181" s="2" t="s">
        <v>18</v>
      </c>
      <c r="E4181" s="5">
        <v>-31203</v>
      </c>
      <c r="F4181" s="3" t="s">
        <v>512</v>
      </c>
      <c r="G4181" s="3" t="s">
        <v>82</v>
      </c>
      <c r="H4181" s="2" t="s">
        <v>62</v>
      </c>
      <c r="I4181" s="2" t="s">
        <v>9704</v>
      </c>
      <c r="J4181" s="3" t="str">
        <f>HYPERLINK("https://www.boe.es/gazeta/dias/1814/07/26/pdfs/GMD-1814-103.pdf#page=3","Abrir facsímil")</f>
        <v>Abrir facsímil</v>
      </c>
      <c r="K4181" s="3" t="s">
        <v>64</v>
      </c>
    </row>
    <row r="4182" spans="1:11" ht="42" customHeight="1">
      <c r="A4182" s="2" t="s">
        <v>9705</v>
      </c>
      <c r="B4182" s="2" t="s">
        <v>9706</v>
      </c>
      <c r="C4182" s="2" t="s">
        <v>38</v>
      </c>
      <c r="D4182" s="2" t="s">
        <v>39</v>
      </c>
      <c r="E4182" s="5">
        <v>-31189</v>
      </c>
      <c r="F4182" s="3" t="s">
        <v>379</v>
      </c>
      <c r="G4182" s="3" t="s">
        <v>9707</v>
      </c>
      <c r="H4182" s="2" t="s">
        <v>62</v>
      </c>
      <c r="I4182" s="2" t="s">
        <v>9708</v>
      </c>
      <c r="J4182" s="3" t="str">
        <f>HYPERLINK("https://www.boe.es/gazeta/dias/1814/08/09/pdfs/GMD-1814-109.pdf#page=6","Abrir facsímil")</f>
        <v>Abrir facsímil</v>
      </c>
      <c r="K4182" s="3" t="s">
        <v>64</v>
      </c>
    </row>
    <row r="4183" spans="1:11" ht="42" customHeight="1">
      <c r="A4183" s="2" t="s">
        <v>9705</v>
      </c>
      <c r="B4183" s="2" t="s">
        <v>9706</v>
      </c>
      <c r="C4183" s="2" t="s">
        <v>26</v>
      </c>
      <c r="D4183" s="2" t="s">
        <v>27</v>
      </c>
      <c r="E4183" s="5">
        <v>-31119</v>
      </c>
      <c r="F4183" s="3" t="s">
        <v>136</v>
      </c>
      <c r="G4183" s="3" t="s">
        <v>704</v>
      </c>
      <c r="H4183" s="2" t="s">
        <v>62</v>
      </c>
      <c r="I4183" s="2" t="s">
        <v>9709</v>
      </c>
      <c r="J4183" s="3" t="str">
        <f>HYPERLINK("https://www.boe.es/gazeta/dias/1814/10/18/pdfs/GMD-1814-140.pdf#page=10","Abrir facsímil")</f>
        <v>Abrir facsímil</v>
      </c>
      <c r="K4183" s="3" t="s">
        <v>64</v>
      </c>
    </row>
    <row r="4184" spans="1:11" ht="42" customHeight="1">
      <c r="A4184" s="2" t="s">
        <v>9710</v>
      </c>
      <c r="B4184" s="2" t="s">
        <v>9711</v>
      </c>
      <c r="C4184" s="2" t="s">
        <v>38</v>
      </c>
      <c r="D4184" s="2" t="s">
        <v>39</v>
      </c>
      <c r="E4184" s="5">
        <v>-31208</v>
      </c>
      <c r="F4184" s="3" t="s">
        <v>509</v>
      </c>
      <c r="G4184" s="3" t="s">
        <v>510</v>
      </c>
      <c r="H4184" s="2" t="s">
        <v>62</v>
      </c>
      <c r="I4184" s="2" t="s">
        <v>9712</v>
      </c>
      <c r="J4184" s="3" t="str">
        <f>HYPERLINK("https://www.boe.es/gazeta/dias/1814/07/21/pdfs/GMD-1814-101.pdf#page=4","Abrir facsímil")</f>
        <v>Abrir facsímil</v>
      </c>
      <c r="K4184" s="3" t="s">
        <v>64</v>
      </c>
    </row>
    <row r="4185" spans="1:11" ht="42" customHeight="1">
      <c r="A4185" s="2" t="s">
        <v>9713</v>
      </c>
      <c r="B4185" s="2" t="s">
        <v>9714</v>
      </c>
      <c r="C4185" s="2" t="s">
        <v>38</v>
      </c>
      <c r="D4185" s="2" t="s">
        <v>39</v>
      </c>
      <c r="E4185" s="5">
        <v>-31234</v>
      </c>
      <c r="F4185" s="3" t="s">
        <v>462</v>
      </c>
      <c r="G4185" s="3" t="s">
        <v>41</v>
      </c>
      <c r="H4185" s="2" t="s">
        <v>62</v>
      </c>
      <c r="I4185" s="2" t="s">
        <v>9715</v>
      </c>
      <c r="J4185" s="3" t="str">
        <f>HYPERLINK("https://www.boe.es/gazeta/dias/1814/06/25/pdfs/GMD-1814-90.pdf#page=4","Abrir facsímil")</f>
        <v>Abrir facsímil</v>
      </c>
      <c r="K4185" s="3" t="s">
        <v>64</v>
      </c>
    </row>
    <row r="4186" spans="1:11" ht="42" customHeight="1">
      <c r="A4186" s="2" t="s">
        <v>9713</v>
      </c>
      <c r="B4186" s="2" t="s">
        <v>9714</v>
      </c>
      <c r="C4186" s="2" t="s">
        <v>309</v>
      </c>
      <c r="D4186" s="2" t="s">
        <v>18</v>
      </c>
      <c r="E4186" s="5">
        <v>-31171</v>
      </c>
      <c r="F4186" s="3" t="s">
        <v>157</v>
      </c>
      <c r="G4186" s="3" t="s">
        <v>57</v>
      </c>
      <c r="H4186" s="2" t="s">
        <v>62</v>
      </c>
      <c r="I4186" s="2" t="s">
        <v>9716</v>
      </c>
      <c r="J4186" s="3" t="str">
        <f>HYPERLINK("https://www.boe.es/gazeta/dias/1814/08/27/pdfs/GMD-1814-117.pdf#page=6","Abrir facsímil")</f>
        <v>Abrir facsímil</v>
      </c>
      <c r="K4186" s="3" t="s">
        <v>64</v>
      </c>
    </row>
    <row r="4187" spans="1:11" ht="42" customHeight="1">
      <c r="A4187" s="2" t="s">
        <v>9717</v>
      </c>
      <c r="B4187" s="2" t="s">
        <v>9718</v>
      </c>
      <c r="C4187" s="2" t="s">
        <v>38</v>
      </c>
      <c r="D4187" s="2" t="s">
        <v>314</v>
      </c>
      <c r="E4187" s="5">
        <v>-31296</v>
      </c>
      <c r="F4187" s="3" t="s">
        <v>315</v>
      </c>
      <c r="G4187" s="3" t="s">
        <v>52</v>
      </c>
      <c r="H4187" s="2" t="s">
        <v>62</v>
      </c>
      <c r="I4187" s="2" t="s">
        <v>9719</v>
      </c>
      <c r="J4187" s="3" t="str">
        <f>HYPERLINK("https://www.boe.es/gazeta/dias/1814/04/24/pdfs/GRE-1814-60E.pdf#page=8","Abrir facsímil")</f>
        <v>Abrir facsímil</v>
      </c>
      <c r="K4187" s="3" t="s">
        <v>64</v>
      </c>
    </row>
    <row r="4188" spans="1:11" ht="42" customHeight="1">
      <c r="A4188" s="2" t="s">
        <v>9720</v>
      </c>
      <c r="B4188" s="2" t="s">
        <v>9721</v>
      </c>
      <c r="C4188" s="2" t="s">
        <v>38</v>
      </c>
      <c r="D4188" s="2" t="s">
        <v>39</v>
      </c>
      <c r="E4188" s="5">
        <v>-31269</v>
      </c>
      <c r="F4188" s="3" t="s">
        <v>496</v>
      </c>
      <c r="G4188" s="3" t="s">
        <v>9722</v>
      </c>
      <c r="H4188" s="2" t="s">
        <v>62</v>
      </c>
      <c r="I4188" s="2" t="s">
        <v>9723</v>
      </c>
      <c r="J4188" s="3" t="str">
        <f>HYPERLINK("https://www.boe.es/gazeta/dias/1814/05/21/pdfs/GMD-1814-75.pdf#page=8","Abrir facsímil")</f>
        <v>Abrir facsímil</v>
      </c>
      <c r="K4188" s="3" t="s">
        <v>64</v>
      </c>
    </row>
    <row r="4189" spans="1:11" ht="42" customHeight="1">
      <c r="A4189" s="2" t="s">
        <v>9724</v>
      </c>
      <c r="B4189" s="2" t="s">
        <v>9725</v>
      </c>
      <c r="C4189" s="2" t="s">
        <v>17</v>
      </c>
      <c r="D4189" s="2" t="s">
        <v>18</v>
      </c>
      <c r="E4189" s="5">
        <v>-31122</v>
      </c>
      <c r="F4189" s="3" t="s">
        <v>28</v>
      </c>
      <c r="G4189" s="3" t="s">
        <v>20</v>
      </c>
      <c r="H4189" s="2" t="s">
        <v>62</v>
      </c>
      <c r="I4189" s="2" t="s">
        <v>9726</v>
      </c>
      <c r="J4189" s="3" t="str">
        <f>HYPERLINK("https://www.boe.es/gazeta/dias/1814/10/15/pdfs/GMD-1814-139.pdf#page=7","Abrir facsímil")</f>
        <v>Abrir facsímil</v>
      </c>
      <c r="K4189" s="3" t="s">
        <v>64</v>
      </c>
    </row>
    <row r="4190" spans="1:11" ht="42" customHeight="1">
      <c r="A4190" s="2" t="s">
        <v>9727</v>
      </c>
      <c r="B4190" s="2" t="s">
        <v>9727</v>
      </c>
      <c r="C4190" s="2" t="s">
        <v>38</v>
      </c>
      <c r="D4190" s="2" t="s">
        <v>39</v>
      </c>
      <c r="E4190" s="5">
        <v>-31334</v>
      </c>
      <c r="F4190" s="3" t="s">
        <v>482</v>
      </c>
      <c r="G4190" s="3" t="s">
        <v>2020</v>
      </c>
      <c r="H4190" s="2" t="s">
        <v>62</v>
      </c>
      <c r="I4190" s="2" t="s">
        <v>9728</v>
      </c>
      <c r="J4190" s="3" t="str">
        <f>HYPERLINK("https://www.boe.es/gazeta/dias/1814/03/17/pdfs/GRE-1814-37.pdf#page=4","Abrir facsímil")</f>
        <v>Abrir facsímil</v>
      </c>
      <c r="K4190" s="3" t="s">
        <v>64</v>
      </c>
    </row>
    <row r="4191" spans="1:11" ht="42" customHeight="1">
      <c r="A4191" s="2" t="s">
        <v>9729</v>
      </c>
      <c r="B4191" s="2" t="s">
        <v>9729</v>
      </c>
      <c r="C4191" s="2" t="s">
        <v>38</v>
      </c>
      <c r="D4191" s="2" t="s">
        <v>39</v>
      </c>
      <c r="E4191" s="5">
        <v>-31346</v>
      </c>
      <c r="F4191" s="3" t="s">
        <v>78</v>
      </c>
      <c r="G4191" s="3" t="s">
        <v>52</v>
      </c>
      <c r="H4191" s="2" t="s">
        <v>62</v>
      </c>
      <c r="I4191" s="2" t="s">
        <v>9730</v>
      </c>
      <c r="J4191" s="3" t="str">
        <f>HYPERLINK("https://www.boe.es/gazeta/dias/1814/03/05/pdfs/GRE-1814-30.pdf#page=8","Abrir facsímil")</f>
        <v>Abrir facsímil</v>
      </c>
      <c r="K4191" s="3" t="s">
        <v>64</v>
      </c>
    </row>
    <row r="4192" spans="1:11" ht="42" customHeight="1">
      <c r="A4192" s="2" t="s">
        <v>9731</v>
      </c>
      <c r="B4192" s="2" t="s">
        <v>9732</v>
      </c>
      <c r="C4192" s="2" t="s">
        <v>38</v>
      </c>
      <c r="D4192" s="2" t="s">
        <v>39</v>
      </c>
      <c r="E4192" s="5">
        <v>-31346</v>
      </c>
      <c r="F4192" s="3" t="s">
        <v>78</v>
      </c>
      <c r="G4192" s="3" t="s">
        <v>20</v>
      </c>
      <c r="H4192" s="2" t="s">
        <v>62</v>
      </c>
      <c r="I4192" s="2" t="s">
        <v>9733</v>
      </c>
      <c r="J4192" s="3" t="str">
        <f>HYPERLINK("https://www.boe.es/gazeta/dias/1814/03/05/pdfs/GRE-1814-30.pdf#page=7","Abrir facsímil")</f>
        <v>Abrir facsímil</v>
      </c>
      <c r="K4192" s="3" t="s">
        <v>64</v>
      </c>
    </row>
    <row r="4193" spans="1:11" ht="42" customHeight="1">
      <c r="A4193" s="2" t="s">
        <v>9734</v>
      </c>
      <c r="B4193" s="2" t="s">
        <v>9735</v>
      </c>
      <c r="C4193" s="2" t="s">
        <v>38</v>
      </c>
      <c r="D4193" s="2" t="s">
        <v>314</v>
      </c>
      <c r="E4193" s="5">
        <v>-31296</v>
      </c>
      <c r="F4193" s="3" t="s">
        <v>315</v>
      </c>
      <c r="G4193" s="3" t="s">
        <v>57</v>
      </c>
      <c r="H4193" s="2" t="s">
        <v>62</v>
      </c>
      <c r="I4193" s="2" t="s">
        <v>9736</v>
      </c>
      <c r="J4193" s="3" t="str">
        <f>HYPERLINK("https://www.boe.es/gazeta/dias/1814/04/24/pdfs/GRE-1814-60E.pdf#page=6","Abrir facsímil")</f>
        <v>Abrir facsímil</v>
      </c>
      <c r="K4193" s="3" t="s">
        <v>64</v>
      </c>
    </row>
    <row r="4194" spans="1:11" ht="42" customHeight="1">
      <c r="A4194" s="2" t="s">
        <v>9737</v>
      </c>
      <c r="B4194" s="2" t="s">
        <v>9737</v>
      </c>
      <c r="C4194" s="2" t="s">
        <v>38</v>
      </c>
      <c r="D4194" s="2" t="s">
        <v>39</v>
      </c>
      <c r="E4194" s="5">
        <v>-31362</v>
      </c>
      <c r="F4194" s="3" t="s">
        <v>302</v>
      </c>
      <c r="G4194" s="3" t="s">
        <v>41</v>
      </c>
      <c r="H4194" s="2" t="s">
        <v>62</v>
      </c>
      <c r="I4194" s="2" t="s">
        <v>9738</v>
      </c>
      <c r="J4194" s="3" t="str">
        <f>HYPERLINK("https://www.boe.es/gazeta/dias/1814/02/17/pdfs/GRE-1814-22.pdf#page=4","Abrir facsímil")</f>
        <v>Abrir facsímil</v>
      </c>
      <c r="K4194" s="3" t="s">
        <v>64</v>
      </c>
    </row>
    <row r="4195" spans="1:11" ht="42" customHeight="1">
      <c r="A4195" s="2" t="s">
        <v>9739</v>
      </c>
      <c r="B4195" s="2" t="s">
        <v>9739</v>
      </c>
      <c r="C4195" s="2" t="s">
        <v>38</v>
      </c>
      <c r="D4195" s="2" t="s">
        <v>39</v>
      </c>
      <c r="E4195" s="5">
        <v>-31334</v>
      </c>
      <c r="F4195" s="3" t="s">
        <v>482</v>
      </c>
      <c r="G4195" s="3" t="s">
        <v>99</v>
      </c>
      <c r="H4195" s="2" t="s">
        <v>62</v>
      </c>
      <c r="I4195" s="2" t="s">
        <v>9740</v>
      </c>
      <c r="J4195" s="3" t="str">
        <f>HYPERLINK("https://www.boe.es/gazeta/dias/1814/03/17/pdfs/GRE-1814-37.pdf#page=5","Abrir facsímil")</f>
        <v>Abrir facsímil</v>
      </c>
      <c r="K4195" s="3" t="s">
        <v>64</v>
      </c>
    </row>
    <row r="4196" spans="1:11" ht="42" customHeight="1">
      <c r="A4196" s="2" t="s">
        <v>9741</v>
      </c>
      <c r="B4196" s="2" t="s">
        <v>9741</v>
      </c>
      <c r="C4196" s="2" t="s">
        <v>38</v>
      </c>
      <c r="D4196" s="2" t="s">
        <v>39</v>
      </c>
      <c r="E4196" s="5">
        <v>-31371</v>
      </c>
      <c r="F4196" s="3" t="s">
        <v>476</v>
      </c>
      <c r="G4196" s="3" t="s">
        <v>99</v>
      </c>
      <c r="H4196" s="2" t="s">
        <v>62</v>
      </c>
      <c r="I4196" s="2" t="s">
        <v>9742</v>
      </c>
      <c r="J4196" s="3" t="str">
        <f>HYPERLINK("https://www.boe.es/gazeta/dias/1814/02/08/pdfs/GRE-1814-31.pdf#page=5","Abrir facsímil")</f>
        <v>Abrir facsímil</v>
      </c>
      <c r="K4196" s="3" t="s">
        <v>64</v>
      </c>
    </row>
    <row r="4197" spans="1:11" ht="42" customHeight="1">
      <c r="A4197" s="2" t="s">
        <v>9741</v>
      </c>
      <c r="B4197" s="2" t="s">
        <v>9741</v>
      </c>
      <c r="C4197" s="2" t="s">
        <v>38</v>
      </c>
      <c r="D4197" s="2" t="s">
        <v>39</v>
      </c>
      <c r="E4197" s="5">
        <v>-31350</v>
      </c>
      <c r="F4197" s="3" t="s">
        <v>377</v>
      </c>
      <c r="G4197" s="3" t="s">
        <v>87</v>
      </c>
      <c r="H4197" s="2" t="s">
        <v>62</v>
      </c>
      <c r="I4197" s="2" t="s">
        <v>9743</v>
      </c>
      <c r="J4197" s="3" t="str">
        <f>HYPERLINK("https://www.boe.es/gazeta/dias/1814/03/01/pdfs/GRE-1814-28.pdf#page=2","Abrir facsímil")</f>
        <v>Abrir facsímil</v>
      </c>
      <c r="K4197" s="3" t="s">
        <v>64</v>
      </c>
    </row>
    <row r="4198" spans="1:11" ht="42" customHeight="1">
      <c r="A4198" s="2" t="s">
        <v>9741</v>
      </c>
      <c r="B4198" s="2" t="s">
        <v>9741</v>
      </c>
      <c r="C4198" s="2" t="s">
        <v>38</v>
      </c>
      <c r="D4198" s="2" t="s">
        <v>39</v>
      </c>
      <c r="E4198" s="5">
        <v>-31343</v>
      </c>
      <c r="F4198" s="3" t="s">
        <v>476</v>
      </c>
      <c r="G4198" s="3" t="s">
        <v>99</v>
      </c>
      <c r="H4198" s="2" t="s">
        <v>62</v>
      </c>
      <c r="I4198" s="2" t="s">
        <v>9742</v>
      </c>
      <c r="J4198" s="3" t="str">
        <f>HYPERLINK("https://www.boe.es/gazeta/dias/1814/03/08/pdfs/GRE-1814-31.pdf#page=5","Abrir facsímil")</f>
        <v>Abrir facsímil</v>
      </c>
      <c r="K4198" s="3" t="s">
        <v>64</v>
      </c>
    </row>
    <row r="4199" spans="1:11" ht="42" customHeight="1">
      <c r="A4199" s="2" t="s">
        <v>9741</v>
      </c>
      <c r="B4199" s="2" t="s">
        <v>9741</v>
      </c>
      <c r="C4199" s="2" t="s">
        <v>38</v>
      </c>
      <c r="D4199" s="2" t="s">
        <v>39</v>
      </c>
      <c r="E4199" s="5">
        <v>-31318</v>
      </c>
      <c r="F4199" s="3" t="s">
        <v>400</v>
      </c>
      <c r="G4199" s="3" t="s">
        <v>87</v>
      </c>
      <c r="H4199" s="2" t="s">
        <v>62</v>
      </c>
      <c r="I4199" s="2" t="s">
        <v>9744</v>
      </c>
      <c r="J4199" s="3" t="str">
        <f>HYPERLINK("https://www.boe.es/gazeta/dias/1814/04/02/pdfs/GRE-1814-47.pdf#page=2","Abrir facsímil")</f>
        <v>Abrir facsímil</v>
      </c>
      <c r="K4199" s="3" t="s">
        <v>64</v>
      </c>
    </row>
    <row r="4200" spans="1:11" ht="42" customHeight="1">
      <c r="A4200" s="2" t="s">
        <v>9741</v>
      </c>
      <c r="B4200" s="2" t="s">
        <v>9741</v>
      </c>
      <c r="C4200" s="2" t="s">
        <v>17</v>
      </c>
      <c r="D4200" s="2" t="s">
        <v>18</v>
      </c>
      <c r="E4200" s="5">
        <v>-31315</v>
      </c>
      <c r="F4200" s="3" t="s">
        <v>645</v>
      </c>
      <c r="G4200" s="3" t="s">
        <v>87</v>
      </c>
      <c r="H4200" s="2" t="s">
        <v>62</v>
      </c>
      <c r="I4200" s="2" t="s">
        <v>9745</v>
      </c>
      <c r="J4200" s="3" t="str">
        <f>HYPERLINK("https://www.boe.es/gazeta/dias/1814/04/05/pdfs/GRE-1814-49.pdf#page=2","Abrir facsímil")</f>
        <v>Abrir facsímil</v>
      </c>
      <c r="K4200" s="3" t="s">
        <v>64</v>
      </c>
    </row>
    <row r="4201" spans="1:11" ht="42" customHeight="1">
      <c r="A4201" s="2" t="s">
        <v>9741</v>
      </c>
      <c r="B4201" s="2" t="s">
        <v>9741</v>
      </c>
      <c r="C4201" s="2" t="s">
        <v>38</v>
      </c>
      <c r="D4201" s="2" t="s">
        <v>39</v>
      </c>
      <c r="E4201" s="5">
        <v>-31257</v>
      </c>
      <c r="F4201" s="3" t="s">
        <v>437</v>
      </c>
      <c r="G4201" s="3" t="s">
        <v>107</v>
      </c>
      <c r="H4201" s="2" t="s">
        <v>62</v>
      </c>
      <c r="I4201" s="2" t="s">
        <v>9746</v>
      </c>
      <c r="J4201" s="3" t="str">
        <f>HYPERLINK("https://www.boe.es/gazeta/dias/1814/06/02/pdfs/GMD-1814-80.pdf#page=1","Abrir facsímil")</f>
        <v>Abrir facsímil</v>
      </c>
      <c r="K4201" s="3" t="s">
        <v>64</v>
      </c>
    </row>
    <row r="4202" spans="1:11" ht="42" customHeight="1">
      <c r="A4202" s="2" t="s">
        <v>9741</v>
      </c>
      <c r="B4202" s="2" t="s">
        <v>9741</v>
      </c>
      <c r="C4202" s="2" t="s">
        <v>38</v>
      </c>
      <c r="D4202" s="2" t="s">
        <v>39</v>
      </c>
      <c r="E4202" s="5">
        <v>-31222</v>
      </c>
      <c r="F4202" s="3" t="s">
        <v>153</v>
      </c>
      <c r="G4202" s="3" t="s">
        <v>82</v>
      </c>
      <c r="H4202" s="2" t="s">
        <v>62</v>
      </c>
      <c r="I4202" s="2" t="s">
        <v>9747</v>
      </c>
      <c r="J4202" s="3" t="str">
        <f>HYPERLINK("https://www.boe.es/gazeta/dias/1814/07/07/pdfs/GMD-1814-95.pdf#page=3","Abrir facsímil")</f>
        <v>Abrir facsímil</v>
      </c>
      <c r="K4202" s="3" t="s">
        <v>64</v>
      </c>
    </row>
    <row r="4203" spans="1:11" ht="42" customHeight="1">
      <c r="A4203" s="2" t="s">
        <v>9741</v>
      </c>
      <c r="B4203" s="2" t="s">
        <v>9741</v>
      </c>
      <c r="C4203" s="2" t="s">
        <v>38</v>
      </c>
      <c r="D4203" s="2" t="s">
        <v>39</v>
      </c>
      <c r="E4203" s="5">
        <v>-31222</v>
      </c>
      <c r="F4203" s="3" t="s">
        <v>153</v>
      </c>
      <c r="G4203" s="3" t="s">
        <v>41</v>
      </c>
      <c r="H4203" s="2" t="s">
        <v>62</v>
      </c>
      <c r="I4203" s="2" t="s">
        <v>9748</v>
      </c>
      <c r="J4203" s="3" t="str">
        <f>HYPERLINK("https://www.boe.es/gazeta/dias/1814/07/07/pdfs/GMD-1814-95.pdf#page=4","Abrir facsímil")</f>
        <v>Abrir facsímil</v>
      </c>
      <c r="K4203" s="3" t="s">
        <v>64</v>
      </c>
    </row>
    <row r="4204" spans="1:11" ht="42" customHeight="1">
      <c r="A4204" s="2" t="s">
        <v>9741</v>
      </c>
      <c r="B4204" s="2" t="s">
        <v>9741</v>
      </c>
      <c r="C4204" s="2" t="s">
        <v>38</v>
      </c>
      <c r="D4204" s="2" t="s">
        <v>39</v>
      </c>
      <c r="E4204" s="5">
        <v>-31220</v>
      </c>
      <c r="F4204" s="3" t="s">
        <v>122</v>
      </c>
      <c r="G4204" s="3" t="s">
        <v>87</v>
      </c>
      <c r="H4204" s="2" t="s">
        <v>62</v>
      </c>
      <c r="I4204" s="2" t="s">
        <v>9749</v>
      </c>
      <c r="J4204" s="3" t="str">
        <f>HYPERLINK("https://www.boe.es/gazeta/dias/1814/07/09/pdfs/GMD-1814-96.pdf#page=2","Abrir facsímil")</f>
        <v>Abrir facsímil</v>
      </c>
      <c r="K4204" s="3" t="s">
        <v>64</v>
      </c>
    </row>
    <row r="4205" spans="1:11" ht="42" customHeight="1">
      <c r="A4205" s="2" t="s">
        <v>9750</v>
      </c>
      <c r="B4205" s="2" t="s">
        <v>9750</v>
      </c>
      <c r="C4205" s="2" t="s">
        <v>38</v>
      </c>
      <c r="D4205" s="2" t="s">
        <v>39</v>
      </c>
      <c r="E4205" s="5">
        <v>-31227</v>
      </c>
      <c r="F4205" s="3" t="s">
        <v>102</v>
      </c>
      <c r="G4205" s="3" t="s">
        <v>107</v>
      </c>
      <c r="H4205" s="2" t="s">
        <v>62</v>
      </c>
      <c r="I4205" s="2" t="s">
        <v>9751</v>
      </c>
      <c r="J4205" s="3" t="str">
        <f>HYPERLINK("https://www.boe.es/gazeta/dias/1814/07/02/pdfs/GMD-1814-93.pdf#page=1","Abrir facsímil")</f>
        <v>Abrir facsímil</v>
      </c>
      <c r="K4205" s="3" t="s">
        <v>64</v>
      </c>
    </row>
    <row r="4206" spans="1:11" ht="42" customHeight="1">
      <c r="A4206" s="2" t="s">
        <v>9752</v>
      </c>
      <c r="B4206" s="2" t="s">
        <v>9752</v>
      </c>
      <c r="C4206" s="2" t="s">
        <v>38</v>
      </c>
      <c r="D4206" s="2" t="s">
        <v>39</v>
      </c>
      <c r="E4206" s="5">
        <v>-31084</v>
      </c>
      <c r="F4206" s="3" t="s">
        <v>282</v>
      </c>
      <c r="G4206" s="3" t="s">
        <v>3050</v>
      </c>
      <c r="H4206" s="2" t="s">
        <v>62</v>
      </c>
      <c r="I4206" s="2" t="s">
        <v>9753</v>
      </c>
      <c r="J4206" s="3" t="str">
        <f>HYPERLINK("https://www.boe.es/gazeta/dias/1814/11/22/pdfs/GMD-1814-155.pdf#page=4","Abrir facsímil")</f>
        <v>Abrir facsímil</v>
      </c>
      <c r="K4206" s="3" t="s">
        <v>64</v>
      </c>
    </row>
    <row r="4207" spans="1:11" ht="42" customHeight="1">
      <c r="A4207" s="2" t="s">
        <v>9754</v>
      </c>
      <c r="B4207" s="2" t="s">
        <v>9755</v>
      </c>
      <c r="C4207" s="2" t="s">
        <v>38</v>
      </c>
      <c r="D4207" s="2" t="s">
        <v>39</v>
      </c>
      <c r="E4207" s="5">
        <v>-31187</v>
      </c>
      <c r="F4207" s="3" t="s">
        <v>518</v>
      </c>
      <c r="G4207" s="3" t="s">
        <v>5889</v>
      </c>
      <c r="H4207" s="2" t="s">
        <v>62</v>
      </c>
      <c r="I4207" s="2" t="s">
        <v>9756</v>
      </c>
      <c r="J4207" s="3" t="str">
        <f>HYPERLINK("https://www.boe.es/gazeta/dias/1814/08/11/pdfs/GMD-1814-110.pdf#page=6","Abrir facsímil")</f>
        <v>Abrir facsímil</v>
      </c>
      <c r="K4207" s="3" t="s">
        <v>64</v>
      </c>
    </row>
    <row r="4208" spans="1:11" ht="42" customHeight="1">
      <c r="A4208" s="2" t="s">
        <v>9757</v>
      </c>
      <c r="B4208" s="2" t="s">
        <v>9757</v>
      </c>
      <c r="C4208" s="2" t="s">
        <v>38</v>
      </c>
      <c r="D4208" s="2" t="s">
        <v>39</v>
      </c>
      <c r="E4208" s="5">
        <v>-31075</v>
      </c>
      <c r="F4208" s="3" t="s">
        <v>537</v>
      </c>
      <c r="G4208" s="3" t="s">
        <v>52</v>
      </c>
      <c r="H4208" s="2" t="s">
        <v>62</v>
      </c>
      <c r="I4208" s="2" t="s">
        <v>9758</v>
      </c>
      <c r="J4208" s="3" t="str">
        <f>HYPERLINK("https://www.boe.es/gazeta/dias/1814/12/01/pdfs/GMD-1814-159.pdf#page=8","Abrir facsímil")</f>
        <v>Abrir facsímil</v>
      </c>
      <c r="K4208" s="3" t="s">
        <v>64</v>
      </c>
    </row>
    <row r="4209" spans="1:11" ht="42" customHeight="1">
      <c r="A4209" s="2" t="s">
        <v>9759</v>
      </c>
      <c r="B4209" s="2" t="s">
        <v>9760</v>
      </c>
      <c r="C4209" s="2" t="s">
        <v>38</v>
      </c>
      <c r="D4209" s="2" t="s">
        <v>39</v>
      </c>
      <c r="E4209" s="5">
        <v>-31355</v>
      </c>
      <c r="F4209" s="3" t="s">
        <v>50</v>
      </c>
      <c r="G4209" s="3" t="s">
        <v>20</v>
      </c>
      <c r="H4209" s="2" t="s">
        <v>62</v>
      </c>
      <c r="I4209" s="2" t="s">
        <v>9761</v>
      </c>
      <c r="J4209" s="3" t="str">
        <f>HYPERLINK("https://www.boe.es/gazeta/dias/1814/02/24/pdfs/GRE-1814-26.pdf#page=7","Abrir facsímil")</f>
        <v>Abrir facsímil</v>
      </c>
      <c r="K4209" s="3" t="s">
        <v>64</v>
      </c>
    </row>
    <row r="4210" spans="1:11" ht="42" customHeight="1">
      <c r="A4210" s="2" t="s">
        <v>9762</v>
      </c>
      <c r="B4210" s="2" t="s">
        <v>9763</v>
      </c>
      <c r="C4210" s="2" t="s">
        <v>17</v>
      </c>
      <c r="D4210" s="2" t="s">
        <v>18</v>
      </c>
      <c r="E4210" s="5">
        <v>-31119</v>
      </c>
      <c r="F4210" s="3" t="s">
        <v>136</v>
      </c>
      <c r="G4210" s="3" t="s">
        <v>384</v>
      </c>
      <c r="H4210" s="2" t="s">
        <v>62</v>
      </c>
      <c r="I4210" s="2" t="s">
        <v>9764</v>
      </c>
      <c r="J4210" s="3" t="str">
        <f>HYPERLINK("https://www.boe.es/gazeta/dias/1814/10/18/pdfs/GMD-1814-140.pdf#page=11","Abrir facsímil")</f>
        <v>Abrir facsímil</v>
      </c>
      <c r="K4210" s="3" t="s">
        <v>64</v>
      </c>
    </row>
    <row r="4211" spans="1:11" ht="42" customHeight="1">
      <c r="A4211" s="2" t="s">
        <v>9762</v>
      </c>
      <c r="B4211" s="2" t="s">
        <v>9763</v>
      </c>
      <c r="C4211" s="2" t="s">
        <v>17</v>
      </c>
      <c r="D4211" s="2" t="s">
        <v>18</v>
      </c>
      <c r="E4211" s="5">
        <v>-31115</v>
      </c>
      <c r="F4211" s="3" t="s">
        <v>805</v>
      </c>
      <c r="G4211" s="3" t="s">
        <v>20</v>
      </c>
      <c r="H4211" s="2" t="s">
        <v>62</v>
      </c>
      <c r="I4211" s="2" t="s">
        <v>9765</v>
      </c>
      <c r="J4211" s="3" t="str">
        <f>HYPERLINK("https://www.boe.es/gazeta/dias/1814/10/22/pdfs/GMD-1814-142.pdf#page=7","Abrir facsímil")</f>
        <v>Abrir facsímil</v>
      </c>
      <c r="K4211" s="3" t="s">
        <v>64</v>
      </c>
    </row>
    <row r="4212" spans="1:11" ht="42" customHeight="1">
      <c r="A4212" s="2" t="s">
        <v>9766</v>
      </c>
      <c r="B4212" s="2" t="s">
        <v>9767</v>
      </c>
      <c r="C4212" s="2" t="s">
        <v>26</v>
      </c>
      <c r="D4212" s="2" t="s">
        <v>27</v>
      </c>
      <c r="E4212" s="5">
        <v>-31059</v>
      </c>
      <c r="F4212" s="3" t="s">
        <v>263</v>
      </c>
      <c r="G4212" s="3" t="s">
        <v>264</v>
      </c>
      <c r="H4212" s="2" t="s">
        <v>62</v>
      </c>
      <c r="I4212" s="2" t="s">
        <v>9768</v>
      </c>
      <c r="J4212" s="3" t="str">
        <f>HYPERLINK("https://www.boe.es/gazeta/dias/1814/12/17/pdfs/GMD-1814-167.pdf#page=7","Abrir facsímil")</f>
        <v>Abrir facsímil</v>
      </c>
      <c r="K4212" s="3" t="s">
        <v>64</v>
      </c>
    </row>
    <row r="4213" spans="1:11" ht="42" customHeight="1">
      <c r="A4213" s="2" t="s">
        <v>9769</v>
      </c>
      <c r="B4213" s="2" t="s">
        <v>9769</v>
      </c>
      <c r="C4213" s="2" t="s">
        <v>17</v>
      </c>
      <c r="D4213" s="2" t="s">
        <v>18</v>
      </c>
      <c r="E4213" s="5">
        <v>-31182</v>
      </c>
      <c r="F4213" s="3" t="s">
        <v>19</v>
      </c>
      <c r="G4213" s="3" t="s">
        <v>1279</v>
      </c>
      <c r="H4213" s="2" t="s">
        <v>62</v>
      </c>
      <c r="I4213" s="2" t="s">
        <v>9770</v>
      </c>
      <c r="J4213" s="3" t="str">
        <f>HYPERLINK("https://www.boe.es/gazeta/dias/1814/08/16/pdfs/GMD-1814-112.pdf#page=2","Abrir facsímil")</f>
        <v>Abrir facsímil</v>
      </c>
      <c r="K4213" s="3" t="s">
        <v>64</v>
      </c>
    </row>
    <row r="4214" spans="1:11" ht="42" customHeight="1">
      <c r="A4214" s="2" t="s">
        <v>9769</v>
      </c>
      <c r="B4214" s="2" t="s">
        <v>9769</v>
      </c>
      <c r="C4214" s="2" t="s">
        <v>38</v>
      </c>
      <c r="D4214" s="2" t="s">
        <v>39</v>
      </c>
      <c r="E4214" s="5">
        <v>-31164</v>
      </c>
      <c r="F4214" s="3" t="s">
        <v>1423</v>
      </c>
      <c r="G4214" s="3" t="s">
        <v>87</v>
      </c>
      <c r="H4214" s="2" t="s">
        <v>62</v>
      </c>
      <c r="I4214" s="2" t="s">
        <v>9771</v>
      </c>
      <c r="J4214" s="3" t="str">
        <f>HYPERLINK("https://www.boe.es/gazeta/dias/1814/09/03/pdfs/GMD-1814-121.pdf#page=2","Abrir facsímil")</f>
        <v>Abrir facsímil</v>
      </c>
      <c r="K4214" s="3" t="s">
        <v>64</v>
      </c>
    </row>
    <row r="4215" spans="1:11" ht="42" customHeight="1">
      <c r="A4215" s="2" t="s">
        <v>9772</v>
      </c>
      <c r="B4215" s="2" t="s">
        <v>9772</v>
      </c>
      <c r="C4215" s="2" t="s">
        <v>38</v>
      </c>
      <c r="D4215" s="2" t="s">
        <v>39</v>
      </c>
      <c r="E4215" s="5">
        <v>-31313</v>
      </c>
      <c r="F4215" s="3" t="s">
        <v>239</v>
      </c>
      <c r="G4215" s="3" t="s">
        <v>20</v>
      </c>
      <c r="H4215" s="2" t="s">
        <v>62</v>
      </c>
      <c r="I4215" s="2" t="s">
        <v>9773</v>
      </c>
      <c r="J4215" s="3" t="str">
        <f>HYPERLINK("https://www.boe.es/gazeta/dias/1814/04/07/pdfs/GRE-1814-50.pdf#page=7","Abrir facsímil")</f>
        <v>Abrir facsímil</v>
      </c>
      <c r="K4215" s="3" t="s">
        <v>64</v>
      </c>
    </row>
    <row r="4216" spans="1:11" ht="42" customHeight="1">
      <c r="A4216" s="2" t="s">
        <v>9774</v>
      </c>
      <c r="B4216" s="2" t="s">
        <v>9774</v>
      </c>
      <c r="C4216" s="2" t="s">
        <v>38</v>
      </c>
      <c r="D4216" s="2" t="s">
        <v>314</v>
      </c>
      <c r="E4216" s="5">
        <v>-31328</v>
      </c>
      <c r="F4216" s="3" t="s">
        <v>442</v>
      </c>
      <c r="G4216" s="3" t="s">
        <v>52</v>
      </c>
      <c r="H4216" s="2" t="s">
        <v>62</v>
      </c>
      <c r="I4216" s="2" t="s">
        <v>9775</v>
      </c>
      <c r="J4216" s="3" t="str">
        <f>HYPERLINK("https://www.boe.es/gazeta/dias/1814/03/23/pdfs/GRE-1814-40E.pdf#page=8","Abrir facsímil")</f>
        <v>Abrir facsímil</v>
      </c>
      <c r="K4216" s="3" t="s">
        <v>64</v>
      </c>
    </row>
    <row r="4217" spans="1:11" ht="42" customHeight="1">
      <c r="A4217" s="2" t="s">
        <v>9774</v>
      </c>
      <c r="B4217" s="2" t="s">
        <v>9774</v>
      </c>
      <c r="C4217" s="2" t="s">
        <v>38</v>
      </c>
      <c r="D4217" s="2" t="s">
        <v>314</v>
      </c>
      <c r="E4217" s="5">
        <v>-31296</v>
      </c>
      <c r="F4217" s="3" t="s">
        <v>315</v>
      </c>
      <c r="G4217" s="3" t="s">
        <v>87</v>
      </c>
      <c r="H4217" s="2" t="s">
        <v>62</v>
      </c>
      <c r="I4217" s="2" t="s">
        <v>9776</v>
      </c>
      <c r="J4217" s="3" t="str">
        <f>HYPERLINK("https://www.boe.es/gazeta/dias/1814/04/24/pdfs/GRE-1814-60E.pdf#page=2","Abrir facsímil")</f>
        <v>Abrir facsímil</v>
      </c>
      <c r="K4217" s="3" t="s">
        <v>64</v>
      </c>
    </row>
    <row r="4218" spans="1:11" ht="42" customHeight="1">
      <c r="A4218" s="2" t="s">
        <v>9777</v>
      </c>
      <c r="B4218" s="2" t="s">
        <v>9778</v>
      </c>
      <c r="C4218" s="2" t="s">
        <v>38</v>
      </c>
      <c r="D4218" s="2" t="s">
        <v>39</v>
      </c>
      <c r="E4218" s="5">
        <v>-31133</v>
      </c>
      <c r="F4218" s="3" t="s">
        <v>184</v>
      </c>
      <c r="G4218" s="3" t="s">
        <v>20</v>
      </c>
      <c r="H4218" s="2" t="s">
        <v>62</v>
      </c>
      <c r="I4218" s="2" t="s">
        <v>9779</v>
      </c>
      <c r="J4218" s="3" t="str">
        <f>HYPERLINK("https://www.boe.es/gazeta/dias/1814/10/04/pdfs/GMD-1814-134.pdf#page=7","Abrir facsímil")</f>
        <v>Abrir facsímil</v>
      </c>
      <c r="K4218" s="3" t="s">
        <v>64</v>
      </c>
    </row>
    <row r="4219" spans="1:11" ht="42" customHeight="1">
      <c r="A4219" s="2" t="s">
        <v>9777</v>
      </c>
      <c r="B4219" s="2" t="s">
        <v>9778</v>
      </c>
      <c r="C4219" s="2" t="s">
        <v>38</v>
      </c>
      <c r="D4219" s="2" t="s">
        <v>39</v>
      </c>
      <c r="E4219" s="5">
        <v>-31124</v>
      </c>
      <c r="F4219" s="3" t="s">
        <v>383</v>
      </c>
      <c r="G4219" s="3" t="s">
        <v>574</v>
      </c>
      <c r="H4219" s="2" t="s">
        <v>62</v>
      </c>
      <c r="I4219" s="2" t="s">
        <v>9780</v>
      </c>
      <c r="J4219" s="3" t="str">
        <f>HYPERLINK("https://www.boe.es/gazeta/dias/1814/10/13/pdfs/GMD-1814-138.pdf#page=10","Abrir facsímil")</f>
        <v>Abrir facsímil</v>
      </c>
      <c r="K4219" s="3" t="s">
        <v>64</v>
      </c>
    </row>
    <row r="4220" spans="1:11" ht="42" customHeight="1">
      <c r="A4220" s="2" t="s">
        <v>9781</v>
      </c>
      <c r="B4220" s="2" t="s">
        <v>9782</v>
      </c>
      <c r="C4220" s="2" t="s">
        <v>38</v>
      </c>
      <c r="D4220" s="2" t="s">
        <v>39</v>
      </c>
      <c r="E4220" s="5">
        <v>-31236</v>
      </c>
      <c r="F4220" s="3" t="s">
        <v>33</v>
      </c>
      <c r="G4220" s="3" t="s">
        <v>384</v>
      </c>
      <c r="H4220" s="2" t="s">
        <v>62</v>
      </c>
      <c r="I4220" s="2" t="s">
        <v>9783</v>
      </c>
      <c r="J4220" s="3" t="str">
        <f>HYPERLINK("https://www.boe.es/gazeta/dias/1814/06/23/pdfs/GMD-1814-89.pdf#page=11","Abrir facsímil")</f>
        <v>Abrir facsímil</v>
      </c>
      <c r="K4220" s="3" t="s">
        <v>64</v>
      </c>
    </row>
    <row r="4221" spans="1:11" ht="42" customHeight="1">
      <c r="A4221" s="2" t="s">
        <v>9784</v>
      </c>
      <c r="B4221" s="2" t="s">
        <v>9785</v>
      </c>
      <c r="C4221" s="2" t="s">
        <v>45</v>
      </c>
      <c r="D4221" s="2" t="s">
        <v>18</v>
      </c>
      <c r="E4221" s="5">
        <v>-31059</v>
      </c>
      <c r="F4221" s="3" t="s">
        <v>263</v>
      </c>
      <c r="G4221" s="3" t="s">
        <v>57</v>
      </c>
      <c r="H4221" s="2" t="s">
        <v>21</v>
      </c>
      <c r="I4221" s="2" t="s">
        <v>9786</v>
      </c>
      <c r="J4221" s="3" t="str">
        <f>HYPERLINK("https://www.boe.es/gazeta/dias/1814/12/17/pdfs/GMD-1814-167.pdf#page=6","Abrir facsímil")</f>
        <v>Abrir facsímil</v>
      </c>
      <c r="K4221" s="3" t="s">
        <v>23</v>
      </c>
    </row>
    <row r="4222" spans="1:11" ht="42" customHeight="1">
      <c r="A4222" s="2" t="s">
        <v>9787</v>
      </c>
      <c r="B4222" s="2" t="s">
        <v>9788</v>
      </c>
      <c r="C4222" s="2" t="s">
        <v>38</v>
      </c>
      <c r="D4222" s="2" t="s">
        <v>39</v>
      </c>
      <c r="E4222" s="5">
        <v>-31119</v>
      </c>
      <c r="F4222" s="3" t="s">
        <v>136</v>
      </c>
      <c r="G4222" s="3" t="s">
        <v>704</v>
      </c>
      <c r="H4222" s="2" t="s">
        <v>62</v>
      </c>
      <c r="I4222" s="2" t="s">
        <v>9789</v>
      </c>
      <c r="J4222" s="3" t="str">
        <f>HYPERLINK("https://www.boe.es/gazeta/dias/1814/10/18/pdfs/GMD-1814-140.pdf#page=10","Abrir facsímil")</f>
        <v>Abrir facsímil</v>
      </c>
      <c r="K4222" s="3" t="s">
        <v>64</v>
      </c>
    </row>
    <row r="4223" spans="1:11" ht="42" customHeight="1">
      <c r="A4223" s="2" t="s">
        <v>9790</v>
      </c>
      <c r="B4223" s="2" t="s">
        <v>9791</v>
      </c>
      <c r="C4223" s="2" t="s">
        <v>45</v>
      </c>
      <c r="D4223" s="2" t="s">
        <v>18</v>
      </c>
      <c r="E4223" s="5">
        <v>-31059</v>
      </c>
      <c r="F4223" s="3" t="s">
        <v>263</v>
      </c>
      <c r="G4223" s="3" t="s">
        <v>264</v>
      </c>
      <c r="H4223" s="2" t="s">
        <v>62</v>
      </c>
      <c r="I4223" s="2" t="s">
        <v>9792</v>
      </c>
      <c r="J4223" s="3" t="str">
        <f>HYPERLINK("https://www.boe.es/gazeta/dias/1814/12/17/pdfs/GMD-1814-167.pdf#page=7","Abrir facsímil")</f>
        <v>Abrir facsímil</v>
      </c>
      <c r="K4223" s="3" t="s">
        <v>64</v>
      </c>
    </row>
    <row r="4224" spans="1:11" ht="42" customHeight="1">
      <c r="A4224" s="2" t="s">
        <v>9793</v>
      </c>
      <c r="B4224" s="2" t="s">
        <v>9794</v>
      </c>
      <c r="C4224" s="2" t="s">
        <v>38</v>
      </c>
      <c r="D4224" s="2" t="s">
        <v>39</v>
      </c>
      <c r="E4224" s="5">
        <v>-31378</v>
      </c>
      <c r="F4224" s="3" t="s">
        <v>98</v>
      </c>
      <c r="G4224" s="3" t="s">
        <v>52</v>
      </c>
      <c r="H4224" s="2" t="s">
        <v>62</v>
      </c>
      <c r="I4224" s="2" t="s">
        <v>9795</v>
      </c>
      <c r="J4224" s="3" t="str">
        <f>HYPERLINK("https://www.boe.es/gazeta/dias/1814/02/01/pdfs/GRE-1814-15.pdf#page=8","Abrir facsímil")</f>
        <v>Abrir facsímil</v>
      </c>
      <c r="K4224" s="3" t="s">
        <v>64</v>
      </c>
    </row>
    <row r="4225" spans="1:11" ht="42" customHeight="1">
      <c r="A4225" s="2" t="s">
        <v>9793</v>
      </c>
      <c r="B4225" s="2" t="s">
        <v>9794</v>
      </c>
      <c r="C4225" s="2" t="s">
        <v>38</v>
      </c>
      <c r="D4225" s="2" t="s">
        <v>39</v>
      </c>
      <c r="E4225" s="5">
        <v>-31178</v>
      </c>
      <c r="F4225" s="3" t="s">
        <v>1390</v>
      </c>
      <c r="G4225" s="3" t="s">
        <v>20</v>
      </c>
      <c r="H4225" s="2" t="s">
        <v>62</v>
      </c>
      <c r="I4225" s="2" t="s">
        <v>9796</v>
      </c>
      <c r="J4225" s="3" t="str">
        <f>HYPERLINK("https://www.boe.es/gazeta/dias/1814/08/20/pdfs/GMD-1814-114.pdf#page=7","Abrir facsímil")</f>
        <v>Abrir facsímil</v>
      </c>
      <c r="K4225" s="3" t="s">
        <v>64</v>
      </c>
    </row>
    <row r="4226" spans="1:11" ht="42" customHeight="1">
      <c r="A4226" s="2" t="s">
        <v>9797</v>
      </c>
      <c r="B4226" s="2" t="s">
        <v>9798</v>
      </c>
      <c r="C4226" s="2" t="s">
        <v>17</v>
      </c>
      <c r="D4226" s="2" t="s">
        <v>18</v>
      </c>
      <c r="E4226" s="5">
        <v>-31157</v>
      </c>
      <c r="F4226" s="3" t="s">
        <v>206</v>
      </c>
      <c r="G4226" s="3" t="s">
        <v>1072</v>
      </c>
      <c r="H4226" s="2" t="s">
        <v>21</v>
      </c>
      <c r="I4226" s="2" t="s">
        <v>9799</v>
      </c>
      <c r="J4226" s="3" t="str">
        <f>HYPERLINK("https://www.boe.es/gazeta/dias/1814/09/10/pdfs/GMD-1814-124.pdf#page=7","Abrir facsímil")</f>
        <v>Abrir facsímil</v>
      </c>
      <c r="K4226" s="3" t="s">
        <v>23</v>
      </c>
    </row>
    <row r="4227" spans="1:11" ht="42" customHeight="1">
      <c r="A4227" s="2" t="s">
        <v>9800</v>
      </c>
      <c r="B4227" s="2" t="s">
        <v>9801</v>
      </c>
      <c r="C4227" s="2" t="s">
        <v>26</v>
      </c>
      <c r="D4227" s="2" t="s">
        <v>27</v>
      </c>
      <c r="E4227" s="5">
        <v>-31189</v>
      </c>
      <c r="F4227" s="3" t="s">
        <v>379</v>
      </c>
      <c r="G4227" s="3" t="s">
        <v>20</v>
      </c>
      <c r="H4227" s="2" t="s">
        <v>62</v>
      </c>
      <c r="I4227" s="2" t="s">
        <v>9802</v>
      </c>
      <c r="J4227" s="3" t="str">
        <f>HYPERLINK("https://www.boe.es/gazeta/dias/1814/08/09/pdfs/GMD-1814-109.pdf#page=7","Abrir facsímil")</f>
        <v>Abrir facsímil</v>
      </c>
      <c r="K4227" s="3" t="s">
        <v>64</v>
      </c>
    </row>
    <row r="4228" spans="1:11" ht="42" customHeight="1">
      <c r="A4228" s="2" t="s">
        <v>9803</v>
      </c>
      <c r="B4228" s="2" t="s">
        <v>9803</v>
      </c>
      <c r="C4228" s="2" t="s">
        <v>38</v>
      </c>
      <c r="D4228" s="2" t="s">
        <v>39</v>
      </c>
      <c r="E4228" s="5">
        <v>-31082</v>
      </c>
      <c r="F4228" s="3" t="s">
        <v>535</v>
      </c>
      <c r="G4228" s="3" t="s">
        <v>82</v>
      </c>
      <c r="H4228" s="2" t="s">
        <v>62</v>
      </c>
      <c r="I4228" s="2" t="s">
        <v>9804</v>
      </c>
      <c r="J4228" s="3" t="str">
        <f>HYPERLINK("https://www.boe.es/gazeta/dias/1814/11/24/pdfs/GMD-1814-156.pdf#page=3","Abrir facsímil")</f>
        <v>Abrir facsímil</v>
      </c>
      <c r="K4228" s="3" t="s">
        <v>64</v>
      </c>
    </row>
    <row r="4229" spans="1:11" ht="42" customHeight="1">
      <c r="A4229" s="2" t="s">
        <v>9805</v>
      </c>
      <c r="B4229" s="2" t="s">
        <v>9806</v>
      </c>
      <c r="C4229" s="2" t="s">
        <v>26</v>
      </c>
      <c r="D4229" s="2" t="s">
        <v>27</v>
      </c>
      <c r="E4229" s="5">
        <v>-31217</v>
      </c>
      <c r="F4229" s="3" t="s">
        <v>506</v>
      </c>
      <c r="G4229" s="3" t="s">
        <v>3014</v>
      </c>
      <c r="H4229" s="2" t="s">
        <v>62</v>
      </c>
      <c r="I4229" s="2" t="s">
        <v>9807</v>
      </c>
      <c r="J4229" s="3" t="str">
        <f>HYPERLINK("https://www.boe.es/gazeta/dias/1814/07/12/pdfs/GMD-1814-97.pdf#page=8","Abrir facsímil")</f>
        <v>Abrir facsímil</v>
      </c>
      <c r="K4229" s="3" t="s">
        <v>64</v>
      </c>
    </row>
    <row r="4230" spans="1:11" ht="42" customHeight="1">
      <c r="A4230" s="2" t="s">
        <v>9808</v>
      </c>
      <c r="B4230" s="2" t="s">
        <v>9809</v>
      </c>
      <c r="C4230" s="2" t="s">
        <v>38</v>
      </c>
      <c r="D4230" s="2" t="s">
        <v>39</v>
      </c>
      <c r="E4230" s="5">
        <v>-31325</v>
      </c>
      <c r="F4230" s="3" t="s">
        <v>67</v>
      </c>
      <c r="G4230" s="3" t="s">
        <v>20</v>
      </c>
      <c r="H4230" s="2" t="s">
        <v>62</v>
      </c>
      <c r="I4230" s="2" t="s">
        <v>9810</v>
      </c>
      <c r="J4230" s="3" t="str">
        <f>HYPERLINK("https://www.boe.es/gazeta/dias/1814/03/26/pdfs/GRE-1814-43.pdf#page=7","Abrir facsímil")</f>
        <v>Abrir facsímil</v>
      </c>
      <c r="K4230" s="3" t="s">
        <v>64</v>
      </c>
    </row>
    <row r="4231" spans="1:11" ht="42" customHeight="1">
      <c r="A4231" s="2" t="s">
        <v>9811</v>
      </c>
      <c r="B4231" s="2" t="s">
        <v>9812</v>
      </c>
      <c r="C4231" s="2" t="s">
        <v>17</v>
      </c>
      <c r="D4231" s="2" t="s">
        <v>18</v>
      </c>
      <c r="E4231" s="5">
        <v>-31152</v>
      </c>
      <c r="F4231" s="3" t="s">
        <v>199</v>
      </c>
      <c r="G4231" s="3" t="s">
        <v>20</v>
      </c>
      <c r="H4231" s="2" t="s">
        <v>62</v>
      </c>
      <c r="I4231" s="2" t="s">
        <v>9813</v>
      </c>
      <c r="J4231" s="3" t="str">
        <f>HYPERLINK("https://www.boe.es/gazeta/dias/1814/09/15/pdfs/GMD-1814-126.pdf#page=7","Abrir facsímil")</f>
        <v>Abrir facsímil</v>
      </c>
      <c r="K4231" s="3" t="s">
        <v>64</v>
      </c>
    </row>
    <row r="4232" spans="1:11" ht="42" customHeight="1">
      <c r="A4232" s="2" t="s">
        <v>9814</v>
      </c>
      <c r="B4232" s="2" t="s">
        <v>9815</v>
      </c>
      <c r="C4232" s="2" t="s">
        <v>17</v>
      </c>
      <c r="D4232" s="2" t="s">
        <v>18</v>
      </c>
      <c r="E4232" s="5">
        <v>-31052</v>
      </c>
      <c r="F4232" s="3" t="s">
        <v>1407</v>
      </c>
      <c r="G4232" s="3" t="s">
        <v>52</v>
      </c>
      <c r="H4232" s="2" t="s">
        <v>21</v>
      </c>
      <c r="I4232" s="2" t="s">
        <v>9816</v>
      </c>
      <c r="J4232" s="3" t="str">
        <f>HYPERLINK("https://www.boe.es/gazeta/dias/1814/12/24/pdfs/GMD-1814-170.pdf#page=8","Abrir facsímil")</f>
        <v>Abrir facsímil</v>
      </c>
      <c r="K4232" s="3" t="s">
        <v>23</v>
      </c>
    </row>
    <row r="4233" spans="1:11" ht="42" customHeight="1">
      <c r="A4233" s="2" t="s">
        <v>9817</v>
      </c>
      <c r="B4233" s="2" t="s">
        <v>9818</v>
      </c>
      <c r="C4233" s="2" t="s">
        <v>17</v>
      </c>
      <c r="D4233" s="2" t="s">
        <v>18</v>
      </c>
      <c r="E4233" s="5">
        <v>-31241</v>
      </c>
      <c r="F4233" s="3" t="s">
        <v>703</v>
      </c>
      <c r="G4233" s="3" t="s">
        <v>384</v>
      </c>
      <c r="H4233" s="2" t="s">
        <v>62</v>
      </c>
      <c r="I4233" s="2" t="s">
        <v>9819</v>
      </c>
      <c r="J4233" s="3" t="str">
        <f>HYPERLINK("https://www.boe.es/gazeta/dias/1814/06/18/pdfs/GMD-1814-87.pdf#page=11","Abrir facsímil")</f>
        <v>Abrir facsímil</v>
      </c>
      <c r="K4233" s="3" t="s">
        <v>64</v>
      </c>
    </row>
    <row r="4234" spans="1:11" ht="42" customHeight="1">
      <c r="A4234" s="2" t="s">
        <v>9820</v>
      </c>
      <c r="B4234" s="2" t="s">
        <v>9821</v>
      </c>
      <c r="C4234" s="2" t="s">
        <v>38</v>
      </c>
      <c r="D4234" s="2" t="s">
        <v>39</v>
      </c>
      <c r="E4234" s="5">
        <v>-31117</v>
      </c>
      <c r="F4234" s="3" t="s">
        <v>172</v>
      </c>
      <c r="G4234" s="3" t="s">
        <v>392</v>
      </c>
      <c r="H4234" s="2" t="s">
        <v>62</v>
      </c>
      <c r="I4234" s="2" t="s">
        <v>9822</v>
      </c>
      <c r="J4234" s="3" t="str">
        <f>HYPERLINK("https://www.boe.es/gazeta/dias/1814/10/20/pdfs/GMD-1814-141.pdf#page=8","Abrir facsímil")</f>
        <v>Abrir facsímil</v>
      </c>
      <c r="K4234" s="3" t="s">
        <v>64</v>
      </c>
    </row>
    <row r="4235" spans="1:11" ht="42" customHeight="1">
      <c r="A4235" s="2" t="s">
        <v>9823</v>
      </c>
      <c r="B4235" s="2" t="s">
        <v>9824</v>
      </c>
      <c r="C4235" s="2" t="s">
        <v>26</v>
      </c>
      <c r="D4235" s="2" t="s">
        <v>27</v>
      </c>
      <c r="E4235" s="5">
        <v>-31220</v>
      </c>
      <c r="F4235" s="3" t="s">
        <v>122</v>
      </c>
      <c r="G4235" s="3" t="s">
        <v>20</v>
      </c>
      <c r="H4235" s="2" t="s">
        <v>62</v>
      </c>
      <c r="I4235" s="2" t="s">
        <v>9825</v>
      </c>
      <c r="J4235" s="3" t="str">
        <f>HYPERLINK("https://www.boe.es/gazeta/dias/1814/07/09/pdfs/GMD-1814-96.pdf#page=7","Abrir facsímil")</f>
        <v>Abrir facsímil</v>
      </c>
      <c r="K4235" s="3" t="s">
        <v>64</v>
      </c>
    </row>
    <row r="4236" spans="1:11" ht="42" customHeight="1">
      <c r="A4236" s="2" t="s">
        <v>9823</v>
      </c>
      <c r="B4236" s="2" t="s">
        <v>9824</v>
      </c>
      <c r="C4236" s="2" t="s">
        <v>38</v>
      </c>
      <c r="D4236" s="2" t="s">
        <v>39</v>
      </c>
      <c r="E4236" s="5">
        <v>-31187</v>
      </c>
      <c r="F4236" s="3" t="s">
        <v>518</v>
      </c>
      <c r="G4236" s="3" t="s">
        <v>20</v>
      </c>
      <c r="H4236" s="2" t="s">
        <v>62</v>
      </c>
      <c r="I4236" s="2" t="s">
        <v>9826</v>
      </c>
      <c r="J4236" s="3" t="str">
        <f>HYPERLINK("https://www.boe.es/gazeta/dias/1814/08/11/pdfs/GMD-1814-110.pdf#page=7","Abrir facsímil")</f>
        <v>Abrir facsímil</v>
      </c>
      <c r="K4236" s="3" t="s">
        <v>64</v>
      </c>
    </row>
    <row r="4237" spans="1:11" ht="42" customHeight="1">
      <c r="A4237" s="2" t="s">
        <v>9827</v>
      </c>
      <c r="B4237" s="2" t="s">
        <v>9828</v>
      </c>
      <c r="C4237" s="2" t="s">
        <v>38</v>
      </c>
      <c r="D4237" s="2" t="s">
        <v>39</v>
      </c>
      <c r="E4237" s="5">
        <v>-31220</v>
      </c>
      <c r="F4237" s="3" t="s">
        <v>122</v>
      </c>
      <c r="G4237" s="3" t="s">
        <v>57</v>
      </c>
      <c r="H4237" s="2" t="s">
        <v>62</v>
      </c>
      <c r="I4237" s="2" t="s">
        <v>9829</v>
      </c>
      <c r="J4237" s="3" t="str">
        <f>HYPERLINK("https://www.boe.es/gazeta/dias/1814/07/09/pdfs/GMD-1814-96.pdf#page=6","Abrir facsímil")</f>
        <v>Abrir facsímil</v>
      </c>
      <c r="K4237" s="3" t="s">
        <v>64</v>
      </c>
    </row>
    <row r="4238" spans="1:11" ht="42" customHeight="1">
      <c r="A4238" s="2" t="s">
        <v>9830</v>
      </c>
      <c r="B4238" s="2" t="s">
        <v>9830</v>
      </c>
      <c r="C4238" s="2" t="s">
        <v>38</v>
      </c>
      <c r="D4238" s="2" t="s">
        <v>39</v>
      </c>
      <c r="E4238" s="5">
        <v>-31385</v>
      </c>
      <c r="F4238" s="3" t="s">
        <v>783</v>
      </c>
      <c r="G4238" s="3" t="s">
        <v>1777</v>
      </c>
      <c r="H4238" s="2" t="s">
        <v>62</v>
      </c>
      <c r="I4238" s="2" t="s">
        <v>9831</v>
      </c>
      <c r="J4238" s="3" t="str">
        <f>HYPERLINK("https://www.boe.es/gazeta/dias/1814/01/25/pdfs/GRE-1814-12.pdf#page=4","Abrir facsímil")</f>
        <v>Abrir facsímil</v>
      </c>
      <c r="K4238" s="3" t="s">
        <v>64</v>
      </c>
    </row>
    <row r="4239" spans="1:11" ht="42" customHeight="1">
      <c r="A4239" s="2" t="s">
        <v>9832</v>
      </c>
      <c r="B4239" s="2" t="s">
        <v>9833</v>
      </c>
      <c r="C4239" s="2" t="s">
        <v>45</v>
      </c>
      <c r="D4239" s="2" t="s">
        <v>18</v>
      </c>
      <c r="E4239" s="5">
        <v>-31124</v>
      </c>
      <c r="F4239" s="3" t="s">
        <v>383</v>
      </c>
      <c r="G4239" s="3" t="s">
        <v>837</v>
      </c>
      <c r="H4239" s="2" t="s">
        <v>62</v>
      </c>
      <c r="I4239" s="2" t="s">
        <v>9834</v>
      </c>
      <c r="J4239" s="3" t="str">
        <f>HYPERLINK("https://www.boe.es/gazeta/dias/1814/10/13/pdfs/GMD-1814-138.pdf#page=3","Abrir facsímil")</f>
        <v>Abrir facsímil</v>
      </c>
      <c r="K4239" s="3" t="s">
        <v>64</v>
      </c>
    </row>
    <row r="4240" spans="1:11" ht="42" customHeight="1">
      <c r="A4240" s="2" t="s">
        <v>9835</v>
      </c>
      <c r="B4240" s="2" t="s">
        <v>9836</v>
      </c>
      <c r="C4240" s="2" t="s">
        <v>38</v>
      </c>
      <c r="D4240" s="2" t="s">
        <v>39</v>
      </c>
      <c r="E4240" s="5">
        <v>-31194</v>
      </c>
      <c r="F4240" s="3" t="s">
        <v>333</v>
      </c>
      <c r="G4240" s="3" t="s">
        <v>57</v>
      </c>
      <c r="H4240" s="2" t="s">
        <v>62</v>
      </c>
      <c r="I4240" s="2" t="s">
        <v>9837</v>
      </c>
      <c r="J4240" s="3" t="str">
        <f>HYPERLINK("https://www.boe.es/gazeta/dias/1814/08/04/pdfs/GMD-1814-107.pdf#page=6","Abrir facsímil")</f>
        <v>Abrir facsímil</v>
      </c>
      <c r="K4240" s="3" t="s">
        <v>64</v>
      </c>
    </row>
    <row r="4241" spans="1:11" ht="42" customHeight="1">
      <c r="A4241" s="2" t="s">
        <v>9838</v>
      </c>
      <c r="B4241" s="2" t="s">
        <v>9839</v>
      </c>
      <c r="C4241" s="2" t="s">
        <v>38</v>
      </c>
      <c r="D4241" s="2" t="s">
        <v>39</v>
      </c>
      <c r="E4241" s="5">
        <v>-31322</v>
      </c>
      <c r="F4241" s="3" t="s">
        <v>114</v>
      </c>
      <c r="G4241" s="3" t="s">
        <v>52</v>
      </c>
      <c r="H4241" s="2" t="s">
        <v>62</v>
      </c>
      <c r="I4241" s="2" t="s">
        <v>9840</v>
      </c>
      <c r="J4241" s="3" t="str">
        <f>HYPERLINK("https://www.boe.es/gazeta/dias/1814/03/29/pdfs/GRE-1814-44.pdf#page=8","Abrir facsímil")</f>
        <v>Abrir facsímil</v>
      </c>
      <c r="K4241" s="3" t="s">
        <v>64</v>
      </c>
    </row>
    <row r="4242" spans="1:11" ht="42" customHeight="1">
      <c r="A4242" s="2" t="s">
        <v>9841</v>
      </c>
      <c r="B4242" s="2" t="s">
        <v>9842</v>
      </c>
      <c r="C4242" s="2" t="s">
        <v>17</v>
      </c>
      <c r="D4242" s="2" t="s">
        <v>314</v>
      </c>
      <c r="E4242" s="5">
        <v>-31296</v>
      </c>
      <c r="F4242" s="3" t="s">
        <v>315</v>
      </c>
      <c r="G4242" s="3" t="s">
        <v>57</v>
      </c>
      <c r="H4242" s="2" t="s">
        <v>62</v>
      </c>
      <c r="I4242" s="2" t="s">
        <v>9843</v>
      </c>
      <c r="J4242" s="3" t="str">
        <f>HYPERLINK("https://www.boe.es/gazeta/dias/1814/04/24/pdfs/GRE-1814-60E.pdf#page=6","Abrir facsímil")</f>
        <v>Abrir facsímil</v>
      </c>
      <c r="K4242" s="3" t="s">
        <v>64</v>
      </c>
    </row>
    <row r="4243" spans="1:11" ht="42" customHeight="1">
      <c r="A4243" s="2" t="s">
        <v>9844</v>
      </c>
      <c r="B4243" s="2" t="s">
        <v>9845</v>
      </c>
      <c r="C4243" s="2" t="s">
        <v>26</v>
      </c>
      <c r="D4243" s="2" t="s">
        <v>27</v>
      </c>
      <c r="E4243" s="5">
        <v>-31187</v>
      </c>
      <c r="F4243" s="3" t="s">
        <v>518</v>
      </c>
      <c r="G4243" s="3" t="s">
        <v>99</v>
      </c>
      <c r="H4243" s="2" t="s">
        <v>62</v>
      </c>
      <c r="I4243" s="2" t="s">
        <v>9846</v>
      </c>
      <c r="J4243" s="3" t="str">
        <f>HYPERLINK("https://www.boe.es/gazeta/dias/1814/08/11/pdfs/GMD-1814-110.pdf#page=5","Abrir facsímil")</f>
        <v>Abrir facsímil</v>
      </c>
      <c r="K4243" s="3" t="s">
        <v>64</v>
      </c>
    </row>
    <row r="4244" spans="1:11" ht="42" customHeight="1">
      <c r="A4244" s="2" t="s">
        <v>9847</v>
      </c>
      <c r="B4244" s="2" t="s">
        <v>9848</v>
      </c>
      <c r="C4244" s="2" t="s">
        <v>26</v>
      </c>
      <c r="D4244" s="2" t="s">
        <v>27</v>
      </c>
      <c r="E4244" s="5">
        <v>-31257</v>
      </c>
      <c r="F4244" s="3" t="s">
        <v>437</v>
      </c>
      <c r="G4244" s="3" t="s">
        <v>57</v>
      </c>
      <c r="H4244" s="2" t="s">
        <v>62</v>
      </c>
      <c r="I4244" s="2" t="s">
        <v>9849</v>
      </c>
      <c r="J4244" s="3" t="str">
        <f>HYPERLINK("https://www.boe.es/gazeta/dias/1814/06/02/pdfs/GMD-1814-80.pdf#page=6","Abrir facsímil")</f>
        <v>Abrir facsímil</v>
      </c>
      <c r="K4244" s="3" t="s">
        <v>64</v>
      </c>
    </row>
    <row r="4245" spans="1:11" ht="42" customHeight="1">
      <c r="A4245" s="2" t="s">
        <v>9847</v>
      </c>
      <c r="B4245" s="2" t="s">
        <v>9848</v>
      </c>
      <c r="C4245" s="2" t="s">
        <v>17</v>
      </c>
      <c r="D4245" s="2" t="s">
        <v>18</v>
      </c>
      <c r="E4245" s="5">
        <v>-31224</v>
      </c>
      <c r="F4245" s="3" t="s">
        <v>609</v>
      </c>
      <c r="G4245" s="3" t="s">
        <v>322</v>
      </c>
      <c r="H4245" s="2" t="s">
        <v>62</v>
      </c>
      <c r="I4245" s="2" t="s">
        <v>9850</v>
      </c>
      <c r="J4245" s="3" t="str">
        <f>HYPERLINK("https://www.boe.es/gazeta/dias/1814/07/05/pdfs/GMD-1814-94.pdf#page=12","Abrir facsímil")</f>
        <v>Abrir facsímil</v>
      </c>
      <c r="K4245" s="3" t="s">
        <v>64</v>
      </c>
    </row>
    <row r="4246" spans="1:11" ht="42" customHeight="1">
      <c r="A4246" s="2" t="s">
        <v>9847</v>
      </c>
      <c r="B4246" s="2" t="s">
        <v>9848</v>
      </c>
      <c r="C4246" s="2" t="s">
        <v>26</v>
      </c>
      <c r="D4246" s="2" t="s">
        <v>27</v>
      </c>
      <c r="E4246" s="5">
        <v>-31115</v>
      </c>
      <c r="F4246" s="3" t="s">
        <v>805</v>
      </c>
      <c r="G4246" s="3" t="s">
        <v>82</v>
      </c>
      <c r="H4246" s="2" t="s">
        <v>62</v>
      </c>
      <c r="I4246" s="2" t="s">
        <v>9851</v>
      </c>
      <c r="J4246" s="3" t="str">
        <f>HYPERLINK("https://www.boe.es/gazeta/dias/1814/10/22/pdfs/GMD-1814-142.pdf#page=3","Abrir facsímil")</f>
        <v>Abrir facsímil</v>
      </c>
      <c r="K4246" s="3" t="s">
        <v>64</v>
      </c>
    </row>
    <row r="4247" spans="1:11" ht="42" customHeight="1">
      <c r="A4247" s="2" t="s">
        <v>9847</v>
      </c>
      <c r="B4247" s="2" t="s">
        <v>9848</v>
      </c>
      <c r="C4247" s="2" t="s">
        <v>26</v>
      </c>
      <c r="D4247" s="2" t="s">
        <v>27</v>
      </c>
      <c r="E4247" s="5">
        <v>-31112</v>
      </c>
      <c r="F4247" s="3" t="s">
        <v>707</v>
      </c>
      <c r="G4247" s="3" t="s">
        <v>99</v>
      </c>
      <c r="H4247" s="2" t="s">
        <v>62</v>
      </c>
      <c r="I4247" s="2" t="s">
        <v>9852</v>
      </c>
      <c r="J4247" s="3" t="str">
        <f>HYPERLINK("https://www.boe.es/gazeta/dias/1814/10/25/pdfs/GMD-1814-143.pdf#page=5","Abrir facsímil")</f>
        <v>Abrir facsímil</v>
      </c>
      <c r="K4247" s="3" t="s">
        <v>64</v>
      </c>
    </row>
    <row r="4248" spans="1:11" ht="42" customHeight="1">
      <c r="A4248" s="2" t="s">
        <v>9853</v>
      </c>
      <c r="B4248" s="2" t="s">
        <v>9854</v>
      </c>
      <c r="C4248" s="2" t="s">
        <v>38</v>
      </c>
      <c r="D4248" s="2" t="s">
        <v>39</v>
      </c>
      <c r="E4248" s="5">
        <v>-31320</v>
      </c>
      <c r="F4248" s="3" t="s">
        <v>40</v>
      </c>
      <c r="G4248" s="3" t="s">
        <v>99</v>
      </c>
      <c r="H4248" s="2" t="s">
        <v>62</v>
      </c>
      <c r="I4248" s="2" t="s">
        <v>9855</v>
      </c>
      <c r="J4248" s="3" t="str">
        <f>HYPERLINK("https://www.boe.es/gazeta/dias/1814/03/31/pdfs/GRE-1814-46.pdf#page=5","Abrir facsímil")</f>
        <v>Abrir facsímil</v>
      </c>
      <c r="K4248" s="3" t="s">
        <v>64</v>
      </c>
    </row>
    <row r="4249" spans="1:11" ht="42" customHeight="1">
      <c r="A4249" s="2" t="s">
        <v>9856</v>
      </c>
      <c r="B4249" s="2" t="s">
        <v>9857</v>
      </c>
      <c r="C4249" s="2" t="s">
        <v>17</v>
      </c>
      <c r="D4249" s="2" t="s">
        <v>18</v>
      </c>
      <c r="E4249" s="5">
        <v>-31311</v>
      </c>
      <c r="F4249" s="3" t="s">
        <v>3144</v>
      </c>
      <c r="G4249" s="3" t="s">
        <v>52</v>
      </c>
      <c r="H4249" s="2" t="s">
        <v>21</v>
      </c>
      <c r="I4249" s="2" t="s">
        <v>9858</v>
      </c>
      <c r="J4249" s="3" t="str">
        <f>HYPERLINK("https://www.boe.es/gazeta/dias/1814/04/09/pdfs/GRE-1814-51.pdf#page=8","Abrir facsímil")</f>
        <v>Abrir facsímil</v>
      </c>
      <c r="K4249" s="3" t="s">
        <v>23</v>
      </c>
    </row>
    <row r="4250" spans="1:11" ht="42" customHeight="1">
      <c r="A4250" s="2" t="s">
        <v>9856</v>
      </c>
      <c r="B4250" s="2" t="s">
        <v>9857</v>
      </c>
      <c r="C4250" s="2" t="s">
        <v>26</v>
      </c>
      <c r="D4250" s="2" t="s">
        <v>27</v>
      </c>
      <c r="E4250" s="5">
        <v>-31241</v>
      </c>
      <c r="F4250" s="3" t="s">
        <v>703</v>
      </c>
      <c r="G4250" s="3" t="s">
        <v>322</v>
      </c>
      <c r="H4250" s="2" t="s">
        <v>21</v>
      </c>
      <c r="I4250" s="2" t="s">
        <v>9859</v>
      </c>
      <c r="J4250" s="3" t="str">
        <f>HYPERLINK("https://www.boe.es/gazeta/dias/1814/06/18/pdfs/GMD-1814-87.pdf#page=12","Abrir facsímil")</f>
        <v>Abrir facsímil</v>
      </c>
      <c r="K4250" s="3" t="s">
        <v>23</v>
      </c>
    </row>
    <row r="4251" spans="1:11" ht="42" customHeight="1">
      <c r="A4251" s="2" t="s">
        <v>9860</v>
      </c>
      <c r="B4251" s="2" t="s">
        <v>9861</v>
      </c>
      <c r="C4251" s="2" t="s">
        <v>26</v>
      </c>
      <c r="D4251" s="2" t="s">
        <v>27</v>
      </c>
      <c r="E4251" s="5">
        <v>-31290</v>
      </c>
      <c r="F4251" s="3" t="s">
        <v>488</v>
      </c>
      <c r="G4251" s="3" t="s">
        <v>20</v>
      </c>
      <c r="H4251" s="2" t="s">
        <v>21</v>
      </c>
      <c r="I4251" s="2" t="s">
        <v>9862</v>
      </c>
      <c r="J4251" s="3" t="str">
        <f>HYPERLINK("https://www.boe.es/gazeta/dias/1814/04/30/pdfs/GRE-1814-64.pdf#page=7","Abrir facsímil")</f>
        <v>Abrir facsímil</v>
      </c>
      <c r="K4251" s="3" t="s">
        <v>23</v>
      </c>
    </row>
    <row r="4252" spans="1:11" ht="42" customHeight="1">
      <c r="A4252" s="2" t="s">
        <v>9863</v>
      </c>
      <c r="B4252" s="2" t="s">
        <v>9863</v>
      </c>
      <c r="C4252" s="2" t="s">
        <v>38</v>
      </c>
      <c r="D4252" s="2" t="s">
        <v>39</v>
      </c>
      <c r="E4252" s="5">
        <v>-31301</v>
      </c>
      <c r="F4252" s="3" t="s">
        <v>81</v>
      </c>
      <c r="G4252" s="3" t="s">
        <v>107</v>
      </c>
      <c r="H4252" s="2" t="s">
        <v>62</v>
      </c>
      <c r="I4252" s="2" t="s">
        <v>9864</v>
      </c>
      <c r="J4252" s="3" t="str">
        <f>HYPERLINK("https://www.boe.es/gazeta/dias/1814/04/19/pdfs/GRE-1814-56.pdf#page=1","Abrir facsímil")</f>
        <v>Abrir facsímil</v>
      </c>
      <c r="K4252" s="3" t="s">
        <v>64</v>
      </c>
    </row>
    <row r="4253" spans="1:11" ht="42" customHeight="1">
      <c r="A4253" s="2" t="s">
        <v>9865</v>
      </c>
      <c r="B4253" s="2" t="s">
        <v>9865</v>
      </c>
      <c r="C4253" s="2" t="s">
        <v>38</v>
      </c>
      <c r="D4253" s="2" t="s">
        <v>39</v>
      </c>
      <c r="E4253" s="5">
        <v>-31066</v>
      </c>
      <c r="F4253" s="3" t="s">
        <v>1323</v>
      </c>
      <c r="G4253" s="3" t="s">
        <v>87</v>
      </c>
      <c r="H4253" s="2" t="s">
        <v>62</v>
      </c>
      <c r="I4253" s="2" t="s">
        <v>9866</v>
      </c>
      <c r="J4253" s="3" t="str">
        <f>HYPERLINK("https://www.boe.es/gazeta/dias/1814/12/10/pdfs/GMD-1814-163.pdf#page=2","Abrir facsímil")</f>
        <v>Abrir facsímil</v>
      </c>
      <c r="K4253" s="3" t="s">
        <v>64</v>
      </c>
    </row>
    <row r="4254" spans="1:11" ht="42" customHeight="1">
      <c r="A4254" s="2" t="s">
        <v>9867</v>
      </c>
      <c r="B4254" s="2" t="s">
        <v>9867</v>
      </c>
      <c r="C4254" s="2" t="s">
        <v>45</v>
      </c>
      <c r="D4254" s="2" t="s">
        <v>314</v>
      </c>
      <c r="E4254" s="5">
        <v>-31404</v>
      </c>
      <c r="F4254" s="3" t="s">
        <v>4587</v>
      </c>
      <c r="G4254" s="3" t="s">
        <v>107</v>
      </c>
      <c r="H4254" s="2" t="s">
        <v>62</v>
      </c>
      <c r="I4254" s="2" t="s">
        <v>9868</v>
      </c>
      <c r="J4254" s="3" t="str">
        <f>HYPERLINK("https://www.boe.es/gazeta/dias/1814/01/06/pdfs/GRE-1814-4E.pdf#page=1","Abrir facsímil")</f>
        <v>Abrir facsímil</v>
      </c>
      <c r="K4254" s="3" t="s">
        <v>64</v>
      </c>
    </row>
    <row r="4255" spans="1:11" ht="42" customHeight="1">
      <c r="A4255" s="2" t="s">
        <v>9867</v>
      </c>
      <c r="B4255" s="2" t="s">
        <v>9867</v>
      </c>
      <c r="C4255" s="2" t="s">
        <v>38</v>
      </c>
      <c r="D4255" s="2" t="s">
        <v>314</v>
      </c>
      <c r="E4255" s="5">
        <v>-31404</v>
      </c>
      <c r="F4255" s="3" t="s">
        <v>4587</v>
      </c>
      <c r="G4255" s="3" t="s">
        <v>87</v>
      </c>
      <c r="H4255" s="2" t="s">
        <v>62</v>
      </c>
      <c r="I4255" s="2" t="s">
        <v>9869</v>
      </c>
      <c r="J4255" s="3" t="str">
        <f>HYPERLINK("https://www.boe.es/gazeta/dias/1814/01/06/pdfs/GRE-1814-4E.pdf#page=2","Abrir facsímil")</f>
        <v>Abrir facsímil</v>
      </c>
      <c r="K4255" s="3" t="s">
        <v>64</v>
      </c>
    </row>
    <row r="4256" spans="1:11" ht="42" customHeight="1">
      <c r="A4256" s="2" t="s">
        <v>9867</v>
      </c>
      <c r="B4256" s="2" t="s">
        <v>9867</v>
      </c>
      <c r="C4256" s="2" t="s">
        <v>38</v>
      </c>
      <c r="D4256" s="2" t="s">
        <v>39</v>
      </c>
      <c r="E4256" s="5">
        <v>-31320</v>
      </c>
      <c r="F4256" s="3" t="s">
        <v>40</v>
      </c>
      <c r="G4256" s="3" t="s">
        <v>57</v>
      </c>
      <c r="H4256" s="2" t="s">
        <v>62</v>
      </c>
      <c r="I4256" s="2" t="s">
        <v>9870</v>
      </c>
      <c r="J4256" s="3" t="str">
        <f>HYPERLINK("https://www.boe.es/gazeta/dias/1814/03/31/pdfs/GRE-1814-46.pdf#page=6","Abrir facsímil")</f>
        <v>Abrir facsímil</v>
      </c>
      <c r="K4256" s="3" t="s">
        <v>64</v>
      </c>
    </row>
    <row r="4257" spans="1:11" ht="42" customHeight="1">
      <c r="A4257" s="2" t="s">
        <v>9867</v>
      </c>
      <c r="B4257" s="2" t="s">
        <v>9867</v>
      </c>
      <c r="C4257" s="2" t="s">
        <v>26</v>
      </c>
      <c r="D4257" s="2" t="s">
        <v>27</v>
      </c>
      <c r="E4257" s="5">
        <v>-31318</v>
      </c>
      <c r="F4257" s="3" t="s">
        <v>400</v>
      </c>
      <c r="G4257" s="3" t="s">
        <v>20</v>
      </c>
      <c r="H4257" s="2" t="s">
        <v>62</v>
      </c>
      <c r="I4257" s="2" t="s">
        <v>9871</v>
      </c>
      <c r="J4257" s="3" t="str">
        <f>HYPERLINK("https://www.boe.es/gazeta/dias/1814/04/02/pdfs/GRE-1814-47.pdf#page=7","Abrir facsímil")</f>
        <v>Abrir facsímil</v>
      </c>
      <c r="K4257" s="3" t="s">
        <v>64</v>
      </c>
    </row>
    <row r="4258" spans="1:11" ht="42" customHeight="1">
      <c r="A4258" s="2" t="s">
        <v>9867</v>
      </c>
      <c r="B4258" s="2" t="s">
        <v>9867</v>
      </c>
      <c r="C4258" s="2" t="s">
        <v>38</v>
      </c>
      <c r="D4258" s="2" t="s">
        <v>39</v>
      </c>
      <c r="E4258" s="5">
        <v>-31315</v>
      </c>
      <c r="F4258" s="3" t="s">
        <v>645</v>
      </c>
      <c r="G4258" s="3" t="s">
        <v>41</v>
      </c>
      <c r="H4258" s="2" t="s">
        <v>62</v>
      </c>
      <c r="I4258" s="2" t="s">
        <v>9872</v>
      </c>
      <c r="J4258" s="3" t="str">
        <f>HYPERLINK("https://www.boe.es/gazeta/dias/1814/04/05/pdfs/GRE-1814-49.pdf#page=4","Abrir facsímil")</f>
        <v>Abrir facsímil</v>
      </c>
      <c r="K4258" s="3" t="s">
        <v>64</v>
      </c>
    </row>
    <row r="4259" spans="1:11" ht="42" customHeight="1">
      <c r="A4259" s="2" t="s">
        <v>9867</v>
      </c>
      <c r="B4259" s="2" t="s">
        <v>9867</v>
      </c>
      <c r="C4259" s="2" t="s">
        <v>17</v>
      </c>
      <c r="D4259" s="2" t="s">
        <v>18</v>
      </c>
      <c r="E4259" s="5">
        <v>-31311</v>
      </c>
      <c r="F4259" s="3" t="s">
        <v>3144</v>
      </c>
      <c r="G4259" s="3" t="s">
        <v>20</v>
      </c>
      <c r="H4259" s="2" t="s">
        <v>62</v>
      </c>
      <c r="I4259" s="2" t="s">
        <v>9873</v>
      </c>
      <c r="J4259" s="3" t="str">
        <f>HYPERLINK("https://www.boe.es/gazeta/dias/1814/04/09/pdfs/GRE-1814-51.pdf#page=7","Abrir facsímil")</f>
        <v>Abrir facsímil</v>
      </c>
      <c r="K4259" s="3" t="s">
        <v>64</v>
      </c>
    </row>
    <row r="4260" spans="1:11" ht="42" customHeight="1">
      <c r="A4260" s="2" t="s">
        <v>9867</v>
      </c>
      <c r="B4260" s="2" t="s">
        <v>9867</v>
      </c>
      <c r="C4260" s="2" t="s">
        <v>32</v>
      </c>
      <c r="D4260" s="2" t="s">
        <v>18</v>
      </c>
      <c r="E4260" s="5">
        <v>-31308</v>
      </c>
      <c r="F4260" s="3" t="s">
        <v>210</v>
      </c>
      <c r="G4260" s="3" t="s">
        <v>57</v>
      </c>
      <c r="H4260" s="2" t="s">
        <v>62</v>
      </c>
      <c r="I4260" s="2" t="s">
        <v>9874</v>
      </c>
      <c r="J4260" s="3" t="str">
        <f>HYPERLINK("https://www.boe.es/gazeta/dias/1814/04/12/pdfs/GRE-1814-52.pdf#page=6","Abrir facsímil")</f>
        <v>Abrir facsímil</v>
      </c>
      <c r="K4260" s="3" t="s">
        <v>64</v>
      </c>
    </row>
    <row r="4261" spans="1:11" ht="42" customHeight="1">
      <c r="A4261" s="2" t="s">
        <v>9867</v>
      </c>
      <c r="B4261" s="2" t="s">
        <v>9867</v>
      </c>
      <c r="C4261" s="2" t="s">
        <v>26</v>
      </c>
      <c r="D4261" s="2" t="s">
        <v>27</v>
      </c>
      <c r="E4261" s="5">
        <v>-31194</v>
      </c>
      <c r="F4261" s="3" t="s">
        <v>333</v>
      </c>
      <c r="G4261" s="3" t="s">
        <v>99</v>
      </c>
      <c r="H4261" s="2" t="s">
        <v>62</v>
      </c>
      <c r="I4261" s="2" t="s">
        <v>9875</v>
      </c>
      <c r="J4261" s="3" t="str">
        <f>HYPERLINK("https://www.boe.es/gazeta/dias/1814/08/04/pdfs/GMD-1814-107.pdf#page=5","Abrir facsímil")</f>
        <v>Abrir facsímil</v>
      </c>
      <c r="K4261" s="3" t="s">
        <v>64</v>
      </c>
    </row>
    <row r="4262" spans="1:11" ht="42" customHeight="1">
      <c r="A4262" s="2" t="s">
        <v>9867</v>
      </c>
      <c r="B4262" s="2" t="s">
        <v>9867</v>
      </c>
      <c r="C4262" s="2" t="s">
        <v>26</v>
      </c>
      <c r="D4262" s="2" t="s">
        <v>27</v>
      </c>
      <c r="E4262" s="5">
        <v>-31084</v>
      </c>
      <c r="F4262" s="3" t="s">
        <v>282</v>
      </c>
      <c r="G4262" s="3" t="s">
        <v>20</v>
      </c>
      <c r="H4262" s="2" t="s">
        <v>62</v>
      </c>
      <c r="I4262" s="2" t="s">
        <v>9876</v>
      </c>
      <c r="J4262" s="3" t="str">
        <f>HYPERLINK("https://www.boe.es/gazeta/dias/1814/11/22/pdfs/GMD-1814-155.pdf#page=7","Abrir facsímil")</f>
        <v>Abrir facsímil</v>
      </c>
      <c r="K4262" s="3" t="s">
        <v>64</v>
      </c>
    </row>
    <row r="4263" spans="1:11" ht="42" customHeight="1">
      <c r="A4263" s="2" t="s">
        <v>9877</v>
      </c>
      <c r="B4263" s="2" t="s">
        <v>9878</v>
      </c>
      <c r="C4263" s="2" t="s">
        <v>38</v>
      </c>
      <c r="D4263" s="2" t="s">
        <v>39</v>
      </c>
      <c r="E4263" s="5">
        <v>-31110</v>
      </c>
      <c r="F4263" s="3" t="s">
        <v>149</v>
      </c>
      <c r="G4263" s="3" t="s">
        <v>41</v>
      </c>
      <c r="H4263" s="2" t="s">
        <v>62</v>
      </c>
      <c r="I4263" s="2" t="s">
        <v>9879</v>
      </c>
      <c r="J4263" s="3" t="str">
        <f>HYPERLINK("https://www.boe.es/gazeta/dias/1814/10/27/pdfs/GMD-1814-144.pdf#page=4","Abrir facsímil")</f>
        <v>Abrir facsímil</v>
      </c>
      <c r="K4263" s="3" t="s">
        <v>64</v>
      </c>
    </row>
    <row r="4264" spans="1:11" ht="42" customHeight="1">
      <c r="A4264" s="2" t="s">
        <v>9880</v>
      </c>
      <c r="B4264" s="2" t="s">
        <v>9880</v>
      </c>
      <c r="C4264" s="2" t="s">
        <v>38</v>
      </c>
      <c r="D4264" s="2" t="s">
        <v>39</v>
      </c>
      <c r="E4264" s="5">
        <v>-31089</v>
      </c>
      <c r="F4264" s="3" t="s">
        <v>531</v>
      </c>
      <c r="G4264" s="3" t="s">
        <v>87</v>
      </c>
      <c r="H4264" s="2" t="s">
        <v>62</v>
      </c>
      <c r="I4264" s="2" t="s">
        <v>9881</v>
      </c>
      <c r="J4264" s="3" t="str">
        <f>HYPERLINK("https://www.boe.es/gazeta/dias/1814/11/17/pdfs/GMD-1814-153.pdf#page=2","Abrir facsímil")</f>
        <v>Abrir facsímil</v>
      </c>
      <c r="K4264" s="3" t="s">
        <v>64</v>
      </c>
    </row>
    <row r="4265" spans="1:11" ht="42" customHeight="1">
      <c r="A4265" s="2" t="s">
        <v>9882</v>
      </c>
      <c r="B4265" s="2" t="s">
        <v>9882</v>
      </c>
      <c r="C4265" s="2" t="s">
        <v>38</v>
      </c>
      <c r="D4265" s="2" t="s">
        <v>39</v>
      </c>
      <c r="E4265" s="5">
        <v>-31369</v>
      </c>
      <c r="F4265" s="3" t="s">
        <v>695</v>
      </c>
      <c r="G4265" s="3" t="s">
        <v>107</v>
      </c>
      <c r="H4265" s="2" t="s">
        <v>62</v>
      </c>
      <c r="I4265" s="2" t="s">
        <v>9883</v>
      </c>
      <c r="J4265" s="3" t="str">
        <f>HYPERLINK("https://www.boe.es/gazeta/dias/1814/02/10/pdfs/GRE-1814-19.pdf#page=1","Abrir facsímil")</f>
        <v>Abrir facsímil</v>
      </c>
      <c r="K4265" s="3" t="s">
        <v>64</v>
      </c>
    </row>
    <row r="4266" spans="1:11" ht="42" customHeight="1">
      <c r="A4266" s="2" t="s">
        <v>9884</v>
      </c>
      <c r="B4266" s="2" t="s">
        <v>9885</v>
      </c>
      <c r="C4266" s="2" t="s">
        <v>17</v>
      </c>
      <c r="D4266" s="2" t="s">
        <v>18</v>
      </c>
      <c r="E4266" s="5">
        <v>-31236</v>
      </c>
      <c r="F4266" s="3" t="s">
        <v>33</v>
      </c>
      <c r="G4266" s="3" t="s">
        <v>3453</v>
      </c>
      <c r="H4266" s="2" t="s">
        <v>62</v>
      </c>
      <c r="I4266" s="2" t="s">
        <v>9886</v>
      </c>
      <c r="J4266" s="3" t="str">
        <f>HYPERLINK("https://www.boe.es/gazeta/dias/1814/06/23/pdfs/GMD-1814-89.pdf#page=5","Abrir facsímil")</f>
        <v>Abrir facsímil</v>
      </c>
      <c r="K4266" s="3" t="s">
        <v>64</v>
      </c>
    </row>
    <row r="4267" spans="1:11" ht="42" customHeight="1">
      <c r="A4267" s="2" t="s">
        <v>9887</v>
      </c>
      <c r="B4267" s="2" t="s">
        <v>9888</v>
      </c>
      <c r="C4267" s="2" t="s">
        <v>38</v>
      </c>
      <c r="D4267" s="2" t="s">
        <v>39</v>
      </c>
      <c r="E4267" s="5">
        <v>-31143</v>
      </c>
      <c r="F4267" s="3" t="s">
        <v>787</v>
      </c>
      <c r="G4267" s="3" t="s">
        <v>2367</v>
      </c>
      <c r="H4267" s="2" t="s">
        <v>62</v>
      </c>
      <c r="I4267" s="2" t="s">
        <v>9889</v>
      </c>
      <c r="J4267" s="3" t="str">
        <f>HYPERLINK("https://www.boe.es/gazeta/dias/1814/09/24/pdfs/GMD-1814-130.pdf#page=2","Abrir facsímil")</f>
        <v>Abrir facsímil</v>
      </c>
      <c r="K4267" s="3" t="s">
        <v>64</v>
      </c>
    </row>
    <row r="4268" spans="1:11" ht="42" customHeight="1">
      <c r="A4268" s="2" t="s">
        <v>9890</v>
      </c>
      <c r="B4268" s="2" t="s">
        <v>9891</v>
      </c>
      <c r="C4268" s="2" t="s">
        <v>38</v>
      </c>
      <c r="D4268" s="2" t="s">
        <v>39</v>
      </c>
      <c r="E4268" s="5">
        <v>-31388</v>
      </c>
      <c r="F4268" s="3" t="s">
        <v>1299</v>
      </c>
      <c r="G4268" s="3" t="s">
        <v>99</v>
      </c>
      <c r="H4268" s="2" t="s">
        <v>62</v>
      </c>
      <c r="I4268" s="2" t="s">
        <v>9892</v>
      </c>
      <c r="J4268" s="3" t="str">
        <f>HYPERLINK("https://www.boe.es/gazeta/dias/1814/01/22/pdfs/GRE-1814-11.pdf#page=5","Abrir facsímil")</f>
        <v>Abrir facsímil</v>
      </c>
      <c r="K4268" s="3" t="s">
        <v>64</v>
      </c>
    </row>
    <row r="4269" spans="1:11" ht="42" customHeight="1">
      <c r="A4269" s="2" t="s">
        <v>9893</v>
      </c>
      <c r="B4269" s="2" t="s">
        <v>9894</v>
      </c>
      <c r="C4269" s="2" t="s">
        <v>38</v>
      </c>
      <c r="D4269" s="2" t="s">
        <v>39</v>
      </c>
      <c r="E4269" s="5">
        <v>-31080</v>
      </c>
      <c r="F4269" s="3" t="s">
        <v>286</v>
      </c>
      <c r="G4269" s="3" t="s">
        <v>677</v>
      </c>
      <c r="H4269" s="2" t="s">
        <v>62</v>
      </c>
      <c r="I4269" s="2" t="s">
        <v>9895</v>
      </c>
      <c r="J4269" s="3" t="str">
        <f>HYPERLINK("https://www.boe.es/gazeta/dias/1814/11/26/pdfs/GMD-1814-157.pdf#page=7","Abrir facsímil")</f>
        <v>Abrir facsímil</v>
      </c>
      <c r="K4269" s="3" t="s">
        <v>64</v>
      </c>
    </row>
    <row r="4270" spans="1:11" ht="42" customHeight="1">
      <c r="A4270" s="2" t="s">
        <v>9896</v>
      </c>
      <c r="B4270" s="2" t="s">
        <v>9896</v>
      </c>
      <c r="C4270" s="2" t="s">
        <v>17</v>
      </c>
      <c r="D4270" s="2" t="s">
        <v>18</v>
      </c>
      <c r="E4270" s="5">
        <v>-31215</v>
      </c>
      <c r="F4270" s="3" t="s">
        <v>372</v>
      </c>
      <c r="G4270" s="3" t="s">
        <v>41</v>
      </c>
      <c r="H4270" s="2" t="s">
        <v>62</v>
      </c>
      <c r="I4270" s="2" t="s">
        <v>9897</v>
      </c>
      <c r="J4270" s="3" t="str">
        <f>HYPERLINK("https://www.boe.es/gazeta/dias/1814/07/14/pdfs/GMD-1814-98.pdf#page=4","Abrir facsímil")</f>
        <v>Abrir facsímil</v>
      </c>
      <c r="K4270" s="3" t="s">
        <v>64</v>
      </c>
    </row>
    <row r="4271" spans="1:11" ht="42" customHeight="1">
      <c r="A4271" s="2" t="s">
        <v>9898</v>
      </c>
      <c r="B4271" s="2" t="s">
        <v>9898</v>
      </c>
      <c r="C4271" s="2" t="s">
        <v>38</v>
      </c>
      <c r="D4271" s="2" t="s">
        <v>39</v>
      </c>
      <c r="E4271" s="5">
        <v>-31350</v>
      </c>
      <c r="F4271" s="3" t="s">
        <v>377</v>
      </c>
      <c r="G4271" s="3" t="s">
        <v>20</v>
      </c>
      <c r="H4271" s="2" t="s">
        <v>62</v>
      </c>
      <c r="I4271" s="2" t="s">
        <v>9899</v>
      </c>
      <c r="J4271" s="3" t="str">
        <f>HYPERLINK("https://www.boe.es/gazeta/dias/1814/03/01/pdfs/GRE-1814-28.pdf#page=7","Abrir facsímil")</f>
        <v>Abrir facsímil</v>
      </c>
      <c r="K4271" s="3" t="s">
        <v>64</v>
      </c>
    </row>
    <row r="4272" spans="1:11" ht="42" customHeight="1">
      <c r="A4272" s="2" t="s">
        <v>9900</v>
      </c>
      <c r="B4272" s="2" t="s">
        <v>9900</v>
      </c>
      <c r="C4272" s="2" t="s">
        <v>38</v>
      </c>
      <c r="D4272" s="2" t="s">
        <v>39</v>
      </c>
      <c r="E4272" s="5">
        <v>-31301</v>
      </c>
      <c r="F4272" s="3" t="s">
        <v>81</v>
      </c>
      <c r="G4272" s="3" t="s">
        <v>87</v>
      </c>
      <c r="H4272" s="2" t="s">
        <v>62</v>
      </c>
      <c r="I4272" s="2" t="s">
        <v>9901</v>
      </c>
      <c r="J4272" s="3" t="str">
        <f>HYPERLINK("https://www.boe.es/gazeta/dias/1814/04/19/pdfs/GRE-1814-56.pdf#page=2","Abrir facsímil")</f>
        <v>Abrir facsímil</v>
      </c>
      <c r="K4272" s="3" t="s">
        <v>64</v>
      </c>
    </row>
    <row r="4273" spans="1:11" ht="42" customHeight="1">
      <c r="A4273" s="2" t="s">
        <v>9900</v>
      </c>
      <c r="B4273" s="2" t="s">
        <v>9900</v>
      </c>
      <c r="C4273" s="2" t="s">
        <v>38</v>
      </c>
      <c r="D4273" s="2" t="s">
        <v>39</v>
      </c>
      <c r="E4273" s="5">
        <v>-31301</v>
      </c>
      <c r="F4273" s="3" t="s">
        <v>81</v>
      </c>
      <c r="G4273" s="3" t="s">
        <v>41</v>
      </c>
      <c r="H4273" s="2" t="s">
        <v>62</v>
      </c>
      <c r="I4273" s="2" t="s">
        <v>9902</v>
      </c>
      <c r="J4273" s="3" t="str">
        <f>HYPERLINK("https://www.boe.es/gazeta/dias/1814/04/19/pdfs/GRE-1814-56.pdf#page=4","Abrir facsímil")</f>
        <v>Abrir facsímil</v>
      </c>
      <c r="K4273" s="3" t="s">
        <v>64</v>
      </c>
    </row>
    <row r="4274" spans="1:11" ht="42" customHeight="1">
      <c r="A4274" s="2" t="s">
        <v>9903</v>
      </c>
      <c r="B4274" s="2" t="s">
        <v>9904</v>
      </c>
      <c r="C4274" s="2" t="s">
        <v>17</v>
      </c>
      <c r="D4274" s="2" t="s">
        <v>18</v>
      </c>
      <c r="E4274" s="5">
        <v>-31119</v>
      </c>
      <c r="F4274" s="3" t="s">
        <v>136</v>
      </c>
      <c r="G4274" s="3" t="s">
        <v>137</v>
      </c>
      <c r="H4274" s="2" t="s">
        <v>62</v>
      </c>
      <c r="I4274" s="2" t="s">
        <v>9905</v>
      </c>
      <c r="J4274" s="3" t="str">
        <f>HYPERLINK("https://www.boe.es/gazeta/dias/1814/10/18/pdfs/GMD-1814-140.pdf#page=9","Abrir facsímil")</f>
        <v>Abrir facsímil</v>
      </c>
      <c r="K4274" s="3" t="s">
        <v>64</v>
      </c>
    </row>
    <row r="4275" spans="1:11" ht="42" customHeight="1">
      <c r="A4275" s="2" t="s">
        <v>9906</v>
      </c>
      <c r="B4275" s="2" t="s">
        <v>9907</v>
      </c>
      <c r="C4275" s="2" t="s">
        <v>32</v>
      </c>
      <c r="D4275" s="2" t="s">
        <v>18</v>
      </c>
      <c r="E4275" s="5">
        <v>-31306</v>
      </c>
      <c r="F4275" s="3" t="s">
        <v>670</v>
      </c>
      <c r="G4275" s="3" t="s">
        <v>52</v>
      </c>
      <c r="H4275" s="2" t="s">
        <v>62</v>
      </c>
      <c r="I4275" s="2" t="s">
        <v>9908</v>
      </c>
      <c r="J4275" s="3" t="str">
        <f>HYPERLINK("https://www.boe.es/gazeta/dias/1814/04/14/pdfs/GRE-1814-53.pdf#page=8","Abrir facsímil")</f>
        <v>Abrir facsímil</v>
      </c>
      <c r="K4275" s="3" t="s">
        <v>64</v>
      </c>
    </row>
    <row r="4276" spans="1:11" ht="42" customHeight="1">
      <c r="A4276" s="2" t="s">
        <v>9909</v>
      </c>
      <c r="B4276" s="2" t="s">
        <v>9910</v>
      </c>
      <c r="C4276" s="2" t="s">
        <v>38</v>
      </c>
      <c r="D4276" s="2" t="s">
        <v>314</v>
      </c>
      <c r="E4276" s="5">
        <v>-31328</v>
      </c>
      <c r="F4276" s="3" t="s">
        <v>442</v>
      </c>
      <c r="G4276" s="3" t="s">
        <v>57</v>
      </c>
      <c r="H4276" s="2" t="s">
        <v>62</v>
      </c>
      <c r="I4276" s="2" t="s">
        <v>9911</v>
      </c>
      <c r="J4276" s="3" t="str">
        <f>HYPERLINK("https://www.boe.es/gazeta/dias/1814/03/23/pdfs/GRE-1814-40E.pdf#page=6","Abrir facsímil")</f>
        <v>Abrir facsímil</v>
      </c>
      <c r="K4276" s="3" t="s">
        <v>64</v>
      </c>
    </row>
    <row r="4277" spans="1:11" ht="42" customHeight="1">
      <c r="A4277" s="2" t="s">
        <v>9912</v>
      </c>
      <c r="B4277" s="2" t="s">
        <v>9912</v>
      </c>
      <c r="C4277" s="2" t="s">
        <v>38</v>
      </c>
      <c r="D4277" s="2" t="s">
        <v>39</v>
      </c>
      <c r="E4277" s="5">
        <v>-31371</v>
      </c>
      <c r="F4277" s="3" t="s">
        <v>1017</v>
      </c>
      <c r="G4277" s="3" t="s">
        <v>41</v>
      </c>
      <c r="H4277" s="2" t="s">
        <v>62</v>
      </c>
      <c r="I4277" s="2" t="s">
        <v>9913</v>
      </c>
      <c r="J4277" s="3" t="str">
        <f>HYPERLINK("https://www.boe.es/gazeta/dias/1814/02/08/pdfs/GRE-1814-18.pdf#page=4","Abrir facsímil")</f>
        <v>Abrir facsímil</v>
      </c>
      <c r="K4277" s="3" t="s">
        <v>64</v>
      </c>
    </row>
    <row r="4278" spans="1:11" ht="42" customHeight="1">
      <c r="A4278" s="2" t="s">
        <v>9914</v>
      </c>
      <c r="B4278" s="2" t="s">
        <v>9914</v>
      </c>
      <c r="C4278" s="2" t="s">
        <v>105</v>
      </c>
      <c r="D4278" s="2" t="s">
        <v>18</v>
      </c>
      <c r="E4278" s="5">
        <v>-31236</v>
      </c>
      <c r="F4278" s="3" t="s">
        <v>33</v>
      </c>
      <c r="G4278" s="3" t="s">
        <v>82</v>
      </c>
      <c r="H4278" s="2" t="s">
        <v>62</v>
      </c>
      <c r="I4278" s="2" t="s">
        <v>9915</v>
      </c>
      <c r="J4278" s="3" t="str">
        <f>HYPERLINK("https://www.boe.es/gazeta/dias/1814/06/23/pdfs/GMD-1814-89.pdf#page=3","Abrir facsímil")</f>
        <v>Abrir facsímil</v>
      </c>
      <c r="K4278" s="3" t="s">
        <v>64</v>
      </c>
    </row>
    <row r="4279" spans="1:11" ht="42" customHeight="1">
      <c r="A4279" s="2" t="s">
        <v>9916</v>
      </c>
      <c r="B4279" s="2" t="s">
        <v>9917</v>
      </c>
      <c r="C4279" s="2" t="s">
        <v>38</v>
      </c>
      <c r="D4279" s="2" t="s">
        <v>39</v>
      </c>
      <c r="E4279" s="5">
        <v>-31227</v>
      </c>
      <c r="F4279" s="3" t="s">
        <v>102</v>
      </c>
      <c r="G4279" s="3" t="s">
        <v>107</v>
      </c>
      <c r="H4279" s="2" t="s">
        <v>62</v>
      </c>
      <c r="I4279" s="2" t="s">
        <v>9918</v>
      </c>
      <c r="J4279" s="3" t="str">
        <f>HYPERLINK("https://www.boe.es/gazeta/dias/1814/07/02/pdfs/GMD-1814-93.pdf#page=1","Abrir facsímil")</f>
        <v>Abrir facsímil</v>
      </c>
      <c r="K4279" s="3" t="s">
        <v>64</v>
      </c>
    </row>
    <row r="4280" spans="1:11" ht="42" customHeight="1">
      <c r="A4280" s="2" t="s">
        <v>9919</v>
      </c>
      <c r="B4280" s="2" t="s">
        <v>9920</v>
      </c>
      <c r="C4280" s="2" t="s">
        <v>38</v>
      </c>
      <c r="D4280" s="2" t="s">
        <v>39</v>
      </c>
      <c r="E4280" s="5">
        <v>-31234</v>
      </c>
      <c r="F4280" s="3" t="s">
        <v>462</v>
      </c>
      <c r="G4280" s="3" t="s">
        <v>87</v>
      </c>
      <c r="H4280" s="2" t="s">
        <v>62</v>
      </c>
      <c r="I4280" s="2" t="s">
        <v>9921</v>
      </c>
      <c r="J4280" s="3" t="str">
        <f>HYPERLINK("https://www.boe.es/gazeta/dias/1814/06/25/pdfs/GMD-1814-90.pdf#page=2","Abrir facsímil")</f>
        <v>Abrir facsímil</v>
      </c>
      <c r="K4280" s="3" t="s">
        <v>64</v>
      </c>
    </row>
    <row r="4281" spans="1:11" ht="42" customHeight="1">
      <c r="A4281" s="2" t="s">
        <v>9922</v>
      </c>
      <c r="B4281" s="2" t="s">
        <v>9923</v>
      </c>
      <c r="C4281" s="2" t="s">
        <v>26</v>
      </c>
      <c r="D4281" s="2" t="s">
        <v>27</v>
      </c>
      <c r="E4281" s="5">
        <v>-31066</v>
      </c>
      <c r="F4281" s="3" t="s">
        <v>1323</v>
      </c>
      <c r="G4281" s="3" t="s">
        <v>82</v>
      </c>
      <c r="H4281" s="2" t="s">
        <v>62</v>
      </c>
      <c r="I4281" s="2" t="s">
        <v>9924</v>
      </c>
      <c r="J4281" s="3" t="str">
        <f>HYPERLINK("https://www.boe.es/gazeta/dias/1814/12/10/pdfs/GMD-1814-163.pdf#page=3","Abrir facsímil")</f>
        <v>Abrir facsímil</v>
      </c>
      <c r="K4281" s="3" t="s">
        <v>64</v>
      </c>
    </row>
    <row r="4282" spans="1:11" ht="42" customHeight="1">
      <c r="A4282" s="2" t="s">
        <v>9925</v>
      </c>
      <c r="B4282" s="2" t="s">
        <v>9926</v>
      </c>
      <c r="C4282" s="2" t="s">
        <v>45</v>
      </c>
      <c r="D4282" s="2" t="s">
        <v>18</v>
      </c>
      <c r="E4282" s="5">
        <v>-31131</v>
      </c>
      <c r="F4282" s="3" t="s">
        <v>132</v>
      </c>
      <c r="G4282" s="3" t="s">
        <v>20</v>
      </c>
      <c r="H4282" s="2" t="s">
        <v>62</v>
      </c>
      <c r="I4282" s="2" t="s">
        <v>9927</v>
      </c>
      <c r="J4282" s="3" t="str">
        <f>HYPERLINK("https://www.boe.es/gazeta/dias/1814/10/06/pdfs/GMD-1814-135.pdf#page=7","Abrir facsímil")</f>
        <v>Abrir facsímil</v>
      </c>
      <c r="K4282" s="3" t="s">
        <v>64</v>
      </c>
    </row>
    <row r="4283" spans="1:11" ht="42" customHeight="1">
      <c r="A4283" s="2" t="s">
        <v>9928</v>
      </c>
      <c r="B4283" s="2" t="s">
        <v>9929</v>
      </c>
      <c r="C4283" s="2" t="s">
        <v>26</v>
      </c>
      <c r="D4283" s="2" t="s">
        <v>27</v>
      </c>
      <c r="E4283" s="5">
        <v>-31056</v>
      </c>
      <c r="F4283" s="3" t="s">
        <v>540</v>
      </c>
      <c r="G4283" s="3" t="s">
        <v>41</v>
      </c>
      <c r="H4283" s="2" t="s">
        <v>62</v>
      </c>
      <c r="I4283" s="2" t="s">
        <v>9930</v>
      </c>
      <c r="J4283" s="3" t="str">
        <f>HYPERLINK("https://www.boe.es/gazeta/dias/1814/12/20/pdfs/GMD-1814-168.pdf#page=4","Abrir facsímil")</f>
        <v>Abrir facsímil</v>
      </c>
      <c r="K4283" s="3" t="s">
        <v>64</v>
      </c>
    </row>
    <row r="4284" spans="1:11" ht="42" customHeight="1">
      <c r="A4284" s="2" t="s">
        <v>9931</v>
      </c>
      <c r="B4284" s="2" t="s">
        <v>9932</v>
      </c>
      <c r="C4284" s="2" t="s">
        <v>45</v>
      </c>
      <c r="D4284" s="2" t="s">
        <v>18</v>
      </c>
      <c r="E4284" s="5">
        <v>-31054</v>
      </c>
      <c r="F4284" s="3" t="s">
        <v>952</v>
      </c>
      <c r="G4284" s="3" t="s">
        <v>20</v>
      </c>
      <c r="H4284" s="2" t="s">
        <v>62</v>
      </c>
      <c r="I4284" s="2" t="s">
        <v>9933</v>
      </c>
      <c r="J4284" s="3" t="str">
        <f>HYPERLINK("https://www.boe.es/gazeta/dias/1814/12/22/pdfs/GMD-1814-169.pdf#page=7","Abrir facsímil")</f>
        <v>Abrir facsímil</v>
      </c>
      <c r="K4284" s="3" t="s">
        <v>64</v>
      </c>
    </row>
    <row r="4285" spans="1:11" ht="42" customHeight="1">
      <c r="A4285" s="2" t="s">
        <v>9934</v>
      </c>
      <c r="B4285" s="2" t="s">
        <v>9935</v>
      </c>
      <c r="C4285" s="2" t="s">
        <v>45</v>
      </c>
      <c r="D4285" s="2" t="s">
        <v>18</v>
      </c>
      <c r="E4285" s="5">
        <v>-31117</v>
      </c>
      <c r="F4285" s="3" t="s">
        <v>172</v>
      </c>
      <c r="G4285" s="3" t="s">
        <v>392</v>
      </c>
      <c r="H4285" s="2" t="s">
        <v>62</v>
      </c>
      <c r="I4285" s="2" t="s">
        <v>9936</v>
      </c>
      <c r="J4285" s="3" t="str">
        <f>HYPERLINK("https://www.boe.es/gazeta/dias/1814/10/20/pdfs/GMD-1814-141.pdf#page=8","Abrir facsímil")</f>
        <v>Abrir facsímil</v>
      </c>
      <c r="K4285" s="3" t="s">
        <v>64</v>
      </c>
    </row>
    <row r="4286" spans="1:11" ht="42" customHeight="1">
      <c r="A4286" s="2" t="s">
        <v>9937</v>
      </c>
      <c r="B4286" s="2" t="s">
        <v>9938</v>
      </c>
      <c r="C4286" s="2" t="s">
        <v>38</v>
      </c>
      <c r="D4286" s="2" t="s">
        <v>39</v>
      </c>
      <c r="E4286" s="5">
        <v>-31182</v>
      </c>
      <c r="F4286" s="3" t="s">
        <v>19</v>
      </c>
      <c r="G4286" s="3" t="s">
        <v>57</v>
      </c>
      <c r="H4286" s="2" t="s">
        <v>21</v>
      </c>
      <c r="I4286" s="2" t="s">
        <v>9939</v>
      </c>
      <c r="J4286" s="3" t="str">
        <f>HYPERLINK("https://www.boe.es/gazeta/dias/1814/08/16/pdfs/GMD-1814-112.pdf#page=6","Abrir facsímil")</f>
        <v>Abrir facsímil</v>
      </c>
      <c r="K4286" s="3" t="s">
        <v>23</v>
      </c>
    </row>
    <row r="4287" spans="1:11" ht="42" customHeight="1">
      <c r="A4287" s="2" t="s">
        <v>9940</v>
      </c>
      <c r="B4287" s="2" t="s">
        <v>9941</v>
      </c>
      <c r="C4287" s="2" t="s">
        <v>309</v>
      </c>
      <c r="D4287" s="2" t="s">
        <v>18</v>
      </c>
      <c r="E4287" s="5">
        <v>-31252</v>
      </c>
      <c r="F4287" s="3" t="s">
        <v>364</v>
      </c>
      <c r="G4287" s="3" t="s">
        <v>8092</v>
      </c>
      <c r="H4287" s="2" t="s">
        <v>62</v>
      </c>
      <c r="I4287" s="2" t="s">
        <v>9942</v>
      </c>
      <c r="J4287" s="3" t="str">
        <f>HYPERLINK("https://www.boe.es/gazeta/dias/1814/06/07/pdfs/GMD-1814-82.pdf#page=10","Abrir facsímil")</f>
        <v>Abrir facsímil</v>
      </c>
      <c r="K4287" s="3" t="s">
        <v>64</v>
      </c>
    </row>
    <row r="4288" spans="1:11" ht="42" customHeight="1">
      <c r="A4288" s="2" t="s">
        <v>9940</v>
      </c>
      <c r="B4288" s="2" t="s">
        <v>9941</v>
      </c>
      <c r="C4288" s="2" t="s">
        <v>26</v>
      </c>
      <c r="D4288" s="2" t="s">
        <v>27</v>
      </c>
      <c r="E4288" s="5">
        <v>-31250</v>
      </c>
      <c r="F4288" s="3" t="s">
        <v>177</v>
      </c>
      <c r="G4288" s="3" t="s">
        <v>52</v>
      </c>
      <c r="H4288" s="2" t="s">
        <v>62</v>
      </c>
      <c r="I4288" s="2" t="s">
        <v>9943</v>
      </c>
      <c r="J4288" s="3" t="str">
        <f>HYPERLINK("https://www.boe.es/gazeta/dias/1814/06/09/pdfs/GMD-1814-83.pdf#page=8","Abrir facsímil")</f>
        <v>Abrir facsímil</v>
      </c>
      <c r="K4288" s="3" t="s">
        <v>64</v>
      </c>
    </row>
    <row r="4289" spans="1:11" ht="42" customHeight="1">
      <c r="A4289" s="2" t="s">
        <v>9944</v>
      </c>
      <c r="B4289" s="2" t="s">
        <v>9945</v>
      </c>
      <c r="C4289" s="2" t="s">
        <v>17</v>
      </c>
      <c r="D4289" s="2" t="s">
        <v>18</v>
      </c>
      <c r="E4289" s="5">
        <v>-31054</v>
      </c>
      <c r="F4289" s="3" t="s">
        <v>952</v>
      </c>
      <c r="G4289" s="3" t="s">
        <v>2152</v>
      </c>
      <c r="H4289" s="2" t="s">
        <v>21</v>
      </c>
      <c r="I4289" s="2" t="s">
        <v>9946</v>
      </c>
      <c r="J4289" s="3" t="str">
        <f>HYPERLINK("https://www.boe.es/gazeta/dias/1814/12/22/pdfs/GMD-1814-169.pdf#page=6","Abrir facsímil")</f>
        <v>Abrir facsímil</v>
      </c>
      <c r="K4289" s="3" t="s">
        <v>23</v>
      </c>
    </row>
    <row r="4290" spans="1:11" ht="42" customHeight="1">
      <c r="A4290" s="2" t="s">
        <v>9947</v>
      </c>
      <c r="B4290" s="2" t="s">
        <v>9948</v>
      </c>
      <c r="C4290" s="2" t="s">
        <v>38</v>
      </c>
      <c r="D4290" s="2" t="s">
        <v>39</v>
      </c>
      <c r="E4290" s="5">
        <v>-31196</v>
      </c>
      <c r="F4290" s="3" t="s">
        <v>828</v>
      </c>
      <c r="G4290" s="3" t="s">
        <v>52</v>
      </c>
      <c r="H4290" s="2" t="s">
        <v>62</v>
      </c>
      <c r="I4290" s="2" t="s">
        <v>9949</v>
      </c>
      <c r="J4290" s="3" t="str">
        <f>HYPERLINK("https://www.boe.es/gazeta/dias/1814/08/02/pdfs/GMD-1814-106.pdf#page=8","Abrir facsímil")</f>
        <v>Abrir facsímil</v>
      </c>
      <c r="K4290" s="3" t="s">
        <v>64</v>
      </c>
    </row>
    <row r="4291" spans="1:11" ht="42" customHeight="1">
      <c r="A4291" s="2" t="s">
        <v>9950</v>
      </c>
      <c r="B4291" s="2" t="s">
        <v>9951</v>
      </c>
      <c r="C4291" s="2" t="s">
        <v>38</v>
      </c>
      <c r="D4291" s="2" t="s">
        <v>39</v>
      </c>
      <c r="E4291" s="5">
        <v>-31355</v>
      </c>
      <c r="F4291" s="3" t="s">
        <v>50</v>
      </c>
      <c r="G4291" s="3" t="s">
        <v>20</v>
      </c>
      <c r="H4291" s="2" t="s">
        <v>62</v>
      </c>
      <c r="I4291" s="2" t="s">
        <v>9952</v>
      </c>
      <c r="J4291" s="3" t="str">
        <f>HYPERLINK("https://www.boe.es/gazeta/dias/1814/02/24/pdfs/GRE-1814-26.pdf#page=7","Abrir facsímil")</f>
        <v>Abrir facsímil</v>
      </c>
      <c r="K4291" s="3" t="s">
        <v>64</v>
      </c>
    </row>
    <row r="4292" spans="1:11" ht="42" customHeight="1">
      <c r="A4292" s="2" t="s">
        <v>9953</v>
      </c>
      <c r="B4292" s="2" t="s">
        <v>9954</v>
      </c>
      <c r="C4292" s="2" t="s">
        <v>17</v>
      </c>
      <c r="D4292" s="2" t="s">
        <v>18</v>
      </c>
      <c r="E4292" s="5">
        <v>-31152</v>
      </c>
      <c r="F4292" s="3" t="s">
        <v>199</v>
      </c>
      <c r="G4292" s="3" t="s">
        <v>82</v>
      </c>
      <c r="H4292" s="2" t="s">
        <v>62</v>
      </c>
      <c r="I4292" s="2" t="s">
        <v>9955</v>
      </c>
      <c r="J4292" s="3" t="str">
        <f>HYPERLINK("https://www.boe.es/gazeta/dias/1814/09/15/pdfs/GMD-1814-126.pdf#page=3","Abrir facsímil")</f>
        <v>Abrir facsímil</v>
      </c>
      <c r="K4292" s="3" t="s">
        <v>64</v>
      </c>
    </row>
    <row r="4293" spans="1:11" ht="42" customHeight="1">
      <c r="A4293" s="2" t="s">
        <v>9956</v>
      </c>
      <c r="B4293" s="2" t="s">
        <v>9957</v>
      </c>
      <c r="C4293" s="2" t="s">
        <v>38</v>
      </c>
      <c r="D4293" s="2" t="s">
        <v>39</v>
      </c>
      <c r="E4293" s="5">
        <v>-31355</v>
      </c>
      <c r="F4293" s="3" t="s">
        <v>50</v>
      </c>
      <c r="G4293" s="3" t="s">
        <v>2740</v>
      </c>
      <c r="H4293" s="2" t="s">
        <v>62</v>
      </c>
      <c r="I4293" s="2" t="s">
        <v>9958</v>
      </c>
      <c r="J4293" s="3" t="str">
        <f>HYPERLINK("https://www.boe.es/gazeta/dias/1814/02/24/pdfs/GRE-1814-26.pdf#page=6","Abrir facsímil")</f>
        <v>Abrir facsímil</v>
      </c>
      <c r="K4293" s="3" t="s">
        <v>64</v>
      </c>
    </row>
    <row r="4294" spans="1:11" ht="42" customHeight="1">
      <c r="A4294" s="2" t="s">
        <v>9959</v>
      </c>
      <c r="B4294" s="2" t="s">
        <v>9960</v>
      </c>
      <c r="C4294" s="2" t="s">
        <v>17</v>
      </c>
      <c r="D4294" s="2" t="s">
        <v>314</v>
      </c>
      <c r="E4294" s="5">
        <v>-31317</v>
      </c>
      <c r="F4294" s="3" t="s">
        <v>2780</v>
      </c>
      <c r="G4294" s="3" t="s">
        <v>107</v>
      </c>
      <c r="H4294" s="2" t="s">
        <v>62</v>
      </c>
      <c r="I4294" s="2" t="s">
        <v>9961</v>
      </c>
      <c r="J4294" s="3" t="str">
        <f>HYPERLINK("https://www.boe.es/gazeta/dias/1814/04/03/pdfs/GRE-1814-48E.pdf#page=1","Abrir facsímil")</f>
        <v>Abrir facsímil</v>
      </c>
      <c r="K4294" s="3" t="s">
        <v>64</v>
      </c>
    </row>
    <row r="4295" spans="1:11" ht="42" customHeight="1">
      <c r="A4295" s="2" t="s">
        <v>9962</v>
      </c>
      <c r="B4295" s="2" t="s">
        <v>9963</v>
      </c>
      <c r="C4295" s="2" t="s">
        <v>38</v>
      </c>
      <c r="D4295" s="2" t="s">
        <v>39</v>
      </c>
      <c r="E4295" s="5">
        <v>-31080</v>
      </c>
      <c r="F4295" s="3" t="s">
        <v>286</v>
      </c>
      <c r="G4295" s="3" t="s">
        <v>677</v>
      </c>
      <c r="H4295" s="2" t="s">
        <v>62</v>
      </c>
      <c r="I4295" s="2" t="s">
        <v>9964</v>
      </c>
      <c r="J4295" s="3" t="str">
        <f>HYPERLINK("https://www.boe.es/gazeta/dias/1814/11/26/pdfs/GMD-1814-157.pdf#page=7","Abrir facsímil")</f>
        <v>Abrir facsímil</v>
      </c>
      <c r="K4295" s="3" t="s">
        <v>64</v>
      </c>
    </row>
    <row r="4296" spans="1:11" ht="42" customHeight="1">
      <c r="A4296" s="2" t="s">
        <v>9965</v>
      </c>
      <c r="B4296" s="2" t="s">
        <v>9966</v>
      </c>
      <c r="C4296" s="2" t="s">
        <v>45</v>
      </c>
      <c r="D4296" s="2" t="s">
        <v>18</v>
      </c>
      <c r="E4296" s="5">
        <v>-31108</v>
      </c>
      <c r="F4296" s="3" t="s">
        <v>528</v>
      </c>
      <c r="G4296" s="3" t="s">
        <v>20</v>
      </c>
      <c r="H4296" s="2" t="s">
        <v>62</v>
      </c>
      <c r="I4296" s="2" t="s">
        <v>9967</v>
      </c>
      <c r="J4296" s="3" t="str">
        <f>HYPERLINK("https://www.boe.es/gazeta/dias/1814/10/29/pdfs/GMD-1814-145.pdf#page=7","Abrir facsímil")</f>
        <v>Abrir facsímil</v>
      </c>
      <c r="K4296" s="3" t="s">
        <v>64</v>
      </c>
    </row>
    <row r="4297" spans="1:11" ht="42" customHeight="1">
      <c r="A4297" s="2" t="s">
        <v>9968</v>
      </c>
      <c r="B4297" s="2" t="s">
        <v>9969</v>
      </c>
      <c r="C4297" s="2" t="s">
        <v>38</v>
      </c>
      <c r="D4297" s="2" t="s">
        <v>39</v>
      </c>
      <c r="E4297" s="5">
        <v>-31278</v>
      </c>
      <c r="F4297" s="3" t="s">
        <v>773</v>
      </c>
      <c r="G4297" s="3" t="s">
        <v>57</v>
      </c>
      <c r="H4297" s="2" t="s">
        <v>62</v>
      </c>
      <c r="I4297" s="2" t="s">
        <v>9970</v>
      </c>
      <c r="J4297" s="3" t="str">
        <f>HYPERLINK("https://www.boe.es/gazeta/dias/1814/05/12/pdfs/GMD-1814-69.pdf#page=6","Abrir facsímil")</f>
        <v>Abrir facsímil</v>
      </c>
      <c r="K4297" s="3" t="s">
        <v>64</v>
      </c>
    </row>
    <row r="4298" spans="1:11" ht="42" customHeight="1">
      <c r="A4298" s="2" t="s">
        <v>9971</v>
      </c>
      <c r="B4298" s="2" t="s">
        <v>9972</v>
      </c>
      <c r="C4298" s="2" t="s">
        <v>38</v>
      </c>
      <c r="D4298" s="2" t="s">
        <v>39</v>
      </c>
      <c r="E4298" s="5">
        <v>-31201</v>
      </c>
      <c r="F4298" s="3" t="s">
        <v>863</v>
      </c>
      <c r="G4298" s="3" t="s">
        <v>20</v>
      </c>
      <c r="H4298" s="2" t="s">
        <v>62</v>
      </c>
      <c r="I4298" s="2" t="s">
        <v>9973</v>
      </c>
      <c r="J4298" s="3" t="str">
        <f>HYPERLINK("https://www.boe.es/gazeta/dias/1814/07/28/pdfs/GMD-1814-104.pdf#page=7","Abrir facsímil")</f>
        <v>Abrir facsímil</v>
      </c>
      <c r="K4298" s="3" t="s">
        <v>64</v>
      </c>
    </row>
    <row r="4299" spans="1:11" ht="42" customHeight="1">
      <c r="A4299" s="2" t="s">
        <v>9974</v>
      </c>
      <c r="B4299" s="2" t="s">
        <v>9974</v>
      </c>
      <c r="C4299" s="2" t="s">
        <v>38</v>
      </c>
      <c r="D4299" s="2" t="s">
        <v>39</v>
      </c>
      <c r="E4299" s="5">
        <v>-31390</v>
      </c>
      <c r="F4299" s="3" t="s">
        <v>349</v>
      </c>
      <c r="G4299" s="3" t="s">
        <v>41</v>
      </c>
      <c r="H4299" s="2" t="s">
        <v>62</v>
      </c>
      <c r="I4299" s="2" t="s">
        <v>9975</v>
      </c>
      <c r="J4299" s="3" t="str">
        <f>HYPERLINK("https://www.boe.es/gazeta/dias/1814/01/20/pdfs/GRE-1814-10.pdf#page=4","Abrir facsímil")</f>
        <v>Abrir facsímil</v>
      </c>
      <c r="K4299" s="3" t="s">
        <v>64</v>
      </c>
    </row>
    <row r="4300" spans="1:11" ht="42" customHeight="1">
      <c r="A4300" s="2" t="s">
        <v>9976</v>
      </c>
      <c r="B4300" s="2" t="s">
        <v>9977</v>
      </c>
      <c r="C4300" s="2" t="s">
        <v>38</v>
      </c>
      <c r="D4300" s="2" t="s">
        <v>39</v>
      </c>
      <c r="E4300" s="5">
        <v>-31087</v>
      </c>
      <c r="F4300" s="3" t="s">
        <v>118</v>
      </c>
      <c r="G4300" s="3" t="s">
        <v>57</v>
      </c>
      <c r="H4300" s="2" t="s">
        <v>62</v>
      </c>
      <c r="I4300" s="2" t="s">
        <v>9978</v>
      </c>
      <c r="J4300" s="3" t="str">
        <f>HYPERLINK("https://www.boe.es/gazeta/dias/1814/11/19/pdfs/GMD-1814-154.pdf#page=6","Abrir facsímil")</f>
        <v>Abrir facsímil</v>
      </c>
      <c r="K4300" s="3" t="s">
        <v>64</v>
      </c>
    </row>
    <row r="4301" spans="1:11" ht="42" customHeight="1">
      <c r="A4301" s="2" t="s">
        <v>9979</v>
      </c>
      <c r="B4301" s="2" t="s">
        <v>9980</v>
      </c>
      <c r="C4301" s="2" t="s">
        <v>38</v>
      </c>
      <c r="D4301" s="2" t="s">
        <v>39</v>
      </c>
      <c r="E4301" s="5">
        <v>-31227</v>
      </c>
      <c r="F4301" s="3" t="s">
        <v>102</v>
      </c>
      <c r="G4301" s="3" t="s">
        <v>52</v>
      </c>
      <c r="H4301" s="2" t="s">
        <v>21</v>
      </c>
      <c r="I4301" s="2" t="s">
        <v>9981</v>
      </c>
      <c r="J4301" s="3" t="str">
        <f>HYPERLINK("https://www.boe.es/gazeta/dias/1814/07/02/pdfs/GMD-1814-93.pdf#page=8","Abrir facsímil")</f>
        <v>Abrir facsímil</v>
      </c>
      <c r="K4301" s="3" t="s">
        <v>23</v>
      </c>
    </row>
    <row r="4302" spans="1:11" ht="42" customHeight="1">
      <c r="A4302" s="2" t="s">
        <v>9982</v>
      </c>
      <c r="B4302" s="2" t="s">
        <v>9983</v>
      </c>
      <c r="C4302" s="2" t="s">
        <v>38</v>
      </c>
      <c r="D4302" s="2" t="s">
        <v>39</v>
      </c>
      <c r="E4302" s="5">
        <v>-31227</v>
      </c>
      <c r="F4302" s="3" t="s">
        <v>102</v>
      </c>
      <c r="G4302" s="3" t="s">
        <v>52</v>
      </c>
      <c r="H4302" s="2" t="s">
        <v>62</v>
      </c>
      <c r="I4302" s="2" t="s">
        <v>9984</v>
      </c>
      <c r="J4302" s="3" t="str">
        <f>HYPERLINK("https://www.boe.es/gazeta/dias/1814/07/02/pdfs/GMD-1814-93.pdf#page=8","Abrir facsímil")</f>
        <v>Abrir facsímil</v>
      </c>
      <c r="K4302" s="3" t="s">
        <v>64</v>
      </c>
    </row>
    <row r="4303" spans="1:11" ht="42" customHeight="1">
      <c r="A4303" s="2" t="s">
        <v>9985</v>
      </c>
      <c r="B4303" s="2" t="s">
        <v>9986</v>
      </c>
      <c r="C4303" s="2" t="s">
        <v>38</v>
      </c>
      <c r="D4303" s="2" t="s">
        <v>39</v>
      </c>
      <c r="E4303" s="5">
        <v>-31227</v>
      </c>
      <c r="F4303" s="3" t="s">
        <v>102</v>
      </c>
      <c r="G4303" s="3" t="s">
        <v>52</v>
      </c>
      <c r="H4303" s="2" t="s">
        <v>62</v>
      </c>
      <c r="I4303" s="2" t="s">
        <v>9987</v>
      </c>
      <c r="J4303" s="3" t="str">
        <f>HYPERLINK("https://www.boe.es/gazeta/dias/1814/07/02/pdfs/GMD-1814-93.pdf#page=8","Abrir facsímil")</f>
        <v>Abrir facsímil</v>
      </c>
      <c r="K4303" s="3" t="s">
        <v>64</v>
      </c>
    </row>
    <row r="4304" spans="1:11" ht="42" customHeight="1">
      <c r="A4304" s="2" t="s">
        <v>9988</v>
      </c>
      <c r="B4304" s="2" t="s">
        <v>9989</v>
      </c>
      <c r="C4304" s="2" t="s">
        <v>105</v>
      </c>
      <c r="D4304" s="2" t="s">
        <v>18</v>
      </c>
      <c r="E4304" s="5">
        <v>-31220</v>
      </c>
      <c r="F4304" s="3" t="s">
        <v>122</v>
      </c>
      <c r="G4304" s="3" t="s">
        <v>57</v>
      </c>
      <c r="H4304" s="2" t="s">
        <v>62</v>
      </c>
      <c r="I4304" s="2" t="s">
        <v>9990</v>
      </c>
      <c r="J4304" s="3" t="str">
        <f>HYPERLINK("https://www.boe.es/gazeta/dias/1814/07/09/pdfs/GMD-1814-96.pdf#page=6","Abrir facsímil")</f>
        <v>Abrir facsímil</v>
      </c>
      <c r="K4304" s="3" t="s">
        <v>64</v>
      </c>
    </row>
    <row r="4305" spans="1:11" ht="42" customHeight="1">
      <c r="A4305" s="2" t="s">
        <v>9991</v>
      </c>
      <c r="B4305" s="2" t="s">
        <v>9992</v>
      </c>
      <c r="C4305" s="2" t="s">
        <v>38</v>
      </c>
      <c r="D4305" s="2" t="s">
        <v>39</v>
      </c>
      <c r="E4305" s="5">
        <v>-31243</v>
      </c>
      <c r="F4305" s="3" t="s">
        <v>500</v>
      </c>
      <c r="G4305" s="3" t="s">
        <v>4656</v>
      </c>
      <c r="H4305" s="2" t="s">
        <v>62</v>
      </c>
      <c r="I4305" s="2" t="s">
        <v>9993</v>
      </c>
      <c r="J4305" s="3" t="str">
        <f>HYPERLINK("https://www.boe.es/gazeta/dias/1814/06/16/pdfs/GMD-1814-86.pdf#page=12","Abrir facsímil")</f>
        <v>Abrir facsímil</v>
      </c>
      <c r="K4305" s="3" t="s">
        <v>64</v>
      </c>
    </row>
    <row r="4306" spans="1:11" ht="42" customHeight="1">
      <c r="A4306" s="2" t="s">
        <v>9994</v>
      </c>
      <c r="B4306" s="2" t="s">
        <v>9995</v>
      </c>
      <c r="C4306" s="2" t="s">
        <v>105</v>
      </c>
      <c r="D4306" s="2" t="s">
        <v>18</v>
      </c>
      <c r="E4306" s="5">
        <v>-31383</v>
      </c>
      <c r="F4306" s="3" t="s">
        <v>715</v>
      </c>
      <c r="G4306" s="3" t="s">
        <v>57</v>
      </c>
      <c r="H4306" s="2" t="s">
        <v>62</v>
      </c>
      <c r="I4306" s="2" t="s">
        <v>9996</v>
      </c>
      <c r="J4306" s="3" t="str">
        <f>HYPERLINK("https://www.boe.es/gazeta/dias/1814/01/27/pdfs/GRE-1814-13.pdf#page=6","Abrir facsímil")</f>
        <v>Abrir facsímil</v>
      </c>
      <c r="K4306" s="3" t="s">
        <v>64</v>
      </c>
    </row>
    <row r="4307" spans="1:11" ht="42" customHeight="1">
      <c r="A4307" s="2" t="s">
        <v>9997</v>
      </c>
      <c r="B4307" s="2" t="s">
        <v>9998</v>
      </c>
      <c r="C4307" s="2" t="s">
        <v>26</v>
      </c>
      <c r="D4307" s="2" t="s">
        <v>27</v>
      </c>
      <c r="E4307" s="5">
        <v>-31371</v>
      </c>
      <c r="F4307" s="3" t="s">
        <v>476</v>
      </c>
      <c r="G4307" s="3" t="s">
        <v>52</v>
      </c>
      <c r="H4307" s="2" t="s">
        <v>62</v>
      </c>
      <c r="I4307" s="2" t="s">
        <v>9999</v>
      </c>
      <c r="J4307" s="3" t="str">
        <f>HYPERLINK("https://www.boe.es/gazeta/dias/1814/02/08/pdfs/GRE-1814-31.pdf#page=8","Abrir facsímil")</f>
        <v>Abrir facsímil</v>
      </c>
      <c r="K4307" s="3" t="s">
        <v>64</v>
      </c>
    </row>
    <row r="4308" spans="1:11" ht="42" customHeight="1">
      <c r="A4308" s="2" t="s">
        <v>9997</v>
      </c>
      <c r="B4308" s="2" t="s">
        <v>9998</v>
      </c>
      <c r="C4308" s="2" t="s">
        <v>38</v>
      </c>
      <c r="D4308" s="2" t="s">
        <v>39</v>
      </c>
      <c r="E4308" s="5">
        <v>-31357</v>
      </c>
      <c r="F4308" s="3" t="s">
        <v>1460</v>
      </c>
      <c r="G4308" s="3" t="s">
        <v>52</v>
      </c>
      <c r="H4308" s="2" t="s">
        <v>62</v>
      </c>
      <c r="I4308" s="2" t="s">
        <v>10000</v>
      </c>
      <c r="J4308" s="3" t="str">
        <f>HYPERLINK("https://www.boe.es/gazeta/dias/1814/02/22/pdfs/GRE-1814-25.pdf#page=8","Abrir facsímil")</f>
        <v>Abrir facsímil</v>
      </c>
      <c r="K4308" s="3" t="s">
        <v>64</v>
      </c>
    </row>
    <row r="4309" spans="1:11" ht="42" customHeight="1">
      <c r="A4309" s="2" t="s">
        <v>9997</v>
      </c>
      <c r="B4309" s="2" t="s">
        <v>9998</v>
      </c>
      <c r="C4309" s="2" t="s">
        <v>26</v>
      </c>
      <c r="D4309" s="2" t="s">
        <v>27</v>
      </c>
      <c r="E4309" s="5">
        <v>-31343</v>
      </c>
      <c r="F4309" s="3" t="s">
        <v>476</v>
      </c>
      <c r="G4309" s="3" t="s">
        <v>52</v>
      </c>
      <c r="H4309" s="2" t="s">
        <v>62</v>
      </c>
      <c r="I4309" s="2" t="s">
        <v>9999</v>
      </c>
      <c r="J4309" s="3" t="str">
        <f>HYPERLINK("https://www.boe.es/gazeta/dias/1814/03/08/pdfs/GRE-1814-31.pdf#page=8","Abrir facsímil")</f>
        <v>Abrir facsímil</v>
      </c>
      <c r="K4309" s="3" t="s">
        <v>64</v>
      </c>
    </row>
    <row r="4310" spans="1:11" ht="42" customHeight="1">
      <c r="A4310" s="2" t="s">
        <v>10001</v>
      </c>
      <c r="B4310" s="2" t="s">
        <v>10002</v>
      </c>
      <c r="C4310" s="2" t="s">
        <v>26</v>
      </c>
      <c r="D4310" s="2" t="s">
        <v>27</v>
      </c>
      <c r="E4310" s="5">
        <v>-31168</v>
      </c>
      <c r="F4310" s="3" t="s">
        <v>893</v>
      </c>
      <c r="G4310" s="3" t="s">
        <v>20</v>
      </c>
      <c r="H4310" s="2" t="s">
        <v>21</v>
      </c>
      <c r="I4310" s="2" t="s">
        <v>10003</v>
      </c>
      <c r="J4310" s="3" t="str">
        <f>HYPERLINK("https://www.boe.es/gazeta/dias/1814/08/30/pdfs/GMD-1814-118.pdf#page=7","Abrir facsímil")</f>
        <v>Abrir facsímil</v>
      </c>
      <c r="K4310" s="3" t="s">
        <v>23</v>
      </c>
    </row>
    <row r="4311" spans="1:11" ht="42" customHeight="1">
      <c r="A4311" s="2" t="s">
        <v>10001</v>
      </c>
      <c r="B4311" s="2" t="s">
        <v>10002</v>
      </c>
      <c r="C4311" s="2" t="s">
        <v>45</v>
      </c>
      <c r="D4311" s="2" t="s">
        <v>18</v>
      </c>
      <c r="E4311" s="5">
        <v>-31138</v>
      </c>
      <c r="F4311" s="3" t="s">
        <v>1363</v>
      </c>
      <c r="G4311" s="3" t="s">
        <v>1364</v>
      </c>
      <c r="H4311" s="2" t="s">
        <v>21</v>
      </c>
      <c r="I4311" s="2" t="s">
        <v>10004</v>
      </c>
      <c r="J4311" s="3" t="str">
        <f>HYPERLINK("https://www.boe.es/gazeta/dias/1814/09/29/pdfs/GMD-1814-132.pdf#page=7","Abrir facsímil")</f>
        <v>Abrir facsímil</v>
      </c>
      <c r="K4311" s="3" t="s">
        <v>23</v>
      </c>
    </row>
    <row r="4312" spans="1:11" ht="42" customHeight="1">
      <c r="A4312" s="2" t="s">
        <v>10005</v>
      </c>
      <c r="B4312" s="2" t="s">
        <v>10006</v>
      </c>
      <c r="C4312" s="2" t="s">
        <v>26</v>
      </c>
      <c r="D4312" s="2" t="s">
        <v>27</v>
      </c>
      <c r="E4312" s="5">
        <v>-31362</v>
      </c>
      <c r="F4312" s="3" t="s">
        <v>302</v>
      </c>
      <c r="G4312" s="3" t="s">
        <v>52</v>
      </c>
      <c r="H4312" s="2" t="s">
        <v>62</v>
      </c>
      <c r="I4312" s="2" t="s">
        <v>10007</v>
      </c>
      <c r="J4312" s="3" t="str">
        <f>HYPERLINK("https://www.boe.es/gazeta/dias/1814/02/17/pdfs/GRE-1814-22.pdf#page=8","Abrir facsímil")</f>
        <v>Abrir facsímil</v>
      </c>
      <c r="K4312" s="3" t="s">
        <v>64</v>
      </c>
    </row>
    <row r="4313" spans="1:11" ht="42" customHeight="1">
      <c r="A4313" s="2" t="s">
        <v>10008</v>
      </c>
      <c r="B4313" s="2" t="s">
        <v>10009</v>
      </c>
      <c r="C4313" s="2" t="s">
        <v>26</v>
      </c>
      <c r="D4313" s="2" t="s">
        <v>27</v>
      </c>
      <c r="E4313" s="5">
        <v>-31152</v>
      </c>
      <c r="F4313" s="3" t="s">
        <v>199</v>
      </c>
      <c r="G4313" s="3" t="s">
        <v>20</v>
      </c>
      <c r="H4313" s="2" t="s">
        <v>62</v>
      </c>
      <c r="I4313" s="2" t="s">
        <v>10010</v>
      </c>
      <c r="J4313" s="3" t="str">
        <f>HYPERLINK("https://www.boe.es/gazeta/dias/1814/09/15/pdfs/GMD-1814-126.pdf#page=7","Abrir facsímil")</f>
        <v>Abrir facsímil</v>
      </c>
      <c r="K4313" s="3" t="s">
        <v>64</v>
      </c>
    </row>
    <row r="4314" spans="1:11" ht="42" customHeight="1">
      <c r="A4314" s="2" t="s">
        <v>10011</v>
      </c>
      <c r="B4314" s="2" t="s">
        <v>10012</v>
      </c>
      <c r="C4314" s="2" t="s">
        <v>38</v>
      </c>
      <c r="D4314" s="2" t="s">
        <v>39</v>
      </c>
      <c r="E4314" s="5">
        <v>-31103</v>
      </c>
      <c r="F4314" s="3" t="s">
        <v>1260</v>
      </c>
      <c r="G4314" s="3" t="s">
        <v>1261</v>
      </c>
      <c r="H4314" s="2" t="s">
        <v>62</v>
      </c>
      <c r="I4314" s="2" t="s">
        <v>10013</v>
      </c>
      <c r="J4314" s="3" t="str">
        <f>HYPERLINK("https://www.boe.es/gazeta/dias/1814/11/03/pdfs/GMD-1814-147.pdf#page=8","Abrir facsímil")</f>
        <v>Abrir facsímil</v>
      </c>
      <c r="K4314" s="3" t="s">
        <v>64</v>
      </c>
    </row>
    <row r="4315" spans="1:11" ht="42" customHeight="1">
      <c r="A4315" s="2" t="s">
        <v>10014</v>
      </c>
      <c r="B4315" s="2" t="s">
        <v>10015</v>
      </c>
      <c r="C4315" s="2" t="s">
        <v>38</v>
      </c>
      <c r="D4315" s="2" t="s">
        <v>39</v>
      </c>
      <c r="E4315" s="5">
        <v>-31318</v>
      </c>
      <c r="F4315" s="3" t="s">
        <v>400</v>
      </c>
      <c r="G4315" s="3" t="s">
        <v>99</v>
      </c>
      <c r="H4315" s="2" t="s">
        <v>62</v>
      </c>
      <c r="I4315" s="2" t="s">
        <v>10016</v>
      </c>
      <c r="J4315" s="3" t="str">
        <f>HYPERLINK("https://www.boe.es/gazeta/dias/1814/04/02/pdfs/GRE-1814-47.pdf#page=5","Abrir facsímil")</f>
        <v>Abrir facsímil</v>
      </c>
      <c r="K4315" s="3" t="s">
        <v>64</v>
      </c>
    </row>
    <row r="4316" spans="1:11" ht="42" customHeight="1">
      <c r="A4316" s="2" t="s">
        <v>10017</v>
      </c>
      <c r="B4316" s="2" t="s">
        <v>10018</v>
      </c>
      <c r="C4316" s="2" t="s">
        <v>38</v>
      </c>
      <c r="D4316" s="2" t="s">
        <v>39</v>
      </c>
      <c r="E4316" s="5">
        <v>-31049</v>
      </c>
      <c r="F4316" s="3" t="s">
        <v>542</v>
      </c>
      <c r="G4316" s="3" t="s">
        <v>20</v>
      </c>
      <c r="H4316" s="2" t="s">
        <v>62</v>
      </c>
      <c r="I4316" s="2" t="s">
        <v>10019</v>
      </c>
      <c r="J4316" s="3" t="str">
        <f>HYPERLINK("https://www.boe.es/gazeta/dias/1814/12/27/pdfs/GMD-1814-171.pdf#page=7","Abrir facsímil")</f>
        <v>Abrir facsímil</v>
      </c>
      <c r="K4316" s="3" t="s">
        <v>64</v>
      </c>
    </row>
    <row r="4317" spans="1:11" ht="42" customHeight="1">
      <c r="A4317" s="2" t="s">
        <v>10020</v>
      </c>
      <c r="B4317" s="2" t="s">
        <v>10021</v>
      </c>
      <c r="C4317" s="2" t="s">
        <v>38</v>
      </c>
      <c r="D4317" s="2" t="s">
        <v>314</v>
      </c>
      <c r="E4317" s="5">
        <v>-31296</v>
      </c>
      <c r="F4317" s="3" t="s">
        <v>315</v>
      </c>
      <c r="G4317" s="3" t="s">
        <v>52</v>
      </c>
      <c r="H4317" s="2" t="s">
        <v>62</v>
      </c>
      <c r="I4317" s="2" t="s">
        <v>10022</v>
      </c>
      <c r="J4317" s="3" t="str">
        <f>HYPERLINK("https://www.boe.es/gazeta/dias/1814/04/24/pdfs/GRE-1814-60E.pdf#page=8","Abrir facsímil")</f>
        <v>Abrir facsímil</v>
      </c>
      <c r="K4317" s="3" t="s">
        <v>64</v>
      </c>
    </row>
    <row r="4318" spans="1:11" ht="42" customHeight="1">
      <c r="A4318" s="2" t="s">
        <v>10023</v>
      </c>
      <c r="B4318" s="2" t="s">
        <v>10024</v>
      </c>
      <c r="C4318" s="2" t="s">
        <v>38</v>
      </c>
      <c r="D4318" s="2" t="s">
        <v>314</v>
      </c>
      <c r="E4318" s="5">
        <v>-31296</v>
      </c>
      <c r="F4318" s="3" t="s">
        <v>315</v>
      </c>
      <c r="G4318" s="3" t="s">
        <v>20</v>
      </c>
      <c r="H4318" s="2" t="s">
        <v>62</v>
      </c>
      <c r="I4318" s="2" t="s">
        <v>10025</v>
      </c>
      <c r="J4318" s="3" t="str">
        <f>HYPERLINK("https://www.boe.es/gazeta/dias/1814/04/24/pdfs/GRE-1814-60E.pdf#page=7","Abrir facsímil")</f>
        <v>Abrir facsímil</v>
      </c>
      <c r="K4318" s="3" t="s">
        <v>64</v>
      </c>
    </row>
    <row r="4319" spans="1:11" ht="42" customHeight="1">
      <c r="A4319" s="2" t="s">
        <v>10026</v>
      </c>
      <c r="B4319" s="2" t="s">
        <v>10027</v>
      </c>
      <c r="C4319" s="2" t="s">
        <v>38</v>
      </c>
      <c r="D4319" s="2" t="s">
        <v>39</v>
      </c>
      <c r="E4319" s="5">
        <v>-31367</v>
      </c>
      <c r="F4319" s="3" t="s">
        <v>857</v>
      </c>
      <c r="G4319" s="3" t="s">
        <v>20</v>
      </c>
      <c r="H4319" s="2" t="s">
        <v>62</v>
      </c>
      <c r="I4319" s="2" t="s">
        <v>10028</v>
      </c>
      <c r="J4319" s="3" t="str">
        <f>HYPERLINK("https://www.boe.es/gazeta/dias/1814/02/12/pdfs/GRE-1814-20.pdf#page=7","Abrir facsímil")</f>
        <v>Abrir facsímil</v>
      </c>
      <c r="K4319" s="3" t="s">
        <v>64</v>
      </c>
    </row>
    <row r="4320" spans="1:11" ht="42" customHeight="1">
      <c r="A4320" s="2" t="s">
        <v>10029</v>
      </c>
      <c r="B4320" s="2" t="s">
        <v>10030</v>
      </c>
      <c r="C4320" s="2" t="s">
        <v>38</v>
      </c>
      <c r="D4320" s="2" t="s">
        <v>39</v>
      </c>
      <c r="E4320" s="5">
        <v>-31353</v>
      </c>
      <c r="F4320" s="3" t="s">
        <v>247</v>
      </c>
      <c r="G4320" s="3" t="s">
        <v>57</v>
      </c>
      <c r="H4320" s="2" t="s">
        <v>62</v>
      </c>
      <c r="I4320" s="2" t="s">
        <v>10031</v>
      </c>
      <c r="J4320" s="3" t="str">
        <f>HYPERLINK("https://www.boe.es/gazeta/dias/1814/02/26/pdfs/GRE-1814-27.pdf#page=6","Abrir facsímil")</f>
        <v>Abrir facsímil</v>
      </c>
      <c r="K4320" s="3" t="s">
        <v>64</v>
      </c>
    </row>
    <row r="4321" spans="1:11" ht="42" customHeight="1">
      <c r="A4321" s="2" t="s">
        <v>10032</v>
      </c>
      <c r="B4321" s="2" t="s">
        <v>10033</v>
      </c>
      <c r="C4321" s="2" t="s">
        <v>38</v>
      </c>
      <c r="D4321" s="2" t="s">
        <v>39</v>
      </c>
      <c r="E4321" s="5">
        <v>-31292</v>
      </c>
      <c r="F4321" s="3" t="s">
        <v>557</v>
      </c>
      <c r="G4321" s="3" t="s">
        <v>20</v>
      </c>
      <c r="H4321" s="2" t="s">
        <v>62</v>
      </c>
      <c r="I4321" s="2" t="s">
        <v>10034</v>
      </c>
      <c r="J4321" s="3" t="str">
        <f>HYPERLINK("https://www.boe.es/gazeta/dias/1814/04/28/pdfs/GRE-1814-63.pdf#page=7","Abrir facsímil")</f>
        <v>Abrir facsímil</v>
      </c>
      <c r="K4321" s="3" t="s">
        <v>64</v>
      </c>
    </row>
    <row r="4322" spans="1:11" ht="42" customHeight="1">
      <c r="A4322" s="2" t="s">
        <v>10035</v>
      </c>
      <c r="B4322" s="2" t="s">
        <v>10036</v>
      </c>
      <c r="C4322" s="2" t="s">
        <v>38</v>
      </c>
      <c r="D4322" s="2" t="s">
        <v>39</v>
      </c>
      <c r="E4322" s="5">
        <v>-31133</v>
      </c>
      <c r="F4322" s="3" t="s">
        <v>184</v>
      </c>
      <c r="G4322" s="3" t="s">
        <v>20</v>
      </c>
      <c r="H4322" s="2" t="s">
        <v>62</v>
      </c>
      <c r="I4322" s="2" t="s">
        <v>10037</v>
      </c>
      <c r="J4322" s="3" t="str">
        <f>HYPERLINK("https://www.boe.es/gazeta/dias/1814/10/04/pdfs/GMD-1814-134.pdf#page=7","Abrir facsímil")</f>
        <v>Abrir facsímil</v>
      </c>
      <c r="K4322" s="3" t="s">
        <v>64</v>
      </c>
    </row>
    <row r="4323" spans="1:11" ht="42" customHeight="1">
      <c r="A4323" s="2" t="s">
        <v>10038</v>
      </c>
      <c r="B4323" s="2" t="s">
        <v>10038</v>
      </c>
      <c r="C4323" s="2" t="s">
        <v>309</v>
      </c>
      <c r="D4323" s="2" t="s">
        <v>18</v>
      </c>
      <c r="E4323" s="5">
        <v>-31217</v>
      </c>
      <c r="F4323" s="3" t="s">
        <v>506</v>
      </c>
      <c r="G4323" s="3" t="s">
        <v>322</v>
      </c>
      <c r="H4323" s="2" t="s">
        <v>62</v>
      </c>
      <c r="I4323" s="2" t="s">
        <v>10039</v>
      </c>
      <c r="J4323" s="3" t="str">
        <f>HYPERLINK("https://www.boe.es/gazeta/dias/1814/07/12/pdfs/GMD-1814-97.pdf#page=12","Abrir facsímil")</f>
        <v>Abrir facsímil</v>
      </c>
      <c r="K4323" s="3" t="s">
        <v>64</v>
      </c>
    </row>
    <row r="4324" spans="1:11" ht="42" customHeight="1">
      <c r="A4324" s="2" t="s">
        <v>10040</v>
      </c>
      <c r="B4324" s="2" t="s">
        <v>10040</v>
      </c>
      <c r="C4324" s="2" t="s">
        <v>38</v>
      </c>
      <c r="D4324" s="2" t="s">
        <v>39</v>
      </c>
      <c r="E4324" s="5">
        <v>-31292</v>
      </c>
      <c r="F4324" s="3" t="s">
        <v>557</v>
      </c>
      <c r="G4324" s="3" t="s">
        <v>87</v>
      </c>
      <c r="H4324" s="2" t="s">
        <v>62</v>
      </c>
      <c r="I4324" s="2" t="s">
        <v>10041</v>
      </c>
      <c r="J4324" s="3" t="str">
        <f>HYPERLINK("https://www.boe.es/gazeta/dias/1814/04/28/pdfs/GRE-1814-63.pdf#page=2","Abrir facsímil")</f>
        <v>Abrir facsímil</v>
      </c>
      <c r="K4324" s="3" t="s">
        <v>64</v>
      </c>
    </row>
    <row r="4325" spans="1:11" ht="42" customHeight="1">
      <c r="A4325" s="2" t="s">
        <v>10042</v>
      </c>
      <c r="B4325" s="2" t="s">
        <v>10043</v>
      </c>
      <c r="C4325" s="2" t="s">
        <v>26</v>
      </c>
      <c r="D4325" s="2" t="s">
        <v>27</v>
      </c>
      <c r="E4325" s="5">
        <v>-31115</v>
      </c>
      <c r="F4325" s="3" t="s">
        <v>805</v>
      </c>
      <c r="G4325" s="3" t="s">
        <v>99</v>
      </c>
      <c r="H4325" s="2" t="s">
        <v>21</v>
      </c>
      <c r="I4325" s="2" t="s">
        <v>10044</v>
      </c>
      <c r="J4325" s="3" t="str">
        <f>HYPERLINK("https://www.boe.es/gazeta/dias/1814/10/22/pdfs/GMD-1814-142.pdf#page=5","Abrir facsímil")</f>
        <v>Abrir facsímil</v>
      </c>
      <c r="K4325" s="3" t="s">
        <v>23</v>
      </c>
    </row>
    <row r="4326" spans="1:11" ht="42" customHeight="1">
      <c r="A4326" s="2" t="s">
        <v>10045</v>
      </c>
      <c r="B4326" s="2" t="s">
        <v>10046</v>
      </c>
      <c r="C4326" s="2" t="s">
        <v>17</v>
      </c>
      <c r="D4326" s="2" t="s">
        <v>18</v>
      </c>
      <c r="E4326" s="5">
        <v>-31322</v>
      </c>
      <c r="F4326" s="3" t="s">
        <v>114</v>
      </c>
      <c r="G4326" s="3" t="s">
        <v>52</v>
      </c>
      <c r="H4326" s="2" t="s">
        <v>21</v>
      </c>
      <c r="I4326" s="2" t="s">
        <v>10047</v>
      </c>
      <c r="J4326" s="3" t="str">
        <f>HYPERLINK("https://www.boe.es/gazeta/dias/1814/03/29/pdfs/GRE-1814-44.pdf#page=8","Abrir facsímil")</f>
        <v>Abrir facsímil</v>
      </c>
      <c r="K4326" s="3" t="s">
        <v>23</v>
      </c>
    </row>
    <row r="4327" spans="1:11" ht="42" customHeight="1">
      <c r="A4327" s="2" t="s">
        <v>10048</v>
      </c>
      <c r="B4327" s="2" t="s">
        <v>10049</v>
      </c>
      <c r="C4327" s="2" t="s">
        <v>38</v>
      </c>
      <c r="D4327" s="2" t="s">
        <v>39</v>
      </c>
      <c r="E4327" s="5">
        <v>-31341</v>
      </c>
      <c r="F4327" s="3" t="s">
        <v>360</v>
      </c>
      <c r="G4327" s="3" t="s">
        <v>41</v>
      </c>
      <c r="H4327" s="2" t="s">
        <v>21</v>
      </c>
      <c r="I4327" s="2" t="s">
        <v>10050</v>
      </c>
      <c r="J4327" s="3" t="str">
        <f>HYPERLINK("https://www.boe.es/gazeta/dias/1814/03/10/pdfs/GRE-1814-33.pdf#page=4","Abrir facsímil")</f>
        <v>Abrir facsímil</v>
      </c>
      <c r="K4327" s="3" t="s">
        <v>23</v>
      </c>
    </row>
    <row r="4328" spans="1:11" ht="42" customHeight="1">
      <c r="A4328" s="2" t="s">
        <v>10051</v>
      </c>
      <c r="B4328" s="2" t="s">
        <v>10051</v>
      </c>
      <c r="C4328" s="2" t="s">
        <v>17</v>
      </c>
      <c r="D4328" s="2" t="s">
        <v>18</v>
      </c>
      <c r="E4328" s="5">
        <v>-31273</v>
      </c>
      <c r="F4328" s="3" t="s">
        <v>2108</v>
      </c>
      <c r="G4328" s="3" t="s">
        <v>99</v>
      </c>
      <c r="H4328" s="2" t="s">
        <v>62</v>
      </c>
      <c r="I4328" s="2" t="s">
        <v>10052</v>
      </c>
      <c r="J4328" s="3" t="str">
        <f>HYPERLINK("https://www.boe.es/gazeta/dias/1814/05/17/pdfs/GMD-1814-72.pdf#page=5","Abrir facsímil")</f>
        <v>Abrir facsímil</v>
      </c>
      <c r="K4328" s="3" t="s">
        <v>64</v>
      </c>
    </row>
    <row r="4329" spans="1:11" ht="42" customHeight="1">
      <c r="A4329" s="2" t="s">
        <v>10051</v>
      </c>
      <c r="B4329" s="2" t="s">
        <v>10051</v>
      </c>
      <c r="C4329" s="2" t="s">
        <v>38</v>
      </c>
      <c r="D4329" s="2" t="s">
        <v>39</v>
      </c>
      <c r="E4329" s="5">
        <v>-31196</v>
      </c>
      <c r="F4329" s="3" t="s">
        <v>828</v>
      </c>
      <c r="G4329" s="3" t="s">
        <v>52</v>
      </c>
      <c r="H4329" s="2" t="s">
        <v>62</v>
      </c>
      <c r="I4329" s="2" t="s">
        <v>10053</v>
      </c>
      <c r="J4329" s="3" t="str">
        <f>HYPERLINK("https://www.boe.es/gazeta/dias/1814/08/02/pdfs/GMD-1814-106.pdf#page=8","Abrir facsímil")</f>
        <v>Abrir facsímil</v>
      </c>
      <c r="K4329" s="3" t="s">
        <v>64</v>
      </c>
    </row>
    <row r="4330" spans="1:11" ht="42" customHeight="1">
      <c r="A4330" s="2" t="s">
        <v>10051</v>
      </c>
      <c r="B4330" s="2" t="s">
        <v>10051</v>
      </c>
      <c r="C4330" s="2" t="s">
        <v>17</v>
      </c>
      <c r="D4330" s="2" t="s">
        <v>18</v>
      </c>
      <c r="E4330" s="5">
        <v>-31171</v>
      </c>
      <c r="F4330" s="3" t="s">
        <v>157</v>
      </c>
      <c r="G4330" s="3" t="s">
        <v>52</v>
      </c>
      <c r="H4330" s="2" t="s">
        <v>62</v>
      </c>
      <c r="I4330" s="2" t="s">
        <v>10054</v>
      </c>
      <c r="J4330" s="3" t="str">
        <f>HYPERLINK("https://www.boe.es/gazeta/dias/1814/08/27/pdfs/GMD-1814-117.pdf#page=8","Abrir facsímil")</f>
        <v>Abrir facsímil</v>
      </c>
      <c r="K4330" s="3" t="s">
        <v>64</v>
      </c>
    </row>
    <row r="4331" spans="1:11" ht="42" customHeight="1">
      <c r="A4331" s="2" t="s">
        <v>10051</v>
      </c>
      <c r="B4331" s="2" t="s">
        <v>10051</v>
      </c>
      <c r="C4331" s="2" t="s">
        <v>38</v>
      </c>
      <c r="D4331" s="2" t="s">
        <v>39</v>
      </c>
      <c r="E4331" s="5">
        <v>-31133</v>
      </c>
      <c r="F4331" s="3" t="s">
        <v>184</v>
      </c>
      <c r="G4331" s="3" t="s">
        <v>20</v>
      </c>
      <c r="H4331" s="2" t="s">
        <v>62</v>
      </c>
      <c r="I4331" s="2" t="s">
        <v>10055</v>
      </c>
      <c r="J4331" s="3" t="str">
        <f>HYPERLINK("https://www.boe.es/gazeta/dias/1814/10/04/pdfs/GMD-1814-134.pdf#page=7","Abrir facsímil")</f>
        <v>Abrir facsímil</v>
      </c>
      <c r="K4331" s="3" t="s">
        <v>64</v>
      </c>
    </row>
    <row r="4332" spans="1:11" ht="42" customHeight="1">
      <c r="A4332" s="2" t="s">
        <v>10051</v>
      </c>
      <c r="B4332" s="2" t="s">
        <v>10051</v>
      </c>
      <c r="C4332" s="2" t="s">
        <v>38</v>
      </c>
      <c r="D4332" s="2" t="s">
        <v>39</v>
      </c>
      <c r="E4332" s="5">
        <v>-31089</v>
      </c>
      <c r="F4332" s="3" t="s">
        <v>531</v>
      </c>
      <c r="G4332" s="3" t="s">
        <v>57</v>
      </c>
      <c r="H4332" s="2" t="s">
        <v>62</v>
      </c>
      <c r="I4332" s="2" t="s">
        <v>10056</v>
      </c>
      <c r="J4332" s="3" t="str">
        <f>HYPERLINK("https://www.boe.es/gazeta/dias/1814/11/17/pdfs/GMD-1814-153.pdf#page=6","Abrir facsímil")</f>
        <v>Abrir facsímil</v>
      </c>
      <c r="K4332" s="3" t="s">
        <v>64</v>
      </c>
    </row>
    <row r="4333" spans="1:11" ht="42" customHeight="1">
      <c r="A4333" s="2" t="s">
        <v>10057</v>
      </c>
      <c r="B4333" s="2" t="s">
        <v>10058</v>
      </c>
      <c r="C4333" s="2" t="s">
        <v>17</v>
      </c>
      <c r="D4333" s="2" t="s">
        <v>18</v>
      </c>
      <c r="E4333" s="5">
        <v>-31227</v>
      </c>
      <c r="F4333" s="3" t="s">
        <v>102</v>
      </c>
      <c r="G4333" s="3" t="s">
        <v>52</v>
      </c>
      <c r="H4333" s="2" t="s">
        <v>62</v>
      </c>
      <c r="I4333" s="2" t="s">
        <v>10059</v>
      </c>
      <c r="J4333" s="3" t="str">
        <f>HYPERLINK("https://www.boe.es/gazeta/dias/1814/07/02/pdfs/GMD-1814-93.pdf#page=8","Abrir facsímil")</f>
        <v>Abrir facsímil</v>
      </c>
      <c r="K4333" s="3" t="s">
        <v>64</v>
      </c>
    </row>
    <row r="4334" spans="1:11" ht="42" customHeight="1">
      <c r="A4334" s="2" t="s">
        <v>10060</v>
      </c>
      <c r="B4334" s="2" t="s">
        <v>10061</v>
      </c>
      <c r="C4334" s="2" t="s">
        <v>45</v>
      </c>
      <c r="D4334" s="2" t="s">
        <v>18</v>
      </c>
      <c r="E4334" s="5">
        <v>-31140</v>
      </c>
      <c r="F4334" s="3" t="s">
        <v>525</v>
      </c>
      <c r="G4334" s="3" t="s">
        <v>57</v>
      </c>
      <c r="H4334" s="2" t="s">
        <v>21</v>
      </c>
      <c r="I4334" s="2" t="s">
        <v>10062</v>
      </c>
      <c r="J4334" s="3" t="str">
        <f>HYPERLINK("https://www.boe.es/gazeta/dias/1814/09/27/pdfs/GMD-1814-131.pdf#page=6","Abrir facsímil")</f>
        <v>Abrir facsímil</v>
      </c>
      <c r="K4334" s="3" t="s">
        <v>23</v>
      </c>
    </row>
    <row r="4335" spans="1:11" ht="42" customHeight="1">
      <c r="A4335" s="2" t="s">
        <v>10063</v>
      </c>
      <c r="B4335" s="2" t="s">
        <v>10064</v>
      </c>
      <c r="C4335" s="2" t="s">
        <v>38</v>
      </c>
      <c r="D4335" s="2" t="s">
        <v>39</v>
      </c>
      <c r="E4335" s="5">
        <v>-31259</v>
      </c>
      <c r="F4335" s="3" t="s">
        <v>853</v>
      </c>
      <c r="G4335" s="3" t="s">
        <v>41</v>
      </c>
      <c r="H4335" s="2" t="s">
        <v>62</v>
      </c>
      <c r="I4335" s="2" t="s">
        <v>10065</v>
      </c>
      <c r="J4335" s="3" t="str">
        <f>HYPERLINK("https://www.boe.es/gazeta/dias/1814/05/31/pdfs/GMD-1814-79.pdf#page=4","Abrir facsímil")</f>
        <v>Abrir facsímil</v>
      </c>
      <c r="K4335" s="3" t="s">
        <v>64</v>
      </c>
    </row>
    <row r="4336" spans="1:11" ht="42" customHeight="1">
      <c r="A4336" s="2" t="s">
        <v>10066</v>
      </c>
      <c r="B4336" s="2" t="s">
        <v>10067</v>
      </c>
      <c r="C4336" s="2" t="s">
        <v>26</v>
      </c>
      <c r="D4336" s="2" t="s">
        <v>27</v>
      </c>
      <c r="E4336" s="5">
        <v>-31068</v>
      </c>
      <c r="F4336" s="3" t="s">
        <v>548</v>
      </c>
      <c r="G4336" s="3" t="s">
        <v>57</v>
      </c>
      <c r="H4336" s="2" t="s">
        <v>62</v>
      </c>
      <c r="I4336" s="2" t="s">
        <v>10068</v>
      </c>
      <c r="J4336" s="3" t="str">
        <f>HYPERLINK("https://www.boe.es/gazeta/dias/1814/12/08/pdfs/GMD-1814-162.pdf#page=6","Abrir facsímil")</f>
        <v>Abrir facsímil</v>
      </c>
      <c r="K4336" s="3" t="s">
        <v>64</v>
      </c>
    </row>
    <row r="4337" spans="1:11" ht="42" customHeight="1">
      <c r="A4337" s="2" t="s">
        <v>10069</v>
      </c>
      <c r="B4337" s="2" t="s">
        <v>10070</v>
      </c>
      <c r="C4337" s="2" t="s">
        <v>38</v>
      </c>
      <c r="D4337" s="2" t="s">
        <v>39</v>
      </c>
      <c r="E4337" s="5">
        <v>-31129</v>
      </c>
      <c r="F4337" s="3" t="s">
        <v>418</v>
      </c>
      <c r="G4337" s="3" t="s">
        <v>20</v>
      </c>
      <c r="H4337" s="2" t="s">
        <v>62</v>
      </c>
      <c r="I4337" s="2" t="s">
        <v>10071</v>
      </c>
      <c r="J4337" s="3" t="str">
        <f>HYPERLINK("https://www.boe.es/gazeta/dias/1814/10/08/pdfs/GMD-1814-136.pdf#page=7","Abrir facsímil")</f>
        <v>Abrir facsímil</v>
      </c>
      <c r="K4337" s="3" t="s">
        <v>64</v>
      </c>
    </row>
    <row r="4338" spans="1:11" ht="42" customHeight="1">
      <c r="A4338" s="2" t="s">
        <v>10072</v>
      </c>
      <c r="B4338" s="2" t="s">
        <v>10073</v>
      </c>
      <c r="C4338" s="2" t="s">
        <v>144</v>
      </c>
      <c r="D4338" s="2" t="s">
        <v>18</v>
      </c>
      <c r="E4338" s="5">
        <v>-31150</v>
      </c>
      <c r="F4338" s="3" t="s">
        <v>106</v>
      </c>
      <c r="G4338" s="3" t="s">
        <v>82</v>
      </c>
      <c r="H4338" s="2" t="s">
        <v>62</v>
      </c>
      <c r="I4338" s="2" t="s">
        <v>10074</v>
      </c>
      <c r="J4338" s="3" t="str">
        <f>HYPERLINK("https://www.boe.es/gazeta/dias/1814/09/17/pdfs/GMD-1814-127.pdf#page=3","Abrir facsímil")</f>
        <v>Abrir facsímil</v>
      </c>
      <c r="K4338" s="3" t="s">
        <v>64</v>
      </c>
    </row>
    <row r="4339" spans="1:11" ht="42" customHeight="1">
      <c r="A4339" s="2" t="s">
        <v>10075</v>
      </c>
      <c r="B4339" s="2" t="s">
        <v>10075</v>
      </c>
      <c r="C4339" s="2" t="s">
        <v>38</v>
      </c>
      <c r="D4339" s="2" t="s">
        <v>39</v>
      </c>
      <c r="E4339" s="5">
        <v>-31388</v>
      </c>
      <c r="F4339" s="3" t="s">
        <v>1299</v>
      </c>
      <c r="G4339" s="3" t="s">
        <v>107</v>
      </c>
      <c r="H4339" s="2" t="s">
        <v>62</v>
      </c>
      <c r="I4339" s="2" t="s">
        <v>10076</v>
      </c>
      <c r="J4339" s="3" t="str">
        <f>HYPERLINK("https://www.boe.es/gazeta/dias/1814/01/22/pdfs/GRE-1814-11.pdf#page=1","Abrir facsímil")</f>
        <v>Abrir facsímil</v>
      </c>
      <c r="K4339" s="3" t="s">
        <v>64</v>
      </c>
    </row>
    <row r="4340" spans="1:11" ht="42" customHeight="1">
      <c r="A4340" s="2" t="s">
        <v>10077</v>
      </c>
      <c r="B4340" s="2" t="s">
        <v>10078</v>
      </c>
      <c r="C4340" s="2" t="s">
        <v>17</v>
      </c>
      <c r="D4340" s="2" t="s">
        <v>18</v>
      </c>
      <c r="E4340" s="5">
        <v>-31236</v>
      </c>
      <c r="F4340" s="3" t="s">
        <v>33</v>
      </c>
      <c r="G4340" s="3" t="s">
        <v>41</v>
      </c>
      <c r="H4340" s="2" t="s">
        <v>62</v>
      </c>
      <c r="I4340" s="2" t="s">
        <v>10079</v>
      </c>
      <c r="J4340" s="3" t="str">
        <f>HYPERLINK("https://www.boe.es/gazeta/dias/1814/06/23/pdfs/GMD-1814-89.pdf#page=4","Abrir facsímil")</f>
        <v>Abrir facsímil</v>
      </c>
      <c r="K4340" s="3" t="s">
        <v>64</v>
      </c>
    </row>
    <row r="4341" spans="1:11" ht="42" customHeight="1">
      <c r="A4341" s="2" t="s">
        <v>10080</v>
      </c>
      <c r="B4341" s="2" t="s">
        <v>10080</v>
      </c>
      <c r="C4341" s="2" t="s">
        <v>38</v>
      </c>
      <c r="D4341" s="2" t="s">
        <v>39</v>
      </c>
      <c r="E4341" s="5">
        <v>-31292</v>
      </c>
      <c r="F4341" s="3" t="s">
        <v>557</v>
      </c>
      <c r="G4341" s="3" t="s">
        <v>1678</v>
      </c>
      <c r="H4341" s="2" t="s">
        <v>62</v>
      </c>
      <c r="I4341" s="2" t="s">
        <v>10081</v>
      </c>
      <c r="J4341" s="3" t="str">
        <f>HYPERLINK("https://www.boe.es/gazeta/dias/1814/04/28/pdfs/GRE-1814-63.pdf#page=3","Abrir facsímil")</f>
        <v>Abrir facsímil</v>
      </c>
      <c r="K4341" s="3" t="s">
        <v>64</v>
      </c>
    </row>
    <row r="4342" spans="1:11" ht="42" customHeight="1">
      <c r="A4342" s="2" t="s">
        <v>10082</v>
      </c>
      <c r="B4342" s="2" t="s">
        <v>10082</v>
      </c>
      <c r="C4342" s="2" t="s">
        <v>17</v>
      </c>
      <c r="D4342" s="2" t="s">
        <v>18</v>
      </c>
      <c r="E4342" s="5">
        <v>-31399</v>
      </c>
      <c r="F4342" s="3" t="s">
        <v>218</v>
      </c>
      <c r="G4342" s="3" t="s">
        <v>219</v>
      </c>
      <c r="H4342" s="2" t="s">
        <v>62</v>
      </c>
      <c r="I4342" s="2" t="s">
        <v>10083</v>
      </c>
      <c r="J4342" s="3" t="str">
        <f>HYPERLINK("https://www.boe.es/gazeta/dias/1814/01/11/pdfs/GRE-1814-6.pdf#page=8","Abrir facsímil")</f>
        <v>Abrir facsímil</v>
      </c>
      <c r="K4342" s="3" t="s">
        <v>64</v>
      </c>
    </row>
    <row r="4343" spans="1:11" ht="42" customHeight="1">
      <c r="A4343" s="2" t="s">
        <v>10084</v>
      </c>
      <c r="B4343" s="2" t="s">
        <v>10084</v>
      </c>
      <c r="C4343" s="2" t="s">
        <v>38</v>
      </c>
      <c r="D4343" s="2" t="s">
        <v>39</v>
      </c>
      <c r="E4343" s="5">
        <v>-31322</v>
      </c>
      <c r="F4343" s="3" t="s">
        <v>114</v>
      </c>
      <c r="G4343" s="3" t="s">
        <v>20</v>
      </c>
      <c r="H4343" s="2" t="s">
        <v>62</v>
      </c>
      <c r="I4343" s="2" t="s">
        <v>10085</v>
      </c>
      <c r="J4343" s="3" t="str">
        <f>HYPERLINK("https://www.boe.es/gazeta/dias/1814/03/29/pdfs/GRE-1814-44.pdf#page=7","Abrir facsímil")</f>
        <v>Abrir facsímil</v>
      </c>
      <c r="K4343" s="3" t="s">
        <v>64</v>
      </c>
    </row>
    <row r="4344" spans="1:11" ht="42" customHeight="1">
      <c r="A4344" s="2" t="s">
        <v>10086</v>
      </c>
      <c r="B4344" s="2" t="s">
        <v>10086</v>
      </c>
      <c r="C4344" s="2" t="s">
        <v>38</v>
      </c>
      <c r="D4344" s="2" t="s">
        <v>39</v>
      </c>
      <c r="E4344" s="5">
        <v>-31110</v>
      </c>
      <c r="F4344" s="3" t="s">
        <v>149</v>
      </c>
      <c r="G4344" s="3" t="s">
        <v>99</v>
      </c>
      <c r="H4344" s="2" t="s">
        <v>62</v>
      </c>
      <c r="I4344" s="2" t="s">
        <v>10087</v>
      </c>
      <c r="J4344" s="3" t="str">
        <f>HYPERLINK("https://www.boe.es/gazeta/dias/1814/10/27/pdfs/GMD-1814-144.pdf#page=5","Abrir facsímil")</f>
        <v>Abrir facsímil</v>
      </c>
      <c r="K4344" s="3" t="s">
        <v>64</v>
      </c>
    </row>
    <row r="4345" spans="1:11" ht="42" customHeight="1">
      <c r="A4345" s="2" t="s">
        <v>10088</v>
      </c>
      <c r="B4345" s="2" t="s">
        <v>10088</v>
      </c>
      <c r="C4345" s="2" t="s">
        <v>38</v>
      </c>
      <c r="D4345" s="2" t="s">
        <v>39</v>
      </c>
      <c r="E4345" s="5">
        <v>-31388</v>
      </c>
      <c r="F4345" s="3" t="s">
        <v>1299</v>
      </c>
      <c r="G4345" s="3" t="s">
        <v>87</v>
      </c>
      <c r="H4345" s="2" t="s">
        <v>62</v>
      </c>
      <c r="I4345" s="2" t="s">
        <v>10089</v>
      </c>
      <c r="J4345" s="3" t="str">
        <f>HYPERLINK("https://www.boe.es/gazeta/dias/1814/01/22/pdfs/GRE-1814-11.pdf#page=2","Abrir facsímil")</f>
        <v>Abrir facsímil</v>
      </c>
      <c r="K4345" s="3" t="s">
        <v>64</v>
      </c>
    </row>
    <row r="4346" spans="1:11" ht="42" customHeight="1">
      <c r="A4346" s="2" t="s">
        <v>10090</v>
      </c>
      <c r="B4346" s="2" t="s">
        <v>10091</v>
      </c>
      <c r="C4346" s="2" t="s">
        <v>26</v>
      </c>
      <c r="D4346" s="2" t="s">
        <v>27</v>
      </c>
      <c r="E4346" s="5">
        <v>-31297</v>
      </c>
      <c r="F4346" s="3" t="s">
        <v>737</v>
      </c>
      <c r="G4346" s="3" t="s">
        <v>52</v>
      </c>
      <c r="H4346" s="2" t="s">
        <v>62</v>
      </c>
      <c r="I4346" s="2" t="s">
        <v>10092</v>
      </c>
      <c r="J4346" s="3" t="str">
        <f>HYPERLINK("https://www.boe.es/gazeta/dias/1814/04/23/pdfs/GRE-1814-59.pdf#page=8","Abrir facsímil")</f>
        <v>Abrir facsímil</v>
      </c>
      <c r="K4346" s="3" t="s">
        <v>64</v>
      </c>
    </row>
    <row r="4347" spans="1:11" ht="42" customHeight="1">
      <c r="A4347" s="2" t="s">
        <v>10093</v>
      </c>
      <c r="B4347" s="2" t="s">
        <v>10094</v>
      </c>
      <c r="C4347" s="2" t="s">
        <v>38</v>
      </c>
      <c r="D4347" s="2" t="s">
        <v>39</v>
      </c>
      <c r="E4347" s="5">
        <v>-31210</v>
      </c>
      <c r="F4347" s="3" t="s">
        <v>141</v>
      </c>
      <c r="G4347" s="3" t="s">
        <v>41</v>
      </c>
      <c r="H4347" s="2" t="s">
        <v>62</v>
      </c>
      <c r="I4347" s="2" t="s">
        <v>10095</v>
      </c>
      <c r="J4347" s="3" t="str">
        <f>HYPERLINK("https://www.boe.es/gazeta/dias/1814/07/19/pdfs/GMD-1814-100.pdf#page=4","Abrir facsímil")</f>
        <v>Abrir facsímil</v>
      </c>
      <c r="K4347" s="3" t="s">
        <v>64</v>
      </c>
    </row>
    <row r="4348" spans="1:11" ht="42" customHeight="1">
      <c r="A4348" s="2" t="s">
        <v>10093</v>
      </c>
      <c r="B4348" s="2" t="s">
        <v>10094</v>
      </c>
      <c r="C4348" s="2" t="s">
        <v>38</v>
      </c>
      <c r="D4348" s="2" t="s">
        <v>39</v>
      </c>
      <c r="E4348" s="5">
        <v>-31133</v>
      </c>
      <c r="F4348" s="3" t="s">
        <v>184</v>
      </c>
      <c r="G4348" s="3" t="s">
        <v>20</v>
      </c>
      <c r="H4348" s="2" t="s">
        <v>62</v>
      </c>
      <c r="I4348" s="2" t="s">
        <v>10096</v>
      </c>
      <c r="J4348" s="3" t="str">
        <f>HYPERLINK("https://www.boe.es/gazeta/dias/1814/10/04/pdfs/GMD-1814-134.pdf#page=7","Abrir facsímil")</f>
        <v>Abrir facsímil</v>
      </c>
      <c r="K4348" s="3" t="s">
        <v>64</v>
      </c>
    </row>
    <row r="4349" spans="1:11" ht="42" customHeight="1">
      <c r="A4349" s="2" t="s">
        <v>10097</v>
      </c>
      <c r="B4349" s="2" t="s">
        <v>10098</v>
      </c>
      <c r="C4349" s="2" t="s">
        <v>45</v>
      </c>
      <c r="D4349" s="2" t="s">
        <v>18</v>
      </c>
      <c r="E4349" s="5">
        <v>-31054</v>
      </c>
      <c r="F4349" s="3" t="s">
        <v>952</v>
      </c>
      <c r="G4349" s="3" t="s">
        <v>20</v>
      </c>
      <c r="H4349" s="2" t="s">
        <v>62</v>
      </c>
      <c r="I4349" s="2" t="s">
        <v>10099</v>
      </c>
      <c r="J4349" s="3" t="str">
        <f>HYPERLINK("https://www.boe.es/gazeta/dias/1814/12/22/pdfs/GMD-1814-169.pdf#page=7","Abrir facsímil")</f>
        <v>Abrir facsímil</v>
      </c>
      <c r="K4349" s="3" t="s">
        <v>64</v>
      </c>
    </row>
    <row r="4350" spans="1:11" ht="42" customHeight="1">
      <c r="A4350" s="2" t="s">
        <v>10100</v>
      </c>
      <c r="B4350" s="2" t="s">
        <v>10101</v>
      </c>
      <c r="C4350" s="2" t="s">
        <v>17</v>
      </c>
      <c r="D4350" s="2" t="s">
        <v>18</v>
      </c>
      <c r="E4350" s="5">
        <v>-31259</v>
      </c>
      <c r="F4350" s="3" t="s">
        <v>853</v>
      </c>
      <c r="G4350" s="3" t="s">
        <v>20</v>
      </c>
      <c r="H4350" s="2" t="s">
        <v>62</v>
      </c>
      <c r="I4350" s="2" t="s">
        <v>10102</v>
      </c>
      <c r="J4350" s="3" t="str">
        <f>HYPERLINK("https://www.boe.es/gazeta/dias/1814/05/31/pdfs/GMD-1814-79.pdf#page=7","Abrir facsímil")</f>
        <v>Abrir facsímil</v>
      </c>
      <c r="K4350" s="3" t="s">
        <v>64</v>
      </c>
    </row>
    <row r="4351" spans="1:11" ht="42" customHeight="1">
      <c r="A4351" s="2" t="s">
        <v>10103</v>
      </c>
      <c r="B4351" s="2" t="s">
        <v>10104</v>
      </c>
      <c r="C4351" s="2" t="s">
        <v>45</v>
      </c>
      <c r="D4351" s="2" t="s">
        <v>18</v>
      </c>
      <c r="E4351" s="5">
        <v>-31131</v>
      </c>
      <c r="F4351" s="3" t="s">
        <v>132</v>
      </c>
      <c r="G4351" s="3" t="s">
        <v>4347</v>
      </c>
      <c r="H4351" s="2" t="s">
        <v>62</v>
      </c>
      <c r="I4351" s="2" t="s">
        <v>10105</v>
      </c>
      <c r="J4351" s="3" t="str">
        <f>HYPERLINK("https://www.boe.es/gazeta/dias/1814/10/06/pdfs/GMD-1814-135.pdf#page=8","Abrir facsímil")</f>
        <v>Abrir facsímil</v>
      </c>
      <c r="K4351" s="3" t="s">
        <v>64</v>
      </c>
    </row>
    <row r="4352" spans="1:11" ht="42" customHeight="1">
      <c r="A4352" s="2" t="s">
        <v>10106</v>
      </c>
      <c r="B4352" s="2" t="s">
        <v>10106</v>
      </c>
      <c r="C4352" s="2" t="s">
        <v>38</v>
      </c>
      <c r="D4352" s="2" t="s">
        <v>39</v>
      </c>
      <c r="E4352" s="5">
        <v>-31208</v>
      </c>
      <c r="F4352" s="3" t="s">
        <v>509</v>
      </c>
      <c r="G4352" s="3" t="s">
        <v>20</v>
      </c>
      <c r="H4352" s="2" t="s">
        <v>62</v>
      </c>
      <c r="I4352" s="2" t="s">
        <v>10107</v>
      </c>
      <c r="J4352" s="3" t="str">
        <f>HYPERLINK("https://www.boe.es/gazeta/dias/1814/07/21/pdfs/GMD-1814-101.pdf#page=7","Abrir facsímil")</f>
        <v>Abrir facsímil</v>
      </c>
      <c r="K4352" s="3" t="s">
        <v>64</v>
      </c>
    </row>
    <row r="4353" spans="1:11" ht="42" customHeight="1">
      <c r="A4353" s="2" t="s">
        <v>10108</v>
      </c>
      <c r="B4353" s="2" t="s">
        <v>10108</v>
      </c>
      <c r="C4353" s="2" t="s">
        <v>38</v>
      </c>
      <c r="D4353" s="2" t="s">
        <v>39</v>
      </c>
      <c r="E4353" s="5">
        <v>-31259</v>
      </c>
      <c r="F4353" s="3" t="s">
        <v>853</v>
      </c>
      <c r="G4353" s="3" t="s">
        <v>41</v>
      </c>
      <c r="H4353" s="2" t="s">
        <v>62</v>
      </c>
      <c r="I4353" s="2" t="s">
        <v>10109</v>
      </c>
      <c r="J4353" s="3" t="str">
        <f>HYPERLINK("https://www.boe.es/gazeta/dias/1814/05/31/pdfs/GMD-1814-79.pdf#page=4","Abrir facsímil")</f>
        <v>Abrir facsímil</v>
      </c>
      <c r="K4353" s="3" t="s">
        <v>64</v>
      </c>
    </row>
    <row r="4354" spans="1:11" ht="42" customHeight="1">
      <c r="A4354" s="2" t="s">
        <v>10110</v>
      </c>
      <c r="B4354" s="2" t="s">
        <v>10110</v>
      </c>
      <c r="C4354" s="2" t="s">
        <v>38</v>
      </c>
      <c r="D4354" s="2" t="s">
        <v>39</v>
      </c>
      <c r="E4354" s="5">
        <v>-31264</v>
      </c>
      <c r="F4354" s="3" t="s">
        <v>396</v>
      </c>
      <c r="G4354" s="3" t="s">
        <v>3711</v>
      </c>
      <c r="H4354" s="2" t="s">
        <v>62</v>
      </c>
      <c r="I4354" s="2" t="s">
        <v>10111</v>
      </c>
      <c r="J4354" s="3" t="str">
        <f>HYPERLINK("https://www.boe.es/gazeta/dias/1814/05/26/pdfs/GMD-1814-77.pdf#page=8","Abrir facsímil")</f>
        <v>Abrir facsímil</v>
      </c>
      <c r="K4354" s="3" t="s">
        <v>64</v>
      </c>
    </row>
    <row r="4355" spans="1:11" ht="42" customHeight="1">
      <c r="A4355" s="2" t="s">
        <v>10112</v>
      </c>
      <c r="B4355" s="2" t="s">
        <v>10113</v>
      </c>
      <c r="C4355" s="2" t="s">
        <v>38</v>
      </c>
      <c r="D4355" s="2" t="s">
        <v>39</v>
      </c>
      <c r="E4355" s="5">
        <v>-31264</v>
      </c>
      <c r="F4355" s="3" t="s">
        <v>396</v>
      </c>
      <c r="G4355" s="3" t="s">
        <v>3711</v>
      </c>
      <c r="H4355" s="2" t="s">
        <v>62</v>
      </c>
      <c r="I4355" s="2" t="s">
        <v>10114</v>
      </c>
      <c r="J4355" s="3" t="str">
        <f>HYPERLINK("https://www.boe.es/gazeta/dias/1814/05/26/pdfs/GMD-1814-77.pdf#page=8","Abrir facsímil")</f>
        <v>Abrir facsímil</v>
      </c>
      <c r="K4355" s="3" t="s">
        <v>64</v>
      </c>
    </row>
    <row r="4356" spans="1:11" ht="42" customHeight="1">
      <c r="A4356" s="2" t="s">
        <v>10115</v>
      </c>
      <c r="B4356" s="2" t="s">
        <v>10116</v>
      </c>
      <c r="C4356" s="2" t="s">
        <v>26</v>
      </c>
      <c r="D4356" s="2" t="s">
        <v>27</v>
      </c>
      <c r="E4356" s="5">
        <v>-31075</v>
      </c>
      <c r="F4356" s="3" t="s">
        <v>537</v>
      </c>
      <c r="G4356" s="3" t="s">
        <v>57</v>
      </c>
      <c r="H4356" s="2" t="s">
        <v>21</v>
      </c>
      <c r="I4356" s="2" t="s">
        <v>10117</v>
      </c>
      <c r="J4356" s="3" t="str">
        <f>HYPERLINK("https://www.boe.es/gazeta/dias/1814/12/01/pdfs/GMD-1814-159.pdf#page=6","Abrir facsímil")</f>
        <v>Abrir facsímil</v>
      </c>
      <c r="K4356" s="3" t="s">
        <v>23</v>
      </c>
    </row>
    <row r="4357" spans="1:11" ht="42" customHeight="1">
      <c r="A4357" s="2" t="s">
        <v>10118</v>
      </c>
      <c r="B4357" s="2" t="s">
        <v>10119</v>
      </c>
      <c r="C4357" s="2" t="s">
        <v>45</v>
      </c>
      <c r="D4357" s="2" t="s">
        <v>18</v>
      </c>
      <c r="E4357" s="5">
        <v>-31182</v>
      </c>
      <c r="F4357" s="3" t="s">
        <v>19</v>
      </c>
      <c r="G4357" s="3" t="s">
        <v>3827</v>
      </c>
      <c r="H4357" s="2" t="s">
        <v>21</v>
      </c>
      <c r="I4357" s="2" t="s">
        <v>10120</v>
      </c>
      <c r="J4357" s="3" t="str">
        <f>HYPERLINK("https://www.boe.es/gazeta/dias/1814/08/16/pdfs/GMD-1814-112.pdf#page=8","Abrir facsímil")</f>
        <v>Abrir facsímil</v>
      </c>
      <c r="K4357" s="3" t="s">
        <v>23</v>
      </c>
    </row>
    <row r="4358" spans="1:11" ht="42" customHeight="1">
      <c r="A4358" s="2" t="s">
        <v>10121</v>
      </c>
      <c r="B4358" s="2" t="s">
        <v>10121</v>
      </c>
      <c r="C4358" s="2" t="s">
        <v>38</v>
      </c>
      <c r="D4358" s="2" t="s">
        <v>39</v>
      </c>
      <c r="E4358" s="5">
        <v>-31404</v>
      </c>
      <c r="F4358" s="3" t="s">
        <v>630</v>
      </c>
      <c r="G4358" s="3" t="s">
        <v>99</v>
      </c>
      <c r="H4358" s="2" t="s">
        <v>62</v>
      </c>
      <c r="I4358" s="2" t="s">
        <v>10122</v>
      </c>
      <c r="J4358" s="3" t="str">
        <f>HYPERLINK("https://www.boe.es/gazeta/dias/1814/01/06/pdfs/GRE-1814-3.pdf#page=5","Abrir facsímil")</f>
        <v>Abrir facsímil</v>
      </c>
      <c r="K4358" s="3" t="s">
        <v>64</v>
      </c>
    </row>
    <row r="4359" spans="1:11" ht="42" customHeight="1">
      <c r="A4359" s="2" t="s">
        <v>10123</v>
      </c>
      <c r="B4359" s="2" t="s">
        <v>10124</v>
      </c>
      <c r="C4359" s="2" t="s">
        <v>38</v>
      </c>
      <c r="D4359" s="2" t="s">
        <v>39</v>
      </c>
      <c r="E4359" s="5">
        <v>-31124</v>
      </c>
      <c r="F4359" s="3" t="s">
        <v>383</v>
      </c>
      <c r="G4359" s="3" t="s">
        <v>574</v>
      </c>
      <c r="H4359" s="2" t="s">
        <v>21</v>
      </c>
      <c r="I4359" s="2" t="s">
        <v>10125</v>
      </c>
      <c r="J4359" s="3" t="str">
        <f>HYPERLINK("https://www.boe.es/gazeta/dias/1814/10/13/pdfs/GMD-1814-138.pdf#page=10","Abrir facsímil")</f>
        <v>Abrir facsímil</v>
      </c>
      <c r="K4359" s="3" t="s">
        <v>23</v>
      </c>
    </row>
    <row r="4360" spans="1:11" ht="42" customHeight="1">
      <c r="A4360" s="2" t="s">
        <v>10126</v>
      </c>
      <c r="B4360" s="2" t="s">
        <v>10126</v>
      </c>
      <c r="C4360" s="2" t="s">
        <v>38</v>
      </c>
      <c r="D4360" s="2" t="s">
        <v>39</v>
      </c>
      <c r="E4360" s="5">
        <v>-31392</v>
      </c>
      <c r="F4360" s="3" t="s">
        <v>195</v>
      </c>
      <c r="G4360" s="3" t="s">
        <v>41</v>
      </c>
      <c r="H4360" s="2" t="s">
        <v>62</v>
      </c>
      <c r="I4360" s="2" t="s">
        <v>10127</v>
      </c>
      <c r="J4360" s="3" t="str">
        <f>HYPERLINK("https://www.boe.es/gazeta/dias/1814/01/18/pdfs/GRE-1814-9.pdf#page=4","Abrir facsímil")</f>
        <v>Abrir facsímil</v>
      </c>
      <c r="K4360" s="3" t="s">
        <v>64</v>
      </c>
    </row>
    <row r="4361" spans="1:11" ht="42" customHeight="1">
      <c r="A4361" s="2" t="s">
        <v>10126</v>
      </c>
      <c r="B4361" s="2" t="s">
        <v>10126</v>
      </c>
      <c r="C4361" s="2" t="s">
        <v>38</v>
      </c>
      <c r="D4361" s="2" t="s">
        <v>39</v>
      </c>
      <c r="E4361" s="5">
        <v>-31371</v>
      </c>
      <c r="F4361" s="3" t="s">
        <v>476</v>
      </c>
      <c r="G4361" s="3" t="s">
        <v>82</v>
      </c>
      <c r="H4361" s="2" t="s">
        <v>62</v>
      </c>
      <c r="I4361" s="2" t="s">
        <v>10128</v>
      </c>
      <c r="J4361" s="3" t="str">
        <f>HYPERLINK("https://www.boe.es/gazeta/dias/1814/02/08/pdfs/GRE-1814-31.pdf#page=3","Abrir facsímil")</f>
        <v>Abrir facsímil</v>
      </c>
      <c r="K4361" s="3" t="s">
        <v>64</v>
      </c>
    </row>
    <row r="4362" spans="1:11" ht="42" customHeight="1">
      <c r="A4362" s="2" t="s">
        <v>10126</v>
      </c>
      <c r="B4362" s="2" t="s">
        <v>10126</v>
      </c>
      <c r="C4362" s="2" t="s">
        <v>38</v>
      </c>
      <c r="D4362" s="2" t="s">
        <v>39</v>
      </c>
      <c r="E4362" s="5">
        <v>-31371</v>
      </c>
      <c r="F4362" s="3" t="s">
        <v>476</v>
      </c>
      <c r="G4362" s="3" t="s">
        <v>41</v>
      </c>
      <c r="H4362" s="2" t="s">
        <v>62</v>
      </c>
      <c r="I4362" s="2" t="s">
        <v>10129</v>
      </c>
      <c r="J4362" s="3" t="str">
        <f>HYPERLINK("https://www.boe.es/gazeta/dias/1814/02/08/pdfs/GRE-1814-31.pdf#page=4","Abrir facsímil")</f>
        <v>Abrir facsímil</v>
      </c>
      <c r="K4362" s="3" t="s">
        <v>64</v>
      </c>
    </row>
    <row r="4363" spans="1:11" ht="42" customHeight="1">
      <c r="A4363" s="2" t="s">
        <v>10126</v>
      </c>
      <c r="B4363" s="2" t="s">
        <v>10126</v>
      </c>
      <c r="C4363" s="2" t="s">
        <v>38</v>
      </c>
      <c r="D4363" s="2" t="s">
        <v>39</v>
      </c>
      <c r="E4363" s="5">
        <v>-31343</v>
      </c>
      <c r="F4363" s="3" t="s">
        <v>476</v>
      </c>
      <c r="G4363" s="3" t="s">
        <v>82</v>
      </c>
      <c r="H4363" s="2" t="s">
        <v>62</v>
      </c>
      <c r="I4363" s="2" t="s">
        <v>10128</v>
      </c>
      <c r="J4363" s="3" t="str">
        <f>HYPERLINK("https://www.boe.es/gazeta/dias/1814/03/08/pdfs/GRE-1814-31.pdf#page=3","Abrir facsímil")</f>
        <v>Abrir facsímil</v>
      </c>
      <c r="K4363" s="3" t="s">
        <v>64</v>
      </c>
    </row>
    <row r="4364" spans="1:11" ht="42" customHeight="1">
      <c r="A4364" s="2" t="s">
        <v>10126</v>
      </c>
      <c r="B4364" s="2" t="s">
        <v>10126</v>
      </c>
      <c r="C4364" s="2" t="s">
        <v>38</v>
      </c>
      <c r="D4364" s="2" t="s">
        <v>39</v>
      </c>
      <c r="E4364" s="5">
        <v>-31343</v>
      </c>
      <c r="F4364" s="3" t="s">
        <v>476</v>
      </c>
      <c r="G4364" s="3" t="s">
        <v>41</v>
      </c>
      <c r="H4364" s="2" t="s">
        <v>62</v>
      </c>
      <c r="I4364" s="2" t="s">
        <v>10129</v>
      </c>
      <c r="J4364" s="3" t="str">
        <f>HYPERLINK("https://www.boe.es/gazeta/dias/1814/03/08/pdfs/GRE-1814-31.pdf#page=4","Abrir facsímil")</f>
        <v>Abrir facsímil</v>
      </c>
      <c r="K4364" s="3" t="s">
        <v>64</v>
      </c>
    </row>
    <row r="4365" spans="1:11" ht="42" customHeight="1">
      <c r="A4365" s="2" t="s">
        <v>10130</v>
      </c>
      <c r="B4365" s="2" t="s">
        <v>10131</v>
      </c>
      <c r="C4365" s="2" t="s">
        <v>26</v>
      </c>
      <c r="D4365" s="2" t="s">
        <v>27</v>
      </c>
      <c r="E4365" s="5">
        <v>-31124</v>
      </c>
      <c r="F4365" s="3" t="s">
        <v>383</v>
      </c>
      <c r="G4365" s="3" t="s">
        <v>574</v>
      </c>
      <c r="H4365" s="2" t="s">
        <v>62</v>
      </c>
      <c r="I4365" s="2" t="s">
        <v>10132</v>
      </c>
      <c r="J4365" s="3" t="str">
        <f>HYPERLINK("https://www.boe.es/gazeta/dias/1814/10/13/pdfs/GMD-1814-138.pdf#page=10","Abrir facsímil")</f>
        <v>Abrir facsímil</v>
      </c>
      <c r="K4365" s="3" t="s">
        <v>64</v>
      </c>
    </row>
    <row r="4366" spans="1:11" ht="42" customHeight="1">
      <c r="A4366" s="2" t="s">
        <v>10133</v>
      </c>
      <c r="B4366" s="2" t="s">
        <v>10134</v>
      </c>
      <c r="C4366" s="2" t="s">
        <v>144</v>
      </c>
      <c r="D4366" s="2" t="s">
        <v>18</v>
      </c>
      <c r="E4366" s="5">
        <v>-31217</v>
      </c>
      <c r="F4366" s="3" t="s">
        <v>506</v>
      </c>
      <c r="G4366" s="3" t="s">
        <v>322</v>
      </c>
      <c r="H4366" s="2" t="s">
        <v>62</v>
      </c>
      <c r="I4366" s="2" t="s">
        <v>10135</v>
      </c>
      <c r="J4366" s="3" t="str">
        <f>HYPERLINK("https://www.boe.es/gazeta/dias/1814/07/12/pdfs/GMD-1814-97.pdf#page=12","Abrir facsímil")</f>
        <v>Abrir facsímil</v>
      </c>
      <c r="K4366" s="3" t="s">
        <v>64</v>
      </c>
    </row>
    <row r="4367" spans="1:11" ht="42" customHeight="1">
      <c r="A4367" s="2" t="s">
        <v>10136</v>
      </c>
      <c r="B4367" s="2" t="s">
        <v>10136</v>
      </c>
      <c r="C4367" s="2" t="s">
        <v>105</v>
      </c>
      <c r="D4367" s="2" t="s">
        <v>18</v>
      </c>
      <c r="E4367" s="5">
        <v>-31353</v>
      </c>
      <c r="F4367" s="3" t="s">
        <v>247</v>
      </c>
      <c r="G4367" s="3" t="s">
        <v>3029</v>
      </c>
      <c r="H4367" s="2" t="s">
        <v>62</v>
      </c>
      <c r="I4367" s="2" t="s">
        <v>10137</v>
      </c>
      <c r="J4367" s="3" t="str">
        <f>HYPERLINK("https://www.boe.es/gazeta/dias/1814/02/26/pdfs/GRE-1814-27.pdf#page=4","Abrir facsímil")</f>
        <v>Abrir facsímil</v>
      </c>
      <c r="K4367" s="3" t="s">
        <v>64</v>
      </c>
    </row>
    <row r="4368" spans="1:11" ht="42" customHeight="1">
      <c r="A4368" s="2" t="s">
        <v>10138</v>
      </c>
      <c r="B4368" s="2" t="s">
        <v>10139</v>
      </c>
      <c r="C4368" s="2" t="s">
        <v>26</v>
      </c>
      <c r="D4368" s="2" t="s">
        <v>27</v>
      </c>
      <c r="E4368" s="5">
        <v>-31245</v>
      </c>
      <c r="F4368" s="3" t="s">
        <v>908</v>
      </c>
      <c r="G4368" s="3" t="s">
        <v>99</v>
      </c>
      <c r="H4368" s="2" t="s">
        <v>62</v>
      </c>
      <c r="I4368" s="2" t="s">
        <v>10140</v>
      </c>
      <c r="J4368" s="3" t="str">
        <f>HYPERLINK("https://www.boe.es/gazeta/dias/1814/06/14/pdfs/GMD-1814-85.pdf#page=5","Abrir facsímil")</f>
        <v>Abrir facsímil</v>
      </c>
      <c r="K4368" s="3" t="s">
        <v>64</v>
      </c>
    </row>
    <row r="4369" spans="1:11" ht="42" customHeight="1">
      <c r="A4369" s="2" t="s">
        <v>10141</v>
      </c>
      <c r="B4369" s="2" t="s">
        <v>10142</v>
      </c>
      <c r="C4369" s="2" t="s">
        <v>38</v>
      </c>
      <c r="D4369" s="2" t="s">
        <v>39</v>
      </c>
      <c r="E4369" s="5">
        <v>-31182</v>
      </c>
      <c r="F4369" s="3" t="s">
        <v>19</v>
      </c>
      <c r="G4369" s="3" t="s">
        <v>57</v>
      </c>
      <c r="H4369" s="2" t="s">
        <v>62</v>
      </c>
      <c r="I4369" s="2" t="s">
        <v>10143</v>
      </c>
      <c r="J4369" s="3" t="str">
        <f>HYPERLINK("https://www.boe.es/gazeta/dias/1814/08/16/pdfs/GMD-1814-112.pdf#page=6","Abrir facsímil")</f>
        <v>Abrir facsímil</v>
      </c>
      <c r="K4369" s="3" t="s">
        <v>64</v>
      </c>
    </row>
    <row r="4370" spans="1:11" ht="42" customHeight="1">
      <c r="A4370" s="2" t="s">
        <v>10144</v>
      </c>
      <c r="B4370" s="2" t="s">
        <v>10144</v>
      </c>
      <c r="C4370" s="2" t="s">
        <v>38</v>
      </c>
      <c r="D4370" s="2" t="s">
        <v>39</v>
      </c>
      <c r="E4370" s="5">
        <v>-31378</v>
      </c>
      <c r="F4370" s="3" t="s">
        <v>98</v>
      </c>
      <c r="G4370" s="3" t="s">
        <v>107</v>
      </c>
      <c r="H4370" s="2" t="s">
        <v>62</v>
      </c>
      <c r="I4370" s="2" t="s">
        <v>10145</v>
      </c>
      <c r="J4370" s="3" t="str">
        <f>HYPERLINK("https://www.boe.es/gazeta/dias/1814/02/01/pdfs/GRE-1814-15.pdf#page=1","Abrir facsímil")</f>
        <v>Abrir facsímil</v>
      </c>
      <c r="K4370" s="3" t="s">
        <v>64</v>
      </c>
    </row>
    <row r="4371" spans="1:11" ht="42" customHeight="1">
      <c r="A4371" s="2" t="s">
        <v>10146</v>
      </c>
      <c r="B4371" s="2" t="s">
        <v>10146</v>
      </c>
      <c r="C4371" s="2" t="s">
        <v>38</v>
      </c>
      <c r="D4371" s="2" t="s">
        <v>39</v>
      </c>
      <c r="E4371" s="5">
        <v>-31329</v>
      </c>
      <c r="F4371" s="3" t="s">
        <v>621</v>
      </c>
      <c r="G4371" s="3" t="s">
        <v>99</v>
      </c>
      <c r="H4371" s="2" t="s">
        <v>62</v>
      </c>
      <c r="I4371" s="2" t="s">
        <v>10147</v>
      </c>
      <c r="J4371" s="3" t="str">
        <f>HYPERLINK("https://www.boe.es/gazeta/dias/1814/03/22/pdfs/GRE-1814-39.pdf#page=5","Abrir facsímil")</f>
        <v>Abrir facsímil</v>
      </c>
      <c r="K4371" s="3" t="s">
        <v>64</v>
      </c>
    </row>
    <row r="4372" spans="1:11" ht="42" customHeight="1">
      <c r="A4372" s="2" t="s">
        <v>10148</v>
      </c>
      <c r="B4372" s="2" t="s">
        <v>10149</v>
      </c>
      <c r="C4372" s="2" t="s">
        <v>32</v>
      </c>
      <c r="D4372" s="2" t="s">
        <v>18</v>
      </c>
      <c r="E4372" s="5">
        <v>-31119</v>
      </c>
      <c r="F4372" s="3" t="s">
        <v>136</v>
      </c>
      <c r="G4372" s="3" t="s">
        <v>322</v>
      </c>
      <c r="H4372" s="2" t="s">
        <v>62</v>
      </c>
      <c r="I4372" s="2" t="s">
        <v>10150</v>
      </c>
      <c r="J4372" s="3" t="str">
        <f>HYPERLINK("https://www.boe.es/gazeta/dias/1814/10/18/pdfs/GMD-1814-140.pdf#page=12","Abrir facsímil")</f>
        <v>Abrir facsímil</v>
      </c>
      <c r="K4372" s="3" t="s">
        <v>64</v>
      </c>
    </row>
    <row r="4373" spans="1:11" ht="42" customHeight="1">
      <c r="A4373" s="2" t="s">
        <v>10148</v>
      </c>
      <c r="B4373" s="2" t="s">
        <v>10149</v>
      </c>
      <c r="C4373" s="2" t="s">
        <v>26</v>
      </c>
      <c r="D4373" s="2" t="s">
        <v>27</v>
      </c>
      <c r="E4373" s="5">
        <v>-31063</v>
      </c>
      <c r="F4373" s="3" t="s">
        <v>649</v>
      </c>
      <c r="G4373" s="3" t="s">
        <v>52</v>
      </c>
      <c r="H4373" s="2" t="s">
        <v>62</v>
      </c>
      <c r="I4373" s="2" t="s">
        <v>10151</v>
      </c>
      <c r="J4373" s="3" t="str">
        <f>HYPERLINK("https://www.boe.es/gazeta/dias/1814/12/13/pdfs/GMD-1814-164.pdf#page=8","Abrir facsímil")</f>
        <v>Abrir facsímil</v>
      </c>
      <c r="K4373" s="3" t="s">
        <v>64</v>
      </c>
    </row>
    <row r="4374" spans="1:11" ht="42" customHeight="1">
      <c r="A4374" s="2" t="s">
        <v>10148</v>
      </c>
      <c r="B4374" s="2" t="s">
        <v>10149</v>
      </c>
      <c r="C4374" s="2" t="s">
        <v>17</v>
      </c>
      <c r="D4374" s="2" t="s">
        <v>18</v>
      </c>
      <c r="E4374" s="5">
        <v>-31061</v>
      </c>
      <c r="F4374" s="3" t="s">
        <v>329</v>
      </c>
      <c r="G4374" s="3" t="s">
        <v>52</v>
      </c>
      <c r="H4374" s="2" t="s">
        <v>62</v>
      </c>
      <c r="I4374" s="2" t="s">
        <v>10152</v>
      </c>
      <c r="J4374" s="3" t="str">
        <f>HYPERLINK("https://www.boe.es/gazeta/dias/1814/12/15/pdfs/GMD-1814-165.pdf#page=8","Abrir facsímil")</f>
        <v>Abrir facsímil</v>
      </c>
      <c r="K4374" s="3" t="s">
        <v>64</v>
      </c>
    </row>
    <row r="4375" spans="1:11" ht="42" customHeight="1">
      <c r="A4375" s="2" t="s">
        <v>10153</v>
      </c>
      <c r="B4375" s="2" t="s">
        <v>10153</v>
      </c>
      <c r="C4375" s="2" t="s">
        <v>45</v>
      </c>
      <c r="D4375" s="2" t="s">
        <v>18</v>
      </c>
      <c r="E4375" s="5">
        <v>-31187</v>
      </c>
      <c r="F4375" s="3" t="s">
        <v>518</v>
      </c>
      <c r="G4375" s="3" t="s">
        <v>52</v>
      </c>
      <c r="H4375" s="2" t="s">
        <v>62</v>
      </c>
      <c r="I4375" s="2" t="s">
        <v>10154</v>
      </c>
      <c r="J4375" s="3" t="str">
        <f>HYPERLINK("https://www.boe.es/gazeta/dias/1814/08/11/pdfs/GMD-1814-110.pdf#page=8","Abrir facsímil")</f>
        <v>Abrir facsímil</v>
      </c>
      <c r="K4375" s="3" t="s">
        <v>64</v>
      </c>
    </row>
    <row r="4376" spans="1:11" ht="42" customHeight="1">
      <c r="A4376" s="2" t="s">
        <v>10155</v>
      </c>
      <c r="B4376" s="2" t="s">
        <v>10156</v>
      </c>
      <c r="C4376" s="2" t="s">
        <v>17</v>
      </c>
      <c r="D4376" s="2" t="s">
        <v>18</v>
      </c>
      <c r="E4376" s="5">
        <v>-31171</v>
      </c>
      <c r="F4376" s="3" t="s">
        <v>157</v>
      </c>
      <c r="G4376" s="3" t="s">
        <v>52</v>
      </c>
      <c r="H4376" s="2" t="s">
        <v>62</v>
      </c>
      <c r="I4376" s="2" t="s">
        <v>10157</v>
      </c>
      <c r="J4376" s="3" t="str">
        <f>HYPERLINK("https://www.boe.es/gazeta/dias/1814/08/27/pdfs/GMD-1814-117.pdf#page=8","Abrir facsímil")</f>
        <v>Abrir facsímil</v>
      </c>
      <c r="K4376" s="3" t="s">
        <v>64</v>
      </c>
    </row>
    <row r="4377" spans="1:11" ht="42" customHeight="1">
      <c r="A4377" s="2" t="s">
        <v>10158</v>
      </c>
      <c r="B4377" s="2" t="s">
        <v>10159</v>
      </c>
      <c r="C4377" s="2" t="s">
        <v>17</v>
      </c>
      <c r="D4377" s="2" t="s">
        <v>18</v>
      </c>
      <c r="E4377" s="5">
        <v>-31257</v>
      </c>
      <c r="F4377" s="3" t="s">
        <v>437</v>
      </c>
      <c r="G4377" s="3" t="s">
        <v>438</v>
      </c>
      <c r="H4377" s="2" t="s">
        <v>62</v>
      </c>
      <c r="I4377" s="2" t="s">
        <v>10160</v>
      </c>
      <c r="J4377" s="3" t="str">
        <f>HYPERLINK("https://www.boe.es/gazeta/dias/1814/06/02/pdfs/GMD-1814-80.pdf#page=5","Abrir facsímil")</f>
        <v>Abrir facsímil</v>
      </c>
      <c r="K4377" s="3" t="s">
        <v>64</v>
      </c>
    </row>
    <row r="4378" spans="1:11" ht="42" customHeight="1">
      <c r="A4378" s="2" t="s">
        <v>10161</v>
      </c>
      <c r="B4378" s="2" t="s">
        <v>10161</v>
      </c>
      <c r="C4378" s="2" t="s">
        <v>17</v>
      </c>
      <c r="D4378" s="2" t="s">
        <v>18</v>
      </c>
      <c r="E4378" s="5">
        <v>-31094</v>
      </c>
      <c r="F4378" s="3" t="s">
        <v>761</v>
      </c>
      <c r="G4378" s="3" t="s">
        <v>52</v>
      </c>
      <c r="H4378" s="2" t="s">
        <v>62</v>
      </c>
      <c r="I4378" s="2" t="s">
        <v>10162</v>
      </c>
      <c r="J4378" s="3" t="str">
        <f>HYPERLINK("https://www.boe.es/gazeta/dias/1814/11/12/pdfs/GMD-1814-151.pdf#page=8","Abrir facsímil")</f>
        <v>Abrir facsímil</v>
      </c>
      <c r="K4378" s="3" t="s">
        <v>64</v>
      </c>
    </row>
    <row r="4379" spans="1:11" ht="42" customHeight="1">
      <c r="A4379" s="2" t="s">
        <v>10163</v>
      </c>
      <c r="B4379" s="2" t="s">
        <v>10163</v>
      </c>
      <c r="C4379" s="2" t="s">
        <v>38</v>
      </c>
      <c r="D4379" s="2" t="s">
        <v>39</v>
      </c>
      <c r="E4379" s="5">
        <v>-31124</v>
      </c>
      <c r="F4379" s="3" t="s">
        <v>383</v>
      </c>
      <c r="G4379" s="3" t="s">
        <v>87</v>
      </c>
      <c r="H4379" s="2" t="s">
        <v>62</v>
      </c>
      <c r="I4379" s="2" t="s">
        <v>10164</v>
      </c>
      <c r="J4379" s="3" t="str">
        <f>HYPERLINK("https://www.boe.es/gazeta/dias/1814/10/13/pdfs/GMD-1814-138.pdf#page=2","Abrir facsímil")</f>
        <v>Abrir facsímil</v>
      </c>
      <c r="K4379" s="3" t="s">
        <v>64</v>
      </c>
    </row>
    <row r="4380" spans="1:11" ht="42" customHeight="1">
      <c r="A4380" s="2" t="s">
        <v>10165</v>
      </c>
      <c r="B4380" s="2" t="s">
        <v>10166</v>
      </c>
      <c r="C4380" s="2" t="s">
        <v>26</v>
      </c>
      <c r="D4380" s="2" t="s">
        <v>27</v>
      </c>
      <c r="E4380" s="5">
        <v>-31082</v>
      </c>
      <c r="F4380" s="3" t="s">
        <v>535</v>
      </c>
      <c r="G4380" s="3" t="s">
        <v>52</v>
      </c>
      <c r="H4380" s="2" t="s">
        <v>62</v>
      </c>
      <c r="I4380" s="2" t="s">
        <v>10167</v>
      </c>
      <c r="J4380" s="3" t="str">
        <f>HYPERLINK("https://www.boe.es/gazeta/dias/1814/11/24/pdfs/GMD-1814-156.pdf#page=8","Abrir facsímil")</f>
        <v>Abrir facsímil</v>
      </c>
      <c r="K4380" s="3" t="s">
        <v>64</v>
      </c>
    </row>
    <row r="4381" spans="1:11" ht="42" customHeight="1">
      <c r="A4381" s="2" t="s">
        <v>10168</v>
      </c>
      <c r="B4381" s="2" t="s">
        <v>10169</v>
      </c>
      <c r="C4381" s="2" t="s">
        <v>17</v>
      </c>
      <c r="D4381" s="2" t="s">
        <v>18</v>
      </c>
      <c r="E4381" s="5">
        <v>-31112</v>
      </c>
      <c r="F4381" s="3" t="s">
        <v>707</v>
      </c>
      <c r="G4381" s="3" t="s">
        <v>82</v>
      </c>
      <c r="H4381" s="2" t="s">
        <v>21</v>
      </c>
      <c r="I4381" s="2" t="s">
        <v>10170</v>
      </c>
      <c r="J4381" s="3" t="str">
        <f>HYPERLINK("https://www.boe.es/gazeta/dias/1814/10/25/pdfs/GMD-1814-143.pdf#page=3","Abrir facsímil")</f>
        <v>Abrir facsímil</v>
      </c>
      <c r="K4381" s="3" t="s">
        <v>23</v>
      </c>
    </row>
    <row r="4382" spans="1:11" ht="42" customHeight="1">
      <c r="A4382" s="2" t="s">
        <v>10171</v>
      </c>
      <c r="B4382" s="2" t="s">
        <v>10172</v>
      </c>
      <c r="C4382" s="2" t="s">
        <v>38</v>
      </c>
      <c r="D4382" s="2" t="s">
        <v>39</v>
      </c>
      <c r="E4382" s="5">
        <v>-31131</v>
      </c>
      <c r="F4382" s="3" t="s">
        <v>132</v>
      </c>
      <c r="G4382" s="3" t="s">
        <v>20</v>
      </c>
      <c r="H4382" s="2" t="s">
        <v>62</v>
      </c>
      <c r="I4382" s="2" t="s">
        <v>10173</v>
      </c>
      <c r="J4382" s="3" t="str">
        <f>HYPERLINK("https://www.boe.es/gazeta/dias/1814/10/06/pdfs/GMD-1814-135.pdf#page=7","Abrir facsímil")</f>
        <v>Abrir facsímil</v>
      </c>
      <c r="K4382" s="3" t="s">
        <v>64</v>
      </c>
    </row>
    <row r="4383" spans="1:11" ht="42" customHeight="1">
      <c r="A4383" s="2" t="s">
        <v>10174</v>
      </c>
      <c r="B4383" s="2" t="s">
        <v>10175</v>
      </c>
      <c r="C4383" s="2" t="s">
        <v>17</v>
      </c>
      <c r="D4383" s="2" t="s">
        <v>18</v>
      </c>
      <c r="E4383" s="5">
        <v>-31087</v>
      </c>
      <c r="F4383" s="3" t="s">
        <v>118</v>
      </c>
      <c r="G4383" s="3" t="s">
        <v>2650</v>
      </c>
      <c r="H4383" s="2" t="s">
        <v>62</v>
      </c>
      <c r="I4383" s="2" t="s">
        <v>10176</v>
      </c>
      <c r="J4383" s="3" t="str">
        <f>HYPERLINK("https://www.boe.es/gazeta/dias/1814/11/19/pdfs/GMD-1814-154.pdf#page=4","Abrir facsímil")</f>
        <v>Abrir facsímil</v>
      </c>
      <c r="K4383" s="3" t="s">
        <v>64</v>
      </c>
    </row>
    <row r="4384" spans="1:11" ht="42" customHeight="1">
      <c r="A4384" s="2" t="s">
        <v>10177</v>
      </c>
      <c r="B4384" s="2" t="s">
        <v>10177</v>
      </c>
      <c r="C4384" s="2" t="s">
        <v>38</v>
      </c>
      <c r="D4384" s="2" t="s">
        <v>39</v>
      </c>
      <c r="E4384" s="5">
        <v>-31392</v>
      </c>
      <c r="F4384" s="3" t="s">
        <v>195</v>
      </c>
      <c r="G4384" s="3" t="s">
        <v>41</v>
      </c>
      <c r="H4384" s="2" t="s">
        <v>62</v>
      </c>
      <c r="I4384" s="2" t="s">
        <v>10178</v>
      </c>
      <c r="J4384" s="3" t="str">
        <f>HYPERLINK("https://www.boe.es/gazeta/dias/1814/01/18/pdfs/GRE-1814-9.pdf#page=4","Abrir facsímil")</f>
        <v>Abrir facsímil</v>
      </c>
      <c r="K4384" s="3" t="s">
        <v>64</v>
      </c>
    </row>
    <row r="4385" spans="1:11" ht="42" customHeight="1">
      <c r="A4385" s="2" t="s">
        <v>10179</v>
      </c>
      <c r="B4385" s="2" t="s">
        <v>10180</v>
      </c>
      <c r="C4385" s="2" t="s">
        <v>26</v>
      </c>
      <c r="D4385" s="2" t="s">
        <v>27</v>
      </c>
      <c r="E4385" s="5">
        <v>-31369</v>
      </c>
      <c r="F4385" s="3" t="s">
        <v>695</v>
      </c>
      <c r="G4385" s="3" t="s">
        <v>1872</v>
      </c>
      <c r="H4385" s="2" t="s">
        <v>62</v>
      </c>
      <c r="I4385" s="2" t="s">
        <v>10181</v>
      </c>
      <c r="J4385" s="3" t="str">
        <f>HYPERLINK("https://www.boe.es/gazeta/dias/1814/02/10/pdfs/GRE-1814-19.pdf#page=8","Abrir facsímil")</f>
        <v>Abrir facsímil</v>
      </c>
      <c r="K4385" s="3" t="s">
        <v>64</v>
      </c>
    </row>
    <row r="4386" spans="1:11" ht="42" customHeight="1">
      <c r="A4386" s="2" t="s">
        <v>10182</v>
      </c>
      <c r="B4386" s="2" t="s">
        <v>10182</v>
      </c>
      <c r="C4386" s="2" t="s">
        <v>26</v>
      </c>
      <c r="D4386" s="2" t="s">
        <v>27</v>
      </c>
      <c r="E4386" s="5">
        <v>-31397</v>
      </c>
      <c r="F4386" s="3" t="s">
        <v>929</v>
      </c>
      <c r="G4386" s="3" t="s">
        <v>52</v>
      </c>
      <c r="H4386" s="2" t="s">
        <v>62</v>
      </c>
      <c r="I4386" s="2" t="s">
        <v>10183</v>
      </c>
      <c r="J4386" s="3" t="str">
        <f>HYPERLINK("https://www.boe.es/gazeta/dias/1814/01/13/pdfs/GRE-1814-7.pdf#page=8","Abrir facsímil")</f>
        <v>Abrir facsímil</v>
      </c>
      <c r="K4386" s="3" t="s">
        <v>64</v>
      </c>
    </row>
    <row r="4387" spans="1:11" ht="42" customHeight="1">
      <c r="A4387" s="2" t="s">
        <v>10184</v>
      </c>
      <c r="B4387" s="2" t="s">
        <v>10185</v>
      </c>
      <c r="C4387" s="2" t="s">
        <v>26</v>
      </c>
      <c r="D4387" s="2" t="s">
        <v>27</v>
      </c>
      <c r="E4387" s="5">
        <v>-31075</v>
      </c>
      <c r="F4387" s="3" t="s">
        <v>537</v>
      </c>
      <c r="G4387" s="3" t="s">
        <v>52</v>
      </c>
      <c r="H4387" s="2" t="s">
        <v>62</v>
      </c>
      <c r="I4387" s="2" t="s">
        <v>10186</v>
      </c>
      <c r="J4387" s="3" t="str">
        <f>HYPERLINK("https://www.boe.es/gazeta/dias/1814/12/01/pdfs/GMD-1814-159.pdf#page=8","Abrir facsímil")</f>
        <v>Abrir facsímil</v>
      </c>
      <c r="K4387" s="3" t="s">
        <v>64</v>
      </c>
    </row>
    <row r="4388" spans="1:11" ht="42" customHeight="1">
      <c r="A4388" s="2" t="s">
        <v>10187</v>
      </c>
      <c r="B4388" s="2" t="s">
        <v>10187</v>
      </c>
      <c r="C4388" s="2" t="s">
        <v>38</v>
      </c>
      <c r="D4388" s="2" t="s">
        <v>39</v>
      </c>
      <c r="E4388" s="5">
        <v>-31283</v>
      </c>
      <c r="F4388" s="3" t="s">
        <v>701</v>
      </c>
      <c r="G4388" s="3" t="s">
        <v>87</v>
      </c>
      <c r="H4388" s="2" t="s">
        <v>62</v>
      </c>
      <c r="I4388" s="2" t="s">
        <v>10188</v>
      </c>
      <c r="J4388" s="3" t="str">
        <f>HYPERLINK("https://www.boe.es/gazeta/dias/1814/05/07/pdfs/GRE-1814-67.pdf#page=2","Abrir facsímil")</f>
        <v>Abrir facsímil</v>
      </c>
      <c r="K4388" s="3" t="s">
        <v>64</v>
      </c>
    </row>
    <row r="4389" spans="1:11" ht="42" customHeight="1">
      <c r="A4389" s="2" t="s">
        <v>10189</v>
      </c>
      <c r="B4389" s="2" t="s">
        <v>10190</v>
      </c>
      <c r="C4389" s="2" t="s">
        <v>45</v>
      </c>
      <c r="D4389" s="2" t="s">
        <v>18</v>
      </c>
      <c r="E4389" s="5">
        <v>-31383</v>
      </c>
      <c r="F4389" s="3" t="s">
        <v>715</v>
      </c>
      <c r="G4389" s="3" t="s">
        <v>20</v>
      </c>
      <c r="H4389" s="2" t="s">
        <v>62</v>
      </c>
      <c r="I4389" s="2" t="s">
        <v>10191</v>
      </c>
      <c r="J4389" s="3" t="str">
        <f>HYPERLINK("https://www.boe.es/gazeta/dias/1814/01/27/pdfs/GRE-1814-13.pdf#page=7","Abrir facsímil")</f>
        <v>Abrir facsímil</v>
      </c>
      <c r="K4389" s="3" t="s">
        <v>64</v>
      </c>
    </row>
    <row r="4390" spans="1:11" ht="42" customHeight="1">
      <c r="A4390" s="2" t="s">
        <v>10189</v>
      </c>
      <c r="B4390" s="2" t="s">
        <v>10190</v>
      </c>
      <c r="C4390" s="2" t="s">
        <v>17</v>
      </c>
      <c r="D4390" s="2" t="s">
        <v>18</v>
      </c>
      <c r="E4390" s="5">
        <v>-31259</v>
      </c>
      <c r="F4390" s="3" t="s">
        <v>853</v>
      </c>
      <c r="G4390" s="3" t="s">
        <v>20</v>
      </c>
      <c r="H4390" s="2" t="s">
        <v>62</v>
      </c>
      <c r="I4390" s="2" t="s">
        <v>10192</v>
      </c>
      <c r="J4390" s="3" t="str">
        <f>HYPERLINK("https://www.boe.es/gazeta/dias/1814/05/31/pdfs/GMD-1814-79.pdf#page=7","Abrir facsímil")</f>
        <v>Abrir facsímil</v>
      </c>
      <c r="K4390" s="3" t="s">
        <v>64</v>
      </c>
    </row>
    <row r="4391" spans="1:11" ht="42" customHeight="1">
      <c r="A4391" s="2" t="s">
        <v>10193</v>
      </c>
      <c r="B4391" s="2" t="s">
        <v>10194</v>
      </c>
      <c r="C4391" s="2" t="s">
        <v>38</v>
      </c>
      <c r="D4391" s="2" t="s">
        <v>39</v>
      </c>
      <c r="E4391" s="5">
        <v>-31049</v>
      </c>
      <c r="F4391" s="3" t="s">
        <v>542</v>
      </c>
      <c r="G4391" s="3" t="s">
        <v>41</v>
      </c>
      <c r="H4391" s="2" t="s">
        <v>62</v>
      </c>
      <c r="I4391" s="2" t="s">
        <v>10195</v>
      </c>
      <c r="J4391" s="3" t="str">
        <f>HYPERLINK("https://www.boe.es/gazeta/dias/1814/12/27/pdfs/GMD-1814-171.pdf#page=4","Abrir facsímil")</f>
        <v>Abrir facsímil</v>
      </c>
      <c r="K4391" s="3" t="s">
        <v>64</v>
      </c>
    </row>
    <row r="4392" spans="1:11" ht="42" customHeight="1">
      <c r="A4392" s="2" t="s">
        <v>10196</v>
      </c>
      <c r="B4392" s="2" t="s">
        <v>10197</v>
      </c>
      <c r="C4392" s="2" t="s">
        <v>26</v>
      </c>
      <c r="D4392" s="2" t="s">
        <v>27</v>
      </c>
      <c r="E4392" s="5">
        <v>-31080</v>
      </c>
      <c r="F4392" s="3" t="s">
        <v>286</v>
      </c>
      <c r="G4392" s="3" t="s">
        <v>677</v>
      </c>
      <c r="H4392" s="2" t="s">
        <v>62</v>
      </c>
      <c r="I4392" s="2" t="s">
        <v>10198</v>
      </c>
      <c r="J4392" s="3" t="str">
        <f>HYPERLINK("https://www.boe.es/gazeta/dias/1814/11/26/pdfs/GMD-1814-157.pdf#page=7","Abrir facsímil")</f>
        <v>Abrir facsímil</v>
      </c>
      <c r="K4392" s="3" t="s">
        <v>64</v>
      </c>
    </row>
    <row r="4393" spans="1:11" ht="42" customHeight="1">
      <c r="A4393" s="2" t="s">
        <v>10199</v>
      </c>
      <c r="B4393" s="2" t="s">
        <v>10200</v>
      </c>
      <c r="C4393" s="2" t="s">
        <v>38</v>
      </c>
      <c r="D4393" s="2" t="s">
        <v>39</v>
      </c>
      <c r="E4393" s="5">
        <v>-31220</v>
      </c>
      <c r="F4393" s="3" t="s">
        <v>122</v>
      </c>
      <c r="G4393" s="3" t="s">
        <v>52</v>
      </c>
      <c r="H4393" s="2" t="s">
        <v>62</v>
      </c>
      <c r="I4393" s="2" t="s">
        <v>10201</v>
      </c>
      <c r="J4393" s="3" t="str">
        <f>HYPERLINK("https://www.boe.es/gazeta/dias/1814/07/09/pdfs/GMD-1814-96.pdf#page=8","Abrir facsímil")</f>
        <v>Abrir facsímil</v>
      </c>
      <c r="K4393" s="3" t="s">
        <v>64</v>
      </c>
    </row>
    <row r="4394" spans="1:11" ht="42" customHeight="1">
      <c r="A4394" s="2" t="s">
        <v>10202</v>
      </c>
      <c r="B4394" s="2" t="s">
        <v>10202</v>
      </c>
      <c r="C4394" s="2" t="s">
        <v>38</v>
      </c>
      <c r="D4394" s="2" t="s">
        <v>39</v>
      </c>
      <c r="E4394" s="5">
        <v>-31073</v>
      </c>
      <c r="F4394" s="3" t="s">
        <v>3052</v>
      </c>
      <c r="G4394" s="3" t="s">
        <v>82</v>
      </c>
      <c r="H4394" s="2" t="s">
        <v>62</v>
      </c>
      <c r="I4394" s="2" t="s">
        <v>10203</v>
      </c>
      <c r="J4394" s="3" t="str">
        <f>HYPERLINK("https://www.boe.es/gazeta/dias/1814/12/03/pdfs/GMD-1814-160.pdf#page=3","Abrir facsímil")</f>
        <v>Abrir facsímil</v>
      </c>
      <c r="K4394" s="3" t="s">
        <v>64</v>
      </c>
    </row>
    <row r="4395" spans="1:11" ht="42" customHeight="1">
      <c r="A4395" s="2" t="s">
        <v>10204</v>
      </c>
      <c r="B4395" s="2" t="s">
        <v>10205</v>
      </c>
      <c r="C4395" s="2" t="s">
        <v>38</v>
      </c>
      <c r="D4395" s="2" t="s">
        <v>39</v>
      </c>
      <c r="E4395" s="5">
        <v>-31122</v>
      </c>
      <c r="F4395" s="3" t="s">
        <v>28</v>
      </c>
      <c r="G4395" s="3" t="s">
        <v>20</v>
      </c>
      <c r="H4395" s="2" t="s">
        <v>62</v>
      </c>
      <c r="I4395" s="2" t="s">
        <v>10206</v>
      </c>
      <c r="J4395" s="3" t="str">
        <f>HYPERLINK("https://www.boe.es/gazeta/dias/1814/10/15/pdfs/GMD-1814-139.pdf#page=7","Abrir facsímil")</f>
        <v>Abrir facsímil</v>
      </c>
      <c r="K4395" s="3" t="s">
        <v>64</v>
      </c>
    </row>
    <row r="4396" spans="1:11" ht="42" customHeight="1">
      <c r="A4396" s="2" t="s">
        <v>10207</v>
      </c>
      <c r="B4396" s="2" t="s">
        <v>10208</v>
      </c>
      <c r="C4396" s="2" t="s">
        <v>144</v>
      </c>
      <c r="D4396" s="2" t="s">
        <v>18</v>
      </c>
      <c r="E4396" s="5">
        <v>-31049</v>
      </c>
      <c r="F4396" s="3" t="s">
        <v>542</v>
      </c>
      <c r="G4396" s="3" t="s">
        <v>3979</v>
      </c>
      <c r="H4396" s="2" t="s">
        <v>62</v>
      </c>
      <c r="I4396" s="2" t="s">
        <v>10209</v>
      </c>
      <c r="J4396" s="3" t="str">
        <f>HYPERLINK("https://www.boe.es/gazeta/dias/1814/12/27/pdfs/GMD-1814-171.pdf#page=8","Abrir facsímil")</f>
        <v>Abrir facsímil</v>
      </c>
      <c r="K4396" s="3" t="s">
        <v>64</v>
      </c>
    </row>
    <row r="4397" spans="1:11" ht="42" customHeight="1">
      <c r="A4397" s="2" t="s">
        <v>10210</v>
      </c>
      <c r="B4397" s="2" t="s">
        <v>10210</v>
      </c>
      <c r="C4397" s="2" t="s">
        <v>17</v>
      </c>
      <c r="D4397" s="2" t="s">
        <v>18</v>
      </c>
      <c r="E4397" s="5">
        <v>-31231</v>
      </c>
      <c r="F4397" s="3" t="s">
        <v>861</v>
      </c>
      <c r="G4397" s="3" t="s">
        <v>87</v>
      </c>
      <c r="H4397" s="2" t="s">
        <v>62</v>
      </c>
      <c r="I4397" s="2" t="s">
        <v>10211</v>
      </c>
      <c r="J4397" s="3" t="str">
        <f>HYPERLINK("https://www.boe.es/gazeta/dias/1814/06/28/pdfs/GMD-1814-91.pdf#page=2","Abrir facsímil")</f>
        <v>Abrir facsímil</v>
      </c>
      <c r="K4397" s="3" t="s">
        <v>64</v>
      </c>
    </row>
    <row r="4398" spans="1:11" ht="42" customHeight="1">
      <c r="A4398" s="2" t="s">
        <v>10212</v>
      </c>
      <c r="B4398" s="2" t="s">
        <v>10213</v>
      </c>
      <c r="C4398" s="2" t="s">
        <v>38</v>
      </c>
      <c r="D4398" s="2" t="s">
        <v>39</v>
      </c>
      <c r="E4398" s="5">
        <v>-31346</v>
      </c>
      <c r="F4398" s="3" t="s">
        <v>78</v>
      </c>
      <c r="G4398" s="3" t="s">
        <v>52</v>
      </c>
      <c r="H4398" s="2" t="s">
        <v>62</v>
      </c>
      <c r="I4398" s="2" t="s">
        <v>10214</v>
      </c>
      <c r="J4398" s="3" t="str">
        <f>HYPERLINK("https://www.boe.es/gazeta/dias/1814/03/05/pdfs/GRE-1814-30.pdf#page=8","Abrir facsímil")</f>
        <v>Abrir facsímil</v>
      </c>
      <c r="K4398" s="3" t="s">
        <v>64</v>
      </c>
    </row>
    <row r="4399" spans="1:11" ht="42" customHeight="1">
      <c r="A4399" s="2" t="s">
        <v>10215</v>
      </c>
      <c r="B4399" s="2" t="s">
        <v>10215</v>
      </c>
      <c r="C4399" s="2" t="s">
        <v>38</v>
      </c>
      <c r="D4399" s="2" t="s">
        <v>39</v>
      </c>
      <c r="E4399" s="5">
        <v>-31077</v>
      </c>
      <c r="F4399" s="3" t="s">
        <v>414</v>
      </c>
      <c r="G4399" s="3" t="s">
        <v>107</v>
      </c>
      <c r="H4399" s="2" t="s">
        <v>62</v>
      </c>
      <c r="I4399" s="2" t="s">
        <v>10216</v>
      </c>
      <c r="J4399" s="3" t="str">
        <f>HYPERLINK("https://www.boe.es/gazeta/dias/1814/11/29/pdfs/GMD-1814-158.pdf#page=1","Abrir facsímil")</f>
        <v>Abrir facsímil</v>
      </c>
      <c r="K4399" s="3" t="s">
        <v>64</v>
      </c>
    </row>
    <row r="4400" spans="1:11" ht="42" customHeight="1">
      <c r="A4400" s="2" t="s">
        <v>10217</v>
      </c>
      <c r="B4400" s="2" t="s">
        <v>10217</v>
      </c>
      <c r="C4400" s="2" t="s">
        <v>26</v>
      </c>
      <c r="D4400" s="2" t="s">
        <v>27</v>
      </c>
      <c r="E4400" s="5">
        <v>-31220</v>
      </c>
      <c r="F4400" s="3" t="s">
        <v>122</v>
      </c>
      <c r="G4400" s="3" t="s">
        <v>107</v>
      </c>
      <c r="H4400" s="2" t="s">
        <v>62</v>
      </c>
      <c r="I4400" s="2" t="s">
        <v>10218</v>
      </c>
      <c r="J4400" s="3" t="str">
        <f>HYPERLINK("https://www.boe.es/gazeta/dias/1814/07/09/pdfs/GMD-1814-96.pdf#page=1","Abrir facsímil")</f>
        <v>Abrir facsímil</v>
      </c>
      <c r="K4400" s="3" t="s">
        <v>64</v>
      </c>
    </row>
    <row r="4401" spans="1:11" ht="42" customHeight="1">
      <c r="A4401" s="2" t="s">
        <v>10219</v>
      </c>
      <c r="B4401" s="2" t="s">
        <v>10220</v>
      </c>
      <c r="C4401" s="2" t="s">
        <v>26</v>
      </c>
      <c r="D4401" s="2" t="s">
        <v>27</v>
      </c>
      <c r="E4401" s="5">
        <v>-31220</v>
      </c>
      <c r="F4401" s="3" t="s">
        <v>122</v>
      </c>
      <c r="G4401" s="3" t="s">
        <v>57</v>
      </c>
      <c r="H4401" s="2" t="s">
        <v>62</v>
      </c>
      <c r="I4401" s="2" t="s">
        <v>10221</v>
      </c>
      <c r="J4401" s="3" t="str">
        <f>HYPERLINK("https://www.boe.es/gazeta/dias/1814/07/09/pdfs/GMD-1814-96.pdf#page=6","Abrir facsímil")</f>
        <v>Abrir facsímil</v>
      </c>
      <c r="K4401" s="3" t="s">
        <v>64</v>
      </c>
    </row>
    <row r="4402" spans="1:11" ht="42" customHeight="1">
      <c r="A4402" s="2" t="s">
        <v>10219</v>
      </c>
      <c r="B4402" s="2" t="s">
        <v>10220</v>
      </c>
      <c r="C4402" s="2" t="s">
        <v>26</v>
      </c>
      <c r="D4402" s="2" t="s">
        <v>27</v>
      </c>
      <c r="E4402" s="5">
        <v>-31220</v>
      </c>
      <c r="F4402" s="3" t="s">
        <v>122</v>
      </c>
      <c r="G4402" s="3" t="s">
        <v>20</v>
      </c>
      <c r="H4402" s="2" t="s">
        <v>62</v>
      </c>
      <c r="I4402" s="2" t="s">
        <v>10222</v>
      </c>
      <c r="J4402" s="3" t="str">
        <f>HYPERLINK("https://www.boe.es/gazeta/dias/1814/07/09/pdfs/GMD-1814-96.pdf#page=7","Abrir facsímil")</f>
        <v>Abrir facsímil</v>
      </c>
      <c r="K4402" s="3" t="s">
        <v>64</v>
      </c>
    </row>
    <row r="4403" spans="1:11" ht="42" customHeight="1">
      <c r="A4403" s="2" t="s">
        <v>10223</v>
      </c>
      <c r="B4403" s="2" t="s">
        <v>10224</v>
      </c>
      <c r="C4403" s="2" t="s">
        <v>38</v>
      </c>
      <c r="D4403" s="2" t="s">
        <v>314</v>
      </c>
      <c r="E4403" s="5">
        <v>-31296</v>
      </c>
      <c r="F4403" s="3" t="s">
        <v>315</v>
      </c>
      <c r="G4403" s="3" t="s">
        <v>52</v>
      </c>
      <c r="H4403" s="2" t="s">
        <v>62</v>
      </c>
      <c r="I4403" s="2" t="s">
        <v>10225</v>
      </c>
      <c r="J4403" s="3" t="str">
        <f>HYPERLINK("https://www.boe.es/gazeta/dias/1814/04/24/pdfs/GRE-1814-60E.pdf#page=8","Abrir facsímil")</f>
        <v>Abrir facsímil</v>
      </c>
      <c r="K4403" s="3" t="s">
        <v>64</v>
      </c>
    </row>
    <row r="4404" spans="1:11" ht="42" customHeight="1">
      <c r="A4404" s="2" t="s">
        <v>10226</v>
      </c>
      <c r="B4404" s="2" t="s">
        <v>10226</v>
      </c>
      <c r="C4404" s="2" t="s">
        <v>38</v>
      </c>
      <c r="D4404" s="2" t="s">
        <v>39</v>
      </c>
      <c r="E4404" s="5">
        <v>-31070</v>
      </c>
      <c r="F4404" s="3" t="s">
        <v>92</v>
      </c>
      <c r="G4404" s="3" t="s">
        <v>107</v>
      </c>
      <c r="H4404" s="2" t="s">
        <v>62</v>
      </c>
      <c r="I4404" s="2" t="s">
        <v>10227</v>
      </c>
      <c r="J4404" s="3" t="str">
        <f>HYPERLINK("https://www.boe.es/gazeta/dias/1814/12/06/pdfs/GMD-1814-161.pdf#page=1","Abrir facsímil")</f>
        <v>Abrir facsímil</v>
      </c>
      <c r="K4404" s="3" t="s">
        <v>64</v>
      </c>
    </row>
    <row r="4405" spans="1:11" ht="42" customHeight="1">
      <c r="A4405" s="2" t="s">
        <v>10228</v>
      </c>
      <c r="B4405" s="2" t="s">
        <v>10229</v>
      </c>
      <c r="C4405" s="2" t="s">
        <v>17</v>
      </c>
      <c r="D4405" s="2" t="s">
        <v>18</v>
      </c>
      <c r="E4405" s="5">
        <v>-31201</v>
      </c>
      <c r="F4405" s="3" t="s">
        <v>863</v>
      </c>
      <c r="G4405" s="3" t="s">
        <v>52</v>
      </c>
      <c r="H4405" s="2" t="s">
        <v>62</v>
      </c>
      <c r="I4405" s="2" t="s">
        <v>10230</v>
      </c>
      <c r="J4405" s="3" t="str">
        <f>HYPERLINK("https://www.boe.es/gazeta/dias/1814/07/28/pdfs/GMD-1814-104.pdf#page=8","Abrir facsímil")</f>
        <v>Abrir facsímil</v>
      </c>
      <c r="K4405" s="3" t="s">
        <v>64</v>
      </c>
    </row>
    <row r="4406" spans="1:11" ht="42" customHeight="1">
      <c r="A4406" s="2" t="s">
        <v>10231</v>
      </c>
      <c r="B4406" s="2" t="s">
        <v>10232</v>
      </c>
      <c r="C4406" s="2" t="s">
        <v>38</v>
      </c>
      <c r="D4406" s="2" t="s">
        <v>39</v>
      </c>
      <c r="E4406" s="5">
        <v>-31215</v>
      </c>
      <c r="F4406" s="3" t="s">
        <v>372</v>
      </c>
      <c r="G4406" s="3" t="s">
        <v>704</v>
      </c>
      <c r="H4406" s="2" t="s">
        <v>62</v>
      </c>
      <c r="I4406" s="2" t="s">
        <v>10233</v>
      </c>
      <c r="J4406" s="3" t="str">
        <f>HYPERLINK("https://www.boe.es/gazeta/dias/1814/07/14/pdfs/GMD-1814-98.pdf#page=10","Abrir facsímil")</f>
        <v>Abrir facsímil</v>
      </c>
      <c r="K4406" s="3" t="s">
        <v>64</v>
      </c>
    </row>
    <row r="4407" spans="1:11" ht="42" customHeight="1">
      <c r="A4407" s="2" t="s">
        <v>10234</v>
      </c>
      <c r="B4407" s="2" t="s">
        <v>10234</v>
      </c>
      <c r="C4407" s="2" t="s">
        <v>17</v>
      </c>
      <c r="D4407" s="2" t="s">
        <v>18</v>
      </c>
      <c r="E4407" s="5">
        <v>-31098</v>
      </c>
      <c r="F4407" s="3" t="s">
        <v>290</v>
      </c>
      <c r="G4407" s="3" t="s">
        <v>82</v>
      </c>
      <c r="H4407" s="2" t="s">
        <v>62</v>
      </c>
      <c r="I4407" s="2" t="s">
        <v>10235</v>
      </c>
      <c r="J4407" s="3" t="str">
        <f>HYPERLINK("https://www.boe.es/gazeta/dias/1814/11/08/pdfs/GMD-1814-149.pdf#page=3","Abrir facsímil")</f>
        <v>Abrir facsímil</v>
      </c>
      <c r="K4407" s="3" t="s">
        <v>64</v>
      </c>
    </row>
    <row r="4408" spans="1:11" ht="42" customHeight="1">
      <c r="A4408" s="2" t="s">
        <v>10236</v>
      </c>
      <c r="B4408" s="2" t="s">
        <v>10237</v>
      </c>
      <c r="C4408" s="2" t="s">
        <v>26</v>
      </c>
      <c r="D4408" s="2" t="s">
        <v>27</v>
      </c>
      <c r="E4408" s="5">
        <v>-31301</v>
      </c>
      <c r="F4408" s="3" t="s">
        <v>81</v>
      </c>
      <c r="G4408" s="3" t="s">
        <v>52</v>
      </c>
      <c r="H4408" s="2" t="s">
        <v>62</v>
      </c>
      <c r="I4408" s="2" t="s">
        <v>10238</v>
      </c>
      <c r="J4408" s="3" t="str">
        <f>HYPERLINK("https://www.boe.es/gazeta/dias/1814/04/19/pdfs/GRE-1814-56.pdf#page=8","Abrir facsímil")</f>
        <v>Abrir facsímil</v>
      </c>
      <c r="K4408" s="3" t="s">
        <v>64</v>
      </c>
    </row>
    <row r="4409" spans="1:11" ht="42" customHeight="1">
      <c r="A4409" s="2" t="s">
        <v>10239</v>
      </c>
      <c r="B4409" s="2" t="s">
        <v>10240</v>
      </c>
      <c r="C4409" s="2" t="s">
        <v>26</v>
      </c>
      <c r="D4409" s="2" t="s">
        <v>27</v>
      </c>
      <c r="E4409" s="5">
        <v>-31262</v>
      </c>
      <c r="F4409" s="3" t="s">
        <v>254</v>
      </c>
      <c r="G4409" s="3" t="s">
        <v>82</v>
      </c>
      <c r="H4409" s="2" t="s">
        <v>62</v>
      </c>
      <c r="I4409" s="2" t="s">
        <v>10241</v>
      </c>
      <c r="J4409" s="3" t="str">
        <f>HYPERLINK("https://www.boe.es/gazeta/dias/1814/05/28/pdfs/GMD-1814-78.pdf#page=3","Abrir facsímil")</f>
        <v>Abrir facsímil</v>
      </c>
      <c r="K4409" s="3" t="s">
        <v>64</v>
      </c>
    </row>
    <row r="4410" spans="1:11" ht="42" customHeight="1">
      <c r="A4410" s="2" t="s">
        <v>10242</v>
      </c>
      <c r="B4410" s="2" t="s">
        <v>10242</v>
      </c>
      <c r="C4410" s="2" t="s">
        <v>17</v>
      </c>
      <c r="D4410" s="2" t="s">
        <v>18</v>
      </c>
      <c r="E4410" s="5">
        <v>-31206</v>
      </c>
      <c r="F4410" s="3" t="s">
        <v>1196</v>
      </c>
      <c r="G4410" s="3" t="s">
        <v>20</v>
      </c>
      <c r="H4410" s="2" t="s">
        <v>62</v>
      </c>
      <c r="I4410" s="2" t="s">
        <v>10243</v>
      </c>
      <c r="J4410" s="3" t="str">
        <f>HYPERLINK("https://www.boe.es/gazeta/dias/1814/07/23/pdfs/GMD-1814-102.pdf#page=7","Abrir facsímil")</f>
        <v>Abrir facsímil</v>
      </c>
      <c r="K4410" s="3" t="s">
        <v>64</v>
      </c>
    </row>
    <row r="4411" spans="1:11" ht="42" customHeight="1">
      <c r="A4411" s="2" t="s">
        <v>10242</v>
      </c>
      <c r="B4411" s="2" t="s">
        <v>10242</v>
      </c>
      <c r="C4411" s="2" t="s">
        <v>26</v>
      </c>
      <c r="D4411" s="2" t="s">
        <v>27</v>
      </c>
      <c r="E4411" s="5">
        <v>-31136</v>
      </c>
      <c r="F4411" s="3" t="s">
        <v>956</v>
      </c>
      <c r="G4411" s="3" t="s">
        <v>57</v>
      </c>
      <c r="H4411" s="2" t="s">
        <v>62</v>
      </c>
      <c r="I4411" s="2" t="s">
        <v>10244</v>
      </c>
      <c r="J4411" s="3" t="str">
        <f>HYPERLINK("https://www.boe.es/gazeta/dias/1814/10/01/pdfs/GMD-1814-133.pdf#page=6","Abrir facsímil")</f>
        <v>Abrir facsímil</v>
      </c>
      <c r="K4411" s="3" t="s">
        <v>64</v>
      </c>
    </row>
    <row r="4412" spans="1:11" ht="42" customHeight="1">
      <c r="A4412" s="2" t="s">
        <v>10242</v>
      </c>
      <c r="B4412" s="2" t="s">
        <v>10242</v>
      </c>
      <c r="C4412" s="2" t="s">
        <v>26</v>
      </c>
      <c r="D4412" s="2" t="s">
        <v>27</v>
      </c>
      <c r="E4412" s="5">
        <v>-31103</v>
      </c>
      <c r="F4412" s="3" t="s">
        <v>1260</v>
      </c>
      <c r="G4412" s="3" t="s">
        <v>57</v>
      </c>
      <c r="H4412" s="2" t="s">
        <v>62</v>
      </c>
      <c r="I4412" s="2" t="s">
        <v>10245</v>
      </c>
      <c r="J4412" s="3" t="str">
        <f>HYPERLINK("https://www.boe.es/gazeta/dias/1814/11/03/pdfs/GMD-1814-147.pdf#page=6","Abrir facsímil")</f>
        <v>Abrir facsímil</v>
      </c>
      <c r="K4412" s="3" t="s">
        <v>64</v>
      </c>
    </row>
    <row r="4413" spans="1:11" ht="42" customHeight="1">
      <c r="A4413" s="2" t="s">
        <v>10246</v>
      </c>
      <c r="B4413" s="2" t="s">
        <v>10247</v>
      </c>
      <c r="C4413" s="2" t="s">
        <v>32</v>
      </c>
      <c r="D4413" s="2" t="s">
        <v>18</v>
      </c>
      <c r="E4413" s="5">
        <v>-31059</v>
      </c>
      <c r="F4413" s="3" t="s">
        <v>263</v>
      </c>
      <c r="G4413" s="3" t="s">
        <v>7951</v>
      </c>
      <c r="H4413" s="2" t="s">
        <v>62</v>
      </c>
      <c r="I4413" s="2" t="s">
        <v>10248</v>
      </c>
      <c r="J4413" s="3" t="str">
        <f>HYPERLINK("https://www.boe.es/gazeta/dias/1814/12/17/pdfs/GMD-1814-167.pdf#page=5","Abrir facsímil")</f>
        <v>Abrir facsímil</v>
      </c>
      <c r="K4413" s="3" t="s">
        <v>64</v>
      </c>
    </row>
    <row r="4414" spans="1:11" ht="42" customHeight="1">
      <c r="A4414" s="2" t="s">
        <v>10249</v>
      </c>
      <c r="B4414" s="2" t="s">
        <v>10250</v>
      </c>
      <c r="C4414" s="2" t="s">
        <v>144</v>
      </c>
      <c r="D4414" s="2" t="s">
        <v>18</v>
      </c>
      <c r="E4414" s="5">
        <v>-31264</v>
      </c>
      <c r="F4414" s="3" t="s">
        <v>396</v>
      </c>
      <c r="G4414" s="3" t="s">
        <v>57</v>
      </c>
      <c r="H4414" s="2" t="s">
        <v>62</v>
      </c>
      <c r="I4414" s="2" t="s">
        <v>10251</v>
      </c>
      <c r="J4414" s="3" t="str">
        <f>HYPERLINK("https://www.boe.es/gazeta/dias/1814/05/26/pdfs/GMD-1814-77.pdf#page=6","Abrir facsímil")</f>
        <v>Abrir facsímil</v>
      </c>
      <c r="K4414" s="3" t="s">
        <v>64</v>
      </c>
    </row>
    <row r="4415" spans="1:11" ht="42" customHeight="1">
      <c r="A4415" s="2" t="s">
        <v>10252</v>
      </c>
      <c r="B4415" s="2" t="s">
        <v>10253</v>
      </c>
      <c r="C4415" s="2" t="s">
        <v>17</v>
      </c>
      <c r="D4415" s="2" t="s">
        <v>18</v>
      </c>
      <c r="E4415" s="5">
        <v>-31119</v>
      </c>
      <c r="F4415" s="3" t="s">
        <v>136</v>
      </c>
      <c r="G4415" s="3" t="s">
        <v>322</v>
      </c>
      <c r="H4415" s="2" t="s">
        <v>62</v>
      </c>
      <c r="I4415" s="2" t="s">
        <v>10254</v>
      </c>
      <c r="J4415" s="3" t="str">
        <f>HYPERLINK("https://www.boe.es/gazeta/dias/1814/10/18/pdfs/GMD-1814-140.pdf#page=12","Abrir facsímil")</f>
        <v>Abrir facsímil</v>
      </c>
      <c r="K4415" s="3" t="s">
        <v>64</v>
      </c>
    </row>
    <row r="4416" spans="1:11" ht="42" customHeight="1">
      <c r="A4416" s="2" t="s">
        <v>10252</v>
      </c>
      <c r="B4416" s="2" t="s">
        <v>10253</v>
      </c>
      <c r="C4416" s="2" t="s">
        <v>17</v>
      </c>
      <c r="D4416" s="2" t="s">
        <v>18</v>
      </c>
      <c r="E4416" s="5">
        <v>-31115</v>
      </c>
      <c r="F4416" s="3" t="s">
        <v>805</v>
      </c>
      <c r="G4416" s="3" t="s">
        <v>20</v>
      </c>
      <c r="H4416" s="2" t="s">
        <v>62</v>
      </c>
      <c r="I4416" s="2" t="s">
        <v>10255</v>
      </c>
      <c r="J4416" s="3" t="str">
        <f>HYPERLINK("https://www.boe.es/gazeta/dias/1814/10/22/pdfs/GMD-1814-142.pdf#page=7","Abrir facsímil")</f>
        <v>Abrir facsímil</v>
      </c>
      <c r="K4416" s="3" t="s">
        <v>64</v>
      </c>
    </row>
    <row r="4417" spans="1:11" ht="42" customHeight="1">
      <c r="A4417" s="2" t="s">
        <v>10252</v>
      </c>
      <c r="B4417" s="2" t="s">
        <v>10253</v>
      </c>
      <c r="C4417" s="2" t="s">
        <v>17</v>
      </c>
      <c r="D4417" s="2" t="s">
        <v>18</v>
      </c>
      <c r="E4417" s="5">
        <v>-31110</v>
      </c>
      <c r="F4417" s="3" t="s">
        <v>149</v>
      </c>
      <c r="G4417" s="3" t="s">
        <v>20</v>
      </c>
      <c r="H4417" s="2" t="s">
        <v>62</v>
      </c>
      <c r="I4417" s="2" t="s">
        <v>10256</v>
      </c>
      <c r="J4417" s="3" t="str">
        <f>HYPERLINK("https://www.boe.es/gazeta/dias/1814/10/27/pdfs/GMD-1814-144.pdf#page=7","Abrir facsímil")</f>
        <v>Abrir facsímil</v>
      </c>
      <c r="K4417" s="3" t="s">
        <v>64</v>
      </c>
    </row>
    <row r="4418" spans="1:11" ht="42" customHeight="1">
      <c r="A4418" s="2" t="s">
        <v>10257</v>
      </c>
      <c r="B4418" s="2" t="s">
        <v>10258</v>
      </c>
      <c r="C4418" s="2" t="s">
        <v>26</v>
      </c>
      <c r="D4418" s="2" t="s">
        <v>27</v>
      </c>
      <c r="E4418" s="5">
        <v>-31339</v>
      </c>
      <c r="F4418" s="3" t="s">
        <v>641</v>
      </c>
      <c r="G4418" s="3" t="s">
        <v>52</v>
      </c>
      <c r="H4418" s="2" t="s">
        <v>62</v>
      </c>
      <c r="I4418" s="2" t="s">
        <v>10259</v>
      </c>
      <c r="J4418" s="3" t="str">
        <f>HYPERLINK("https://www.boe.es/gazeta/dias/1814/03/12/pdfs/GRE-1814-35.pdf#page=8","Abrir facsímil")</f>
        <v>Abrir facsímil</v>
      </c>
      <c r="K4418" s="3" t="s">
        <v>64</v>
      </c>
    </row>
    <row r="4419" spans="1:11" ht="42" customHeight="1">
      <c r="A4419" s="2" t="s">
        <v>10260</v>
      </c>
      <c r="B4419" s="2" t="s">
        <v>10260</v>
      </c>
      <c r="C4419" s="2" t="s">
        <v>17</v>
      </c>
      <c r="D4419" s="2" t="s">
        <v>18</v>
      </c>
      <c r="E4419" s="5">
        <v>-31318</v>
      </c>
      <c r="F4419" s="3" t="s">
        <v>400</v>
      </c>
      <c r="G4419" s="3" t="s">
        <v>99</v>
      </c>
      <c r="H4419" s="2" t="s">
        <v>62</v>
      </c>
      <c r="I4419" s="2" t="s">
        <v>10261</v>
      </c>
      <c r="J4419" s="3" t="str">
        <f>HYPERLINK("https://www.boe.es/gazeta/dias/1814/04/02/pdfs/GRE-1814-47.pdf#page=5","Abrir facsímil")</f>
        <v>Abrir facsímil</v>
      </c>
      <c r="K4419" s="3" t="s">
        <v>64</v>
      </c>
    </row>
    <row r="4420" spans="1:11" ht="42" customHeight="1">
      <c r="A4420" s="2" t="s">
        <v>10262</v>
      </c>
      <c r="B4420" s="2" t="s">
        <v>10263</v>
      </c>
      <c r="C4420" s="2" t="s">
        <v>32</v>
      </c>
      <c r="D4420" s="2" t="s">
        <v>18</v>
      </c>
      <c r="E4420" s="5">
        <v>-31299</v>
      </c>
      <c r="F4420" s="3" t="s">
        <v>71</v>
      </c>
      <c r="G4420" s="3" t="s">
        <v>52</v>
      </c>
      <c r="H4420" s="2" t="s">
        <v>62</v>
      </c>
      <c r="I4420" s="2" t="s">
        <v>10264</v>
      </c>
      <c r="J4420" s="3" t="str">
        <f>HYPERLINK("https://www.boe.es/gazeta/dias/1814/04/21/pdfs/GRE-1814-57.pdf#page=8","Abrir facsímil")</f>
        <v>Abrir facsímil</v>
      </c>
      <c r="K4420" s="3" t="s">
        <v>64</v>
      </c>
    </row>
    <row r="4421" spans="1:11" ht="42" customHeight="1">
      <c r="A4421" s="2" t="s">
        <v>10265</v>
      </c>
      <c r="B4421" s="2" t="s">
        <v>10266</v>
      </c>
      <c r="C4421" s="2" t="s">
        <v>38</v>
      </c>
      <c r="D4421" s="2" t="s">
        <v>39</v>
      </c>
      <c r="E4421" s="5">
        <v>-31325</v>
      </c>
      <c r="F4421" s="3" t="s">
        <v>67</v>
      </c>
      <c r="G4421" s="3" t="s">
        <v>20</v>
      </c>
      <c r="H4421" s="2" t="s">
        <v>62</v>
      </c>
      <c r="I4421" s="2" t="s">
        <v>10267</v>
      </c>
      <c r="J4421" s="3" t="str">
        <f>HYPERLINK("https://www.boe.es/gazeta/dias/1814/03/26/pdfs/GRE-1814-43.pdf#page=7","Abrir facsímil")</f>
        <v>Abrir facsímil</v>
      </c>
      <c r="K4421" s="3" t="s">
        <v>64</v>
      </c>
    </row>
    <row r="4422" spans="1:11" ht="42" customHeight="1">
      <c r="A4422" s="2" t="s">
        <v>10268</v>
      </c>
      <c r="B4422" s="2" t="s">
        <v>10269</v>
      </c>
      <c r="C4422" s="2" t="s">
        <v>26</v>
      </c>
      <c r="D4422" s="2" t="s">
        <v>27</v>
      </c>
      <c r="E4422" s="5">
        <v>-31334</v>
      </c>
      <c r="F4422" s="3" t="s">
        <v>482</v>
      </c>
      <c r="G4422" s="3" t="s">
        <v>52</v>
      </c>
      <c r="H4422" s="2" t="s">
        <v>62</v>
      </c>
      <c r="I4422" s="2" t="s">
        <v>10270</v>
      </c>
      <c r="J4422" s="3" t="str">
        <f>HYPERLINK("https://www.boe.es/gazeta/dias/1814/03/17/pdfs/GRE-1814-37.pdf#page=8","Abrir facsímil")</f>
        <v>Abrir facsímil</v>
      </c>
      <c r="K4422" s="3" t="s">
        <v>64</v>
      </c>
    </row>
    <row r="4423" spans="1:11" ht="42" customHeight="1">
      <c r="A4423" s="2" t="s">
        <v>10271</v>
      </c>
      <c r="B4423" s="2" t="s">
        <v>10271</v>
      </c>
      <c r="C4423" s="2" t="s">
        <v>38</v>
      </c>
      <c r="D4423" s="2" t="s">
        <v>39</v>
      </c>
      <c r="E4423" s="5">
        <v>-31117</v>
      </c>
      <c r="F4423" s="3" t="s">
        <v>172</v>
      </c>
      <c r="G4423" s="3" t="s">
        <v>87</v>
      </c>
      <c r="H4423" s="2" t="s">
        <v>62</v>
      </c>
      <c r="I4423" s="2" t="s">
        <v>10272</v>
      </c>
      <c r="J4423" s="3" t="str">
        <f>HYPERLINK("https://www.boe.es/gazeta/dias/1814/10/20/pdfs/GMD-1814-141.pdf#page=2","Abrir facsímil")</f>
        <v>Abrir facsímil</v>
      </c>
      <c r="K4423" s="3" t="s">
        <v>64</v>
      </c>
    </row>
    <row r="4424" spans="1:11" ht="42" customHeight="1">
      <c r="A4424" s="2" t="s">
        <v>10273</v>
      </c>
      <c r="B4424" s="2" t="s">
        <v>10274</v>
      </c>
      <c r="C4424" s="2" t="s">
        <v>26</v>
      </c>
      <c r="D4424" s="2" t="s">
        <v>27</v>
      </c>
      <c r="E4424" s="5">
        <v>-31217</v>
      </c>
      <c r="F4424" s="3" t="s">
        <v>506</v>
      </c>
      <c r="G4424" s="3" t="s">
        <v>322</v>
      </c>
      <c r="H4424" s="2" t="s">
        <v>62</v>
      </c>
      <c r="I4424" s="2" t="s">
        <v>10275</v>
      </c>
      <c r="J4424" s="3" t="str">
        <f>HYPERLINK("https://www.boe.es/gazeta/dias/1814/07/12/pdfs/GMD-1814-97.pdf#page=12","Abrir facsímil")</f>
        <v>Abrir facsímil</v>
      </c>
      <c r="K4424" s="3" t="s">
        <v>64</v>
      </c>
    </row>
    <row r="4425" spans="1:11" ht="42" customHeight="1">
      <c r="A4425" s="2" t="s">
        <v>10276</v>
      </c>
      <c r="B4425" s="2" t="s">
        <v>10277</v>
      </c>
      <c r="C4425" s="2" t="s">
        <v>38</v>
      </c>
      <c r="D4425" s="2" t="s">
        <v>39</v>
      </c>
      <c r="E4425" s="5">
        <v>-31243</v>
      </c>
      <c r="F4425" s="3" t="s">
        <v>500</v>
      </c>
      <c r="G4425" s="3" t="s">
        <v>57</v>
      </c>
      <c r="H4425" s="2" t="s">
        <v>21</v>
      </c>
      <c r="I4425" s="2" t="s">
        <v>10278</v>
      </c>
      <c r="J4425" s="3" t="str">
        <f>HYPERLINK("https://www.boe.es/gazeta/dias/1814/06/16/pdfs/GMD-1814-86.pdf#page=6","Abrir facsímil")</f>
        <v>Abrir facsímil</v>
      </c>
      <c r="K4425" s="3" t="s">
        <v>23</v>
      </c>
    </row>
    <row r="4426" spans="1:11" ht="42" customHeight="1">
      <c r="A4426" s="2" t="s">
        <v>10279</v>
      </c>
      <c r="B4426" s="2" t="s">
        <v>10280</v>
      </c>
      <c r="C4426" s="2" t="s">
        <v>38</v>
      </c>
      <c r="D4426" s="2" t="s">
        <v>39</v>
      </c>
      <c r="E4426" s="5">
        <v>-31185</v>
      </c>
      <c r="F4426" s="3" t="s">
        <v>1238</v>
      </c>
      <c r="G4426" s="3" t="s">
        <v>52</v>
      </c>
      <c r="H4426" s="2" t="s">
        <v>62</v>
      </c>
      <c r="I4426" s="2" t="s">
        <v>10281</v>
      </c>
      <c r="J4426" s="3" t="str">
        <f>HYPERLINK("https://www.boe.es/gazeta/dias/1814/08/13/pdfs/GMD-1814-111.pdf#page=8","Abrir facsímil")</f>
        <v>Abrir facsímil</v>
      </c>
      <c r="K4426" s="3" t="s">
        <v>64</v>
      </c>
    </row>
    <row r="4427" spans="1:11" ht="42" customHeight="1">
      <c r="A4427" s="2" t="s">
        <v>10282</v>
      </c>
      <c r="B4427" s="2" t="s">
        <v>10283</v>
      </c>
      <c r="C4427" s="2" t="s">
        <v>38</v>
      </c>
      <c r="D4427" s="2" t="s">
        <v>39</v>
      </c>
      <c r="E4427" s="5">
        <v>-31182</v>
      </c>
      <c r="F4427" s="3" t="s">
        <v>19</v>
      </c>
      <c r="G4427" s="3" t="s">
        <v>57</v>
      </c>
      <c r="H4427" s="2" t="s">
        <v>62</v>
      </c>
      <c r="I4427" s="2" t="s">
        <v>10284</v>
      </c>
      <c r="J4427" s="3" t="str">
        <f>HYPERLINK("https://www.boe.es/gazeta/dias/1814/08/16/pdfs/GMD-1814-112.pdf#page=6","Abrir facsímil")</f>
        <v>Abrir facsímil</v>
      </c>
      <c r="K4427" s="3" t="s">
        <v>64</v>
      </c>
    </row>
    <row r="4428" spans="1:11" ht="42" customHeight="1">
      <c r="A4428" s="2" t="s">
        <v>10285</v>
      </c>
      <c r="B4428" s="2" t="s">
        <v>10286</v>
      </c>
      <c r="C4428" s="2" t="s">
        <v>144</v>
      </c>
      <c r="D4428" s="2" t="s">
        <v>18</v>
      </c>
      <c r="E4428" s="5">
        <v>-31091</v>
      </c>
      <c r="F4428" s="3" t="s">
        <v>1156</v>
      </c>
      <c r="G4428" s="3" t="s">
        <v>20</v>
      </c>
      <c r="H4428" s="2" t="s">
        <v>62</v>
      </c>
      <c r="I4428" s="2" t="s">
        <v>10287</v>
      </c>
      <c r="J4428" s="3" t="str">
        <f>HYPERLINK("https://www.boe.es/gazeta/dias/1814/11/15/pdfs/GMD-1814-152.pdf#page=7","Abrir facsímil")</f>
        <v>Abrir facsímil</v>
      </c>
      <c r="K4428" s="3" t="s">
        <v>64</v>
      </c>
    </row>
    <row r="4429" spans="1:11" ht="42" customHeight="1">
      <c r="A4429" s="2" t="s">
        <v>10288</v>
      </c>
      <c r="B4429" s="2" t="s">
        <v>10289</v>
      </c>
      <c r="C4429" s="2" t="s">
        <v>38</v>
      </c>
      <c r="D4429" s="2" t="s">
        <v>39</v>
      </c>
      <c r="E4429" s="5">
        <v>-31357</v>
      </c>
      <c r="F4429" s="3" t="s">
        <v>1460</v>
      </c>
      <c r="G4429" s="3" t="s">
        <v>52</v>
      </c>
      <c r="H4429" s="2" t="s">
        <v>62</v>
      </c>
      <c r="I4429" s="2" t="s">
        <v>10290</v>
      </c>
      <c r="J4429" s="3" t="str">
        <f>HYPERLINK("https://www.boe.es/gazeta/dias/1814/02/22/pdfs/GRE-1814-25.pdf#page=8","Abrir facsímil")</f>
        <v>Abrir facsímil</v>
      </c>
      <c r="K4429" s="3" t="s">
        <v>64</v>
      </c>
    </row>
    <row r="4430" spans="1:11" ht="42" customHeight="1">
      <c r="A4430" s="2" t="s">
        <v>10291</v>
      </c>
      <c r="B4430" s="2" t="s">
        <v>10292</v>
      </c>
      <c r="C4430" s="2" t="s">
        <v>38</v>
      </c>
      <c r="D4430" s="2" t="s">
        <v>39</v>
      </c>
      <c r="E4430" s="5">
        <v>-31255</v>
      </c>
      <c r="F4430" s="3" t="s">
        <v>983</v>
      </c>
      <c r="G4430" s="3" t="s">
        <v>41</v>
      </c>
      <c r="H4430" s="2" t="s">
        <v>62</v>
      </c>
      <c r="I4430" s="2" t="s">
        <v>10293</v>
      </c>
      <c r="J4430" s="3" t="str">
        <f>HYPERLINK("https://www.boe.es/gazeta/dias/1814/06/04/pdfs/GMD-1814-81.pdf#page=4","Abrir facsímil")</f>
        <v>Abrir facsímil</v>
      </c>
      <c r="K4430" s="3" t="s">
        <v>64</v>
      </c>
    </row>
    <row r="4431" spans="1:11" ht="42" customHeight="1">
      <c r="A4431" s="2" t="s">
        <v>10294</v>
      </c>
      <c r="B4431" s="2" t="s">
        <v>10295</v>
      </c>
      <c r="C4431" s="2" t="s">
        <v>45</v>
      </c>
      <c r="D4431" s="2" t="s">
        <v>18</v>
      </c>
      <c r="E4431" s="5">
        <v>-31136</v>
      </c>
      <c r="F4431" s="3" t="s">
        <v>956</v>
      </c>
      <c r="G4431" s="3" t="s">
        <v>957</v>
      </c>
      <c r="H4431" s="2" t="s">
        <v>62</v>
      </c>
      <c r="I4431" s="2" t="s">
        <v>10296</v>
      </c>
      <c r="J4431" s="3" t="str">
        <f>HYPERLINK("https://www.boe.es/gazeta/dias/1814/10/01/pdfs/GMD-1814-133.pdf#page=8","Abrir facsímil")</f>
        <v>Abrir facsímil</v>
      </c>
      <c r="K4431" s="3" t="s">
        <v>64</v>
      </c>
    </row>
    <row r="4432" spans="1:11" ht="42" customHeight="1">
      <c r="A4432" s="2" t="s">
        <v>10297</v>
      </c>
      <c r="B4432" s="2" t="s">
        <v>10298</v>
      </c>
      <c r="C4432" s="2" t="s">
        <v>26</v>
      </c>
      <c r="D4432" s="2" t="s">
        <v>27</v>
      </c>
      <c r="E4432" s="5">
        <v>-31119</v>
      </c>
      <c r="F4432" s="3" t="s">
        <v>136</v>
      </c>
      <c r="G4432" s="3" t="s">
        <v>704</v>
      </c>
      <c r="H4432" s="2" t="s">
        <v>62</v>
      </c>
      <c r="I4432" s="2" t="s">
        <v>10299</v>
      </c>
      <c r="J4432" s="3" t="str">
        <f>HYPERLINK("https://www.boe.es/gazeta/dias/1814/10/18/pdfs/GMD-1814-140.pdf#page=10","Abrir facsímil")</f>
        <v>Abrir facsímil</v>
      </c>
      <c r="K4432" s="3" t="s">
        <v>64</v>
      </c>
    </row>
    <row r="4433" spans="1:11" ht="42" customHeight="1">
      <c r="A4433" s="2" t="s">
        <v>10300</v>
      </c>
      <c r="B4433" s="2" t="s">
        <v>10301</v>
      </c>
      <c r="C4433" s="2" t="s">
        <v>38</v>
      </c>
      <c r="D4433" s="2" t="s">
        <v>39</v>
      </c>
      <c r="E4433" s="5">
        <v>-31255</v>
      </c>
      <c r="F4433" s="3" t="s">
        <v>983</v>
      </c>
      <c r="G4433" s="3" t="s">
        <v>41</v>
      </c>
      <c r="H4433" s="2" t="s">
        <v>62</v>
      </c>
      <c r="I4433" s="2" t="s">
        <v>10302</v>
      </c>
      <c r="J4433" s="3" t="str">
        <f>HYPERLINK("https://www.boe.es/gazeta/dias/1814/06/04/pdfs/GMD-1814-81.pdf#page=4","Abrir facsímil")</f>
        <v>Abrir facsímil</v>
      </c>
      <c r="K4433" s="3" t="s">
        <v>64</v>
      </c>
    </row>
    <row r="4434" spans="1:11" ht="42" customHeight="1">
      <c r="A4434" s="2" t="s">
        <v>10303</v>
      </c>
      <c r="B4434" s="2" t="s">
        <v>10304</v>
      </c>
      <c r="C4434" s="2" t="s">
        <v>26</v>
      </c>
      <c r="D4434" s="2" t="s">
        <v>27</v>
      </c>
      <c r="E4434" s="5">
        <v>-31173</v>
      </c>
      <c r="F4434" s="3" t="s">
        <v>46</v>
      </c>
      <c r="G4434" s="3" t="s">
        <v>20</v>
      </c>
      <c r="H4434" s="2" t="s">
        <v>62</v>
      </c>
      <c r="I4434" s="2" t="s">
        <v>10305</v>
      </c>
      <c r="J4434" s="3" t="str">
        <f>HYPERLINK("https://www.boe.es/gazeta/dias/1814/08/25/pdfs/GMD-1814-116.pdf#page=7","Abrir facsímil")</f>
        <v>Abrir facsímil</v>
      </c>
      <c r="K4434" s="3" t="s">
        <v>64</v>
      </c>
    </row>
    <row r="4435" spans="1:11" ht="42" customHeight="1">
      <c r="A4435" s="2" t="s">
        <v>10306</v>
      </c>
      <c r="B4435" s="2" t="s">
        <v>10306</v>
      </c>
      <c r="C4435" s="2" t="s">
        <v>38</v>
      </c>
      <c r="D4435" s="2" t="s">
        <v>314</v>
      </c>
      <c r="E4435" s="5">
        <v>-31294</v>
      </c>
      <c r="F4435" s="3" t="s">
        <v>2505</v>
      </c>
      <c r="G4435" s="3" t="s">
        <v>107</v>
      </c>
      <c r="H4435" s="2" t="s">
        <v>62</v>
      </c>
      <c r="I4435" s="2" t="s">
        <v>10307</v>
      </c>
      <c r="J4435" s="3" t="str">
        <f>HYPERLINK("https://www.boe.es/gazeta/dias/1814/04/26/pdfs/GRE-1814-62E.pdf#page=1","Abrir facsímil")</f>
        <v>Abrir facsímil</v>
      </c>
      <c r="K4435" s="3" t="s">
        <v>64</v>
      </c>
    </row>
    <row r="4436" spans="1:11" ht="42" customHeight="1">
      <c r="A4436" s="2" t="s">
        <v>10306</v>
      </c>
      <c r="B4436" s="2" t="s">
        <v>10306</v>
      </c>
      <c r="C4436" s="2" t="s">
        <v>38</v>
      </c>
      <c r="D4436" s="2" t="s">
        <v>314</v>
      </c>
      <c r="E4436" s="5">
        <v>-31294</v>
      </c>
      <c r="F4436" s="3" t="s">
        <v>2505</v>
      </c>
      <c r="G4436" s="3" t="s">
        <v>20</v>
      </c>
      <c r="H4436" s="2" t="s">
        <v>62</v>
      </c>
      <c r="I4436" s="2" t="s">
        <v>10308</v>
      </c>
      <c r="J4436" s="3" t="str">
        <f>HYPERLINK("https://www.boe.es/gazeta/dias/1814/04/26/pdfs/GRE-1814-62E.pdf#page=7","Abrir facsímil")</f>
        <v>Abrir facsímil</v>
      </c>
      <c r="K4436" s="3" t="s">
        <v>64</v>
      </c>
    </row>
    <row r="4437" spans="1:11" ht="42" customHeight="1">
      <c r="A4437" s="2" t="s">
        <v>10309</v>
      </c>
      <c r="B4437" s="2" t="s">
        <v>10310</v>
      </c>
      <c r="C4437" s="2" t="s">
        <v>26</v>
      </c>
      <c r="D4437" s="2" t="s">
        <v>27</v>
      </c>
      <c r="E4437" s="5">
        <v>-31259</v>
      </c>
      <c r="F4437" s="3" t="s">
        <v>853</v>
      </c>
      <c r="G4437" s="3" t="s">
        <v>6627</v>
      </c>
      <c r="H4437" s="2" t="s">
        <v>62</v>
      </c>
      <c r="I4437" s="2" t="s">
        <v>10311</v>
      </c>
      <c r="J4437" s="3" t="str">
        <f>HYPERLINK("https://www.boe.es/gazeta/dias/1814/05/31/pdfs/GMD-1814-79.pdf#page=8","Abrir facsímil")</f>
        <v>Abrir facsímil</v>
      </c>
      <c r="K4437" s="3" t="s">
        <v>64</v>
      </c>
    </row>
    <row r="4438" spans="1:11" ht="42" customHeight="1">
      <c r="A4438" s="2" t="s">
        <v>10312</v>
      </c>
      <c r="B4438" s="2" t="s">
        <v>10312</v>
      </c>
      <c r="C4438" s="2" t="s">
        <v>38</v>
      </c>
      <c r="D4438" s="2" t="s">
        <v>39</v>
      </c>
      <c r="E4438" s="5">
        <v>-31399</v>
      </c>
      <c r="F4438" s="3" t="s">
        <v>218</v>
      </c>
      <c r="G4438" s="3" t="s">
        <v>82</v>
      </c>
      <c r="H4438" s="2" t="s">
        <v>62</v>
      </c>
      <c r="I4438" s="2" t="s">
        <v>10313</v>
      </c>
      <c r="J4438" s="3" t="str">
        <f>HYPERLINK("https://www.boe.es/gazeta/dias/1814/01/11/pdfs/GRE-1814-6.pdf#page=3","Abrir facsímil")</f>
        <v>Abrir facsímil</v>
      </c>
      <c r="K4438" s="3" t="s">
        <v>64</v>
      </c>
    </row>
    <row r="4439" spans="1:11" ht="42" customHeight="1">
      <c r="A4439" s="2" t="s">
        <v>10314</v>
      </c>
      <c r="B4439" s="2" t="s">
        <v>10314</v>
      </c>
      <c r="C4439" s="2" t="s">
        <v>38</v>
      </c>
      <c r="D4439" s="2" t="s">
        <v>39</v>
      </c>
      <c r="E4439" s="5">
        <v>-31297</v>
      </c>
      <c r="F4439" s="3" t="s">
        <v>737</v>
      </c>
      <c r="G4439" s="3" t="s">
        <v>2067</v>
      </c>
      <c r="H4439" s="2" t="s">
        <v>62</v>
      </c>
      <c r="I4439" s="2" t="s">
        <v>10315</v>
      </c>
      <c r="J4439" s="3" t="str">
        <f>HYPERLINK("https://www.boe.es/gazeta/dias/1814/04/23/pdfs/GRE-1814-59.pdf#page=3","Abrir facsímil")</f>
        <v>Abrir facsímil</v>
      </c>
      <c r="K4439" s="3" t="s">
        <v>64</v>
      </c>
    </row>
    <row r="4440" spans="1:11" ht="42" customHeight="1">
      <c r="A4440" s="2" t="s">
        <v>10316</v>
      </c>
      <c r="B4440" s="2" t="s">
        <v>10317</v>
      </c>
      <c r="C4440" s="2" t="s">
        <v>17</v>
      </c>
      <c r="D4440" s="2" t="s">
        <v>18</v>
      </c>
      <c r="E4440" s="5">
        <v>-31224</v>
      </c>
      <c r="F4440" s="3" t="s">
        <v>609</v>
      </c>
      <c r="G4440" s="3" t="s">
        <v>384</v>
      </c>
      <c r="H4440" s="2" t="s">
        <v>62</v>
      </c>
      <c r="I4440" s="2" t="s">
        <v>10318</v>
      </c>
      <c r="J4440" s="3" t="str">
        <f>HYPERLINK("https://www.boe.es/gazeta/dias/1814/07/05/pdfs/GMD-1814-94.pdf#page=11","Abrir facsímil")</f>
        <v>Abrir facsímil</v>
      </c>
      <c r="K4440" s="3" t="s">
        <v>64</v>
      </c>
    </row>
    <row r="4441" spans="1:11" ht="42" customHeight="1">
      <c r="A4441" s="2" t="s">
        <v>10319</v>
      </c>
      <c r="B4441" s="2" t="s">
        <v>10320</v>
      </c>
      <c r="C4441" s="2" t="s">
        <v>26</v>
      </c>
      <c r="D4441" s="2" t="s">
        <v>27</v>
      </c>
      <c r="E4441" s="5">
        <v>-31262</v>
      </c>
      <c r="F4441" s="3" t="s">
        <v>254</v>
      </c>
      <c r="G4441" s="3" t="s">
        <v>99</v>
      </c>
      <c r="H4441" s="2" t="s">
        <v>62</v>
      </c>
      <c r="I4441" s="2" t="s">
        <v>10321</v>
      </c>
      <c r="J4441" s="3" t="str">
        <f>HYPERLINK("https://www.boe.es/gazeta/dias/1814/05/28/pdfs/GMD-1814-78.pdf#page=5","Abrir facsímil")</f>
        <v>Abrir facsímil</v>
      </c>
      <c r="K4441" s="3" t="s">
        <v>64</v>
      </c>
    </row>
    <row r="4442" spans="1:11" ht="42" customHeight="1">
      <c r="A4442" s="2" t="s">
        <v>10319</v>
      </c>
      <c r="B4442" s="2" t="s">
        <v>10320</v>
      </c>
      <c r="C4442" s="2" t="s">
        <v>26</v>
      </c>
      <c r="D4442" s="2" t="s">
        <v>27</v>
      </c>
      <c r="E4442" s="5">
        <v>-31250</v>
      </c>
      <c r="F4442" s="3" t="s">
        <v>177</v>
      </c>
      <c r="G4442" s="3" t="s">
        <v>52</v>
      </c>
      <c r="H4442" s="2" t="s">
        <v>62</v>
      </c>
      <c r="I4442" s="2" t="s">
        <v>10322</v>
      </c>
      <c r="J4442" s="3" t="str">
        <f>HYPERLINK("https://www.boe.es/gazeta/dias/1814/06/09/pdfs/GMD-1814-83.pdf#page=8","Abrir facsímil")</f>
        <v>Abrir facsímil</v>
      </c>
      <c r="K4442" s="3" t="s">
        <v>64</v>
      </c>
    </row>
    <row r="4443" spans="1:11" ht="42" customHeight="1">
      <c r="A4443" s="2" t="s">
        <v>10323</v>
      </c>
      <c r="B4443" s="2" t="s">
        <v>10323</v>
      </c>
      <c r="C4443" s="2" t="s">
        <v>38</v>
      </c>
      <c r="D4443" s="2" t="s">
        <v>39</v>
      </c>
      <c r="E4443" s="5">
        <v>-31297</v>
      </c>
      <c r="F4443" s="3" t="s">
        <v>737</v>
      </c>
      <c r="G4443" s="3" t="s">
        <v>2067</v>
      </c>
      <c r="H4443" s="2" t="s">
        <v>62</v>
      </c>
      <c r="I4443" s="2" t="s">
        <v>10324</v>
      </c>
      <c r="J4443" s="3" t="str">
        <f>HYPERLINK("https://www.boe.es/gazeta/dias/1814/04/23/pdfs/GRE-1814-59.pdf#page=3","Abrir facsímil")</f>
        <v>Abrir facsímil</v>
      </c>
      <c r="K4443" s="3" t="s">
        <v>64</v>
      </c>
    </row>
    <row r="4444" spans="1:11" ht="42" customHeight="1">
      <c r="A4444" s="2" t="s">
        <v>10325</v>
      </c>
      <c r="B4444" s="2" t="s">
        <v>10326</v>
      </c>
      <c r="C4444" s="2" t="s">
        <v>38</v>
      </c>
      <c r="D4444" s="2" t="s">
        <v>39</v>
      </c>
      <c r="E4444" s="5">
        <v>-31392</v>
      </c>
      <c r="F4444" s="3" t="s">
        <v>195</v>
      </c>
      <c r="G4444" s="3" t="s">
        <v>758</v>
      </c>
      <c r="H4444" s="2" t="s">
        <v>62</v>
      </c>
      <c r="I4444" s="2" t="s">
        <v>10327</v>
      </c>
      <c r="J4444" s="3" t="str">
        <f>HYPERLINK("https://www.boe.es/gazeta/dias/1814/01/18/pdfs/GRE-1814-9.pdf#page=8","Abrir facsímil")</f>
        <v>Abrir facsímil</v>
      </c>
      <c r="K4444" s="3" t="s">
        <v>64</v>
      </c>
    </row>
    <row r="4445" spans="1:11" ht="42" customHeight="1">
      <c r="A4445" s="2" t="s">
        <v>10328</v>
      </c>
      <c r="B4445" s="2" t="s">
        <v>10329</v>
      </c>
      <c r="C4445" s="2" t="s">
        <v>38</v>
      </c>
      <c r="D4445" s="2" t="s">
        <v>39</v>
      </c>
      <c r="E4445" s="5">
        <v>-31206</v>
      </c>
      <c r="F4445" s="3" t="s">
        <v>1196</v>
      </c>
      <c r="G4445" s="3" t="s">
        <v>41</v>
      </c>
      <c r="H4445" s="2" t="s">
        <v>62</v>
      </c>
      <c r="I4445" s="2" t="s">
        <v>10330</v>
      </c>
      <c r="J4445" s="3" t="str">
        <f>HYPERLINK("https://www.boe.es/gazeta/dias/1814/07/23/pdfs/GMD-1814-102.pdf#page=4","Abrir facsímil")</f>
        <v>Abrir facsímil</v>
      </c>
      <c r="K4445" s="3" t="s">
        <v>64</v>
      </c>
    </row>
    <row r="4446" spans="1:11" ht="42" customHeight="1">
      <c r="A4446" s="2" t="s">
        <v>10331</v>
      </c>
      <c r="B4446" s="2" t="s">
        <v>10332</v>
      </c>
      <c r="C4446" s="2" t="s">
        <v>38</v>
      </c>
      <c r="D4446" s="2" t="s">
        <v>39</v>
      </c>
      <c r="E4446" s="5">
        <v>-31313</v>
      </c>
      <c r="F4446" s="3" t="s">
        <v>239</v>
      </c>
      <c r="G4446" s="3" t="s">
        <v>590</v>
      </c>
      <c r="H4446" s="2" t="s">
        <v>62</v>
      </c>
      <c r="I4446" s="2" t="s">
        <v>10333</v>
      </c>
      <c r="J4446" s="3" t="str">
        <f>HYPERLINK("https://www.boe.es/gazeta/dias/1814/04/07/pdfs/GRE-1814-50.pdf#page=8","Abrir facsímil")</f>
        <v>Abrir facsímil</v>
      </c>
      <c r="K4446" s="3" t="s">
        <v>64</v>
      </c>
    </row>
    <row r="4447" spans="1:11" ht="42" customHeight="1">
      <c r="A4447" s="2" t="s">
        <v>10331</v>
      </c>
      <c r="B4447" s="2" t="s">
        <v>10332</v>
      </c>
      <c r="C4447" s="2" t="s">
        <v>17</v>
      </c>
      <c r="D4447" s="2" t="s">
        <v>18</v>
      </c>
      <c r="E4447" s="5">
        <v>-31236</v>
      </c>
      <c r="F4447" s="3" t="s">
        <v>33</v>
      </c>
      <c r="G4447" s="3" t="s">
        <v>3453</v>
      </c>
      <c r="H4447" s="2" t="s">
        <v>62</v>
      </c>
      <c r="I4447" s="2" t="s">
        <v>10334</v>
      </c>
      <c r="J4447" s="3" t="str">
        <f>HYPERLINK("https://www.boe.es/gazeta/dias/1814/06/23/pdfs/GMD-1814-89.pdf#page=5","Abrir facsímil")</f>
        <v>Abrir facsímil</v>
      </c>
      <c r="K4447" s="3" t="s">
        <v>64</v>
      </c>
    </row>
    <row r="4448" spans="1:11" ht="42" customHeight="1">
      <c r="A4448" s="2" t="s">
        <v>10335</v>
      </c>
      <c r="B4448" s="2" t="s">
        <v>10336</v>
      </c>
      <c r="C4448" s="2" t="s">
        <v>38</v>
      </c>
      <c r="D4448" s="2" t="s">
        <v>39</v>
      </c>
      <c r="E4448" s="5">
        <v>-31178</v>
      </c>
      <c r="F4448" s="3" t="s">
        <v>1390</v>
      </c>
      <c r="G4448" s="3" t="s">
        <v>20</v>
      </c>
      <c r="H4448" s="2" t="s">
        <v>62</v>
      </c>
      <c r="I4448" s="2" t="s">
        <v>10337</v>
      </c>
      <c r="J4448" s="3" t="str">
        <f>HYPERLINK("https://www.boe.es/gazeta/dias/1814/08/20/pdfs/GMD-1814-114.pdf#page=7","Abrir facsímil")</f>
        <v>Abrir facsímil</v>
      </c>
      <c r="K4448" s="3" t="s">
        <v>64</v>
      </c>
    </row>
    <row r="4449" spans="1:11" ht="42" customHeight="1">
      <c r="A4449" s="2" t="s">
        <v>10338</v>
      </c>
      <c r="B4449" s="2" t="s">
        <v>10339</v>
      </c>
      <c r="C4449" s="2" t="s">
        <v>17</v>
      </c>
      <c r="D4449" s="2" t="s">
        <v>18</v>
      </c>
      <c r="E4449" s="5">
        <v>-31374</v>
      </c>
      <c r="F4449" s="3" t="s">
        <v>474</v>
      </c>
      <c r="G4449" s="3" t="s">
        <v>99</v>
      </c>
      <c r="H4449" s="2" t="s">
        <v>62</v>
      </c>
      <c r="I4449" s="2" t="s">
        <v>10340</v>
      </c>
      <c r="J4449" s="3" t="str">
        <f>HYPERLINK("https://www.boe.es/gazeta/dias/1814/02/05/pdfs/GRE-1814-17.pdf#page=5","Abrir facsímil")</f>
        <v>Abrir facsímil</v>
      </c>
      <c r="K4449" s="3" t="s">
        <v>64</v>
      </c>
    </row>
    <row r="4450" spans="1:11" ht="42" customHeight="1">
      <c r="A4450" s="2" t="s">
        <v>10341</v>
      </c>
      <c r="B4450" s="2" t="s">
        <v>10342</v>
      </c>
      <c r="C4450" s="2" t="s">
        <v>38</v>
      </c>
      <c r="D4450" s="2" t="s">
        <v>39</v>
      </c>
      <c r="E4450" s="5">
        <v>-31276</v>
      </c>
      <c r="F4450" s="3" t="s">
        <v>494</v>
      </c>
      <c r="G4450" s="3" t="s">
        <v>52</v>
      </c>
      <c r="H4450" s="2" t="s">
        <v>62</v>
      </c>
      <c r="I4450" s="2" t="s">
        <v>10343</v>
      </c>
      <c r="J4450" s="3" t="str">
        <f>HYPERLINK("https://www.boe.es/gazeta/dias/1814/05/14/pdfs/GMD-1814-71.pdf#page=8","Abrir facsímil")</f>
        <v>Abrir facsímil</v>
      </c>
      <c r="K4450" s="3" t="s">
        <v>64</v>
      </c>
    </row>
    <row r="4451" spans="1:11" ht="42" customHeight="1">
      <c r="A4451" s="2" t="s">
        <v>10344</v>
      </c>
      <c r="B4451" s="2" t="s">
        <v>10345</v>
      </c>
      <c r="C4451" s="2" t="s">
        <v>17</v>
      </c>
      <c r="D4451" s="2" t="s">
        <v>18</v>
      </c>
      <c r="E4451" s="5">
        <v>-31374</v>
      </c>
      <c r="F4451" s="3" t="s">
        <v>474</v>
      </c>
      <c r="G4451" s="3" t="s">
        <v>99</v>
      </c>
      <c r="H4451" s="2" t="s">
        <v>62</v>
      </c>
      <c r="I4451" s="2" t="s">
        <v>10346</v>
      </c>
      <c r="J4451" s="3" t="str">
        <f>HYPERLINK("https://www.boe.es/gazeta/dias/1814/02/05/pdfs/GRE-1814-17.pdf#page=5","Abrir facsímil")</f>
        <v>Abrir facsímil</v>
      </c>
      <c r="K4451" s="3" t="s">
        <v>64</v>
      </c>
    </row>
    <row r="4452" spans="1:11" ht="42" customHeight="1">
      <c r="A4452" s="2" t="s">
        <v>10347</v>
      </c>
      <c r="B4452" s="2" t="s">
        <v>10348</v>
      </c>
      <c r="C4452" s="2" t="s">
        <v>26</v>
      </c>
      <c r="D4452" s="2" t="s">
        <v>27</v>
      </c>
      <c r="E4452" s="5">
        <v>-31054</v>
      </c>
      <c r="F4452" s="3" t="s">
        <v>952</v>
      </c>
      <c r="G4452" s="3" t="s">
        <v>20</v>
      </c>
      <c r="H4452" s="2" t="s">
        <v>62</v>
      </c>
      <c r="I4452" s="2" t="s">
        <v>10349</v>
      </c>
      <c r="J4452" s="3" t="str">
        <f>HYPERLINK("https://www.boe.es/gazeta/dias/1814/12/22/pdfs/GMD-1814-169.pdf#page=7","Abrir facsímil")</f>
        <v>Abrir facsímil</v>
      </c>
      <c r="K4452" s="3" t="s">
        <v>64</v>
      </c>
    </row>
    <row r="4453" spans="1:11" ht="42" customHeight="1">
      <c r="A4453" s="2" t="s">
        <v>10350</v>
      </c>
      <c r="B4453" s="2" t="s">
        <v>10351</v>
      </c>
      <c r="C4453" s="2" t="s">
        <v>309</v>
      </c>
      <c r="D4453" s="2" t="s">
        <v>18</v>
      </c>
      <c r="E4453" s="5">
        <v>-31229</v>
      </c>
      <c r="F4453" s="3" t="s">
        <v>502</v>
      </c>
      <c r="G4453" s="3" t="s">
        <v>10352</v>
      </c>
      <c r="H4453" s="2" t="s">
        <v>62</v>
      </c>
      <c r="I4453" s="2" t="s">
        <v>10353</v>
      </c>
      <c r="J4453" s="3" t="str">
        <f>HYPERLINK("https://www.boe.es/gazeta/dias/1814/06/30/pdfs/GMD-1814-92.pdf#page=12","Abrir facsímil")</f>
        <v>Abrir facsímil</v>
      </c>
      <c r="K4453" s="3" t="s">
        <v>64</v>
      </c>
    </row>
    <row r="4454" spans="1:11" ht="42" customHeight="1">
      <c r="A4454" s="2" t="s">
        <v>10354</v>
      </c>
      <c r="B4454" s="2" t="s">
        <v>10355</v>
      </c>
      <c r="C4454" s="2" t="s">
        <v>17</v>
      </c>
      <c r="D4454" s="2" t="s">
        <v>18</v>
      </c>
      <c r="E4454" s="5">
        <v>-31154</v>
      </c>
      <c r="F4454" s="3" t="s">
        <v>688</v>
      </c>
      <c r="G4454" s="3" t="s">
        <v>831</v>
      </c>
      <c r="H4454" s="2" t="s">
        <v>62</v>
      </c>
      <c r="I4454" s="2" t="s">
        <v>10356</v>
      </c>
      <c r="J4454" s="3" t="str">
        <f>HYPERLINK("https://www.boe.es/gazeta/dias/1814/09/13/pdfs/GMD-1814-125.pdf#page=3","Abrir facsímil")</f>
        <v>Abrir facsímil</v>
      </c>
      <c r="K4454" s="3" t="s">
        <v>64</v>
      </c>
    </row>
    <row r="4455" spans="1:11" ht="42" customHeight="1">
      <c r="A4455" s="2" t="s">
        <v>10357</v>
      </c>
      <c r="B4455" s="2" t="s">
        <v>10358</v>
      </c>
      <c r="C4455" s="2" t="s">
        <v>17</v>
      </c>
      <c r="D4455" s="2" t="s">
        <v>18</v>
      </c>
      <c r="E4455" s="5">
        <v>-31196</v>
      </c>
      <c r="F4455" s="3" t="s">
        <v>828</v>
      </c>
      <c r="G4455" s="3" t="s">
        <v>2207</v>
      </c>
      <c r="H4455" s="2" t="s">
        <v>62</v>
      </c>
      <c r="I4455" s="2" t="s">
        <v>10359</v>
      </c>
      <c r="J4455" s="3" t="str">
        <f>HYPERLINK("https://www.boe.es/gazeta/dias/1814/08/02/pdfs/GMD-1814-106.pdf#page=5","Abrir facsímil")</f>
        <v>Abrir facsímil</v>
      </c>
      <c r="K4455" s="3" t="s">
        <v>64</v>
      </c>
    </row>
    <row r="4456" spans="1:11" ht="42" customHeight="1">
      <c r="A4456" s="2" t="s">
        <v>10360</v>
      </c>
      <c r="B4456" s="2" t="s">
        <v>10361</v>
      </c>
      <c r="C4456" s="2" t="s">
        <v>17</v>
      </c>
      <c r="D4456" s="2" t="s">
        <v>18</v>
      </c>
      <c r="E4456" s="5">
        <v>-31117</v>
      </c>
      <c r="F4456" s="3" t="s">
        <v>172</v>
      </c>
      <c r="G4456" s="3" t="s">
        <v>173</v>
      </c>
      <c r="H4456" s="2" t="s">
        <v>62</v>
      </c>
      <c r="I4456" s="2" t="s">
        <v>10362</v>
      </c>
      <c r="J4456" s="3" t="str">
        <f>HYPERLINK("https://www.boe.es/gazeta/dias/1814/10/20/pdfs/GMD-1814-141.pdf#page=7","Abrir facsímil")</f>
        <v>Abrir facsímil</v>
      </c>
      <c r="K4456" s="3" t="s">
        <v>64</v>
      </c>
    </row>
    <row r="4457" spans="1:11" ht="42" customHeight="1">
      <c r="A4457" s="2" t="s">
        <v>10363</v>
      </c>
      <c r="B4457" s="2" t="s">
        <v>10364</v>
      </c>
      <c r="C4457" s="2" t="s">
        <v>105</v>
      </c>
      <c r="D4457" s="2" t="s">
        <v>18</v>
      </c>
      <c r="E4457" s="5">
        <v>-31364</v>
      </c>
      <c r="F4457" s="3" t="s">
        <v>594</v>
      </c>
      <c r="G4457" s="3" t="s">
        <v>52</v>
      </c>
      <c r="H4457" s="2" t="s">
        <v>62</v>
      </c>
      <c r="I4457" s="2" t="s">
        <v>10365</v>
      </c>
      <c r="J4457" s="3" t="str">
        <f>HYPERLINK("https://www.boe.es/gazeta/dias/1814/02/15/pdfs/GRE-1814-21.pdf#page=8","Abrir facsímil")</f>
        <v>Abrir facsímil</v>
      </c>
      <c r="K4457" s="3" t="s">
        <v>64</v>
      </c>
    </row>
    <row r="4458" spans="1:11" ht="42" customHeight="1">
      <c r="A4458" s="2" t="s">
        <v>10366</v>
      </c>
      <c r="B4458" s="2" t="s">
        <v>10367</v>
      </c>
      <c r="C4458" s="2" t="s">
        <v>38</v>
      </c>
      <c r="D4458" s="2" t="s">
        <v>39</v>
      </c>
      <c r="E4458" s="5">
        <v>-31171</v>
      </c>
      <c r="F4458" s="3" t="s">
        <v>157</v>
      </c>
      <c r="G4458" s="3" t="s">
        <v>57</v>
      </c>
      <c r="H4458" s="2" t="s">
        <v>62</v>
      </c>
      <c r="I4458" s="2" t="s">
        <v>10368</v>
      </c>
      <c r="J4458" s="3" t="str">
        <f>HYPERLINK("https://www.boe.es/gazeta/dias/1814/08/27/pdfs/GMD-1814-117.pdf#page=6","Abrir facsímil")</f>
        <v>Abrir facsímil</v>
      </c>
      <c r="K4458" s="3" t="s">
        <v>64</v>
      </c>
    </row>
    <row r="4459" spans="1:11" ht="42" customHeight="1">
      <c r="A4459" s="2" t="s">
        <v>10369</v>
      </c>
      <c r="B4459" s="2" t="s">
        <v>10370</v>
      </c>
      <c r="C4459" s="2" t="s">
        <v>38</v>
      </c>
      <c r="D4459" s="2" t="s">
        <v>39</v>
      </c>
      <c r="E4459" s="5">
        <v>-31049</v>
      </c>
      <c r="F4459" s="3" t="s">
        <v>542</v>
      </c>
      <c r="G4459" s="3" t="s">
        <v>3979</v>
      </c>
      <c r="H4459" s="2" t="s">
        <v>62</v>
      </c>
      <c r="I4459" s="2" t="s">
        <v>10371</v>
      </c>
      <c r="J4459" s="3" t="str">
        <f>HYPERLINK("https://www.boe.es/gazeta/dias/1814/12/27/pdfs/GMD-1814-171.pdf#page=8","Abrir facsímil")</f>
        <v>Abrir facsímil</v>
      </c>
      <c r="K4459" s="3" t="s">
        <v>64</v>
      </c>
    </row>
    <row r="4460" spans="1:11" ht="42" customHeight="1">
      <c r="A4460" s="2" t="s">
        <v>10372</v>
      </c>
      <c r="B4460" s="2" t="s">
        <v>10373</v>
      </c>
      <c r="C4460" s="2" t="s">
        <v>17</v>
      </c>
      <c r="D4460" s="2" t="s">
        <v>18</v>
      </c>
      <c r="E4460" s="5">
        <v>-31049</v>
      </c>
      <c r="F4460" s="3" t="s">
        <v>542</v>
      </c>
      <c r="G4460" s="3" t="s">
        <v>3979</v>
      </c>
      <c r="H4460" s="2" t="s">
        <v>62</v>
      </c>
      <c r="I4460" s="2" t="s">
        <v>10374</v>
      </c>
      <c r="J4460" s="3" t="str">
        <f>HYPERLINK("https://www.boe.es/gazeta/dias/1814/12/27/pdfs/GMD-1814-171.pdf#page=8","Abrir facsímil")</f>
        <v>Abrir facsímil</v>
      </c>
      <c r="K4460" s="3" t="s">
        <v>64</v>
      </c>
    </row>
    <row r="4461" spans="1:11" ht="42" customHeight="1">
      <c r="A4461" s="2" t="s">
        <v>10375</v>
      </c>
      <c r="B4461" s="2" t="s">
        <v>10376</v>
      </c>
      <c r="C4461" s="2" t="s">
        <v>38</v>
      </c>
      <c r="D4461" s="2" t="s">
        <v>39</v>
      </c>
      <c r="E4461" s="5">
        <v>-31292</v>
      </c>
      <c r="F4461" s="3" t="s">
        <v>557</v>
      </c>
      <c r="G4461" s="3" t="s">
        <v>20</v>
      </c>
      <c r="H4461" s="2" t="s">
        <v>62</v>
      </c>
      <c r="I4461" s="2" t="s">
        <v>10377</v>
      </c>
      <c r="J4461" s="3" t="str">
        <f>HYPERLINK("https://www.boe.es/gazeta/dias/1814/04/28/pdfs/GRE-1814-63.pdf#page=7","Abrir facsímil")</f>
        <v>Abrir facsímil</v>
      </c>
      <c r="K4461" s="3" t="s">
        <v>64</v>
      </c>
    </row>
    <row r="4462" spans="1:11" ht="42" customHeight="1">
      <c r="A4462" s="2" t="s">
        <v>10378</v>
      </c>
      <c r="B4462" s="2" t="s">
        <v>10379</v>
      </c>
      <c r="C4462" s="2" t="s">
        <v>38</v>
      </c>
      <c r="D4462" s="2" t="s">
        <v>39</v>
      </c>
      <c r="E4462" s="5">
        <v>-31299</v>
      </c>
      <c r="F4462" s="3" t="s">
        <v>71</v>
      </c>
      <c r="G4462" s="3" t="s">
        <v>52</v>
      </c>
      <c r="H4462" s="2" t="s">
        <v>62</v>
      </c>
      <c r="I4462" s="2" t="s">
        <v>10380</v>
      </c>
      <c r="J4462" s="3" t="str">
        <f>HYPERLINK("https://www.boe.es/gazeta/dias/1814/04/21/pdfs/GRE-1814-57.pdf#page=8","Abrir facsímil")</f>
        <v>Abrir facsímil</v>
      </c>
      <c r="K4462" s="3" t="s">
        <v>64</v>
      </c>
    </row>
    <row r="4463" spans="1:11" ht="42" customHeight="1">
      <c r="A4463" s="2" t="s">
        <v>10381</v>
      </c>
      <c r="B4463" s="2" t="s">
        <v>10382</v>
      </c>
      <c r="C4463" s="2" t="s">
        <v>45</v>
      </c>
      <c r="D4463" s="2" t="s">
        <v>18</v>
      </c>
      <c r="E4463" s="5">
        <v>-31131</v>
      </c>
      <c r="F4463" s="3" t="s">
        <v>132</v>
      </c>
      <c r="G4463" s="3" t="s">
        <v>20</v>
      </c>
      <c r="H4463" s="2" t="s">
        <v>62</v>
      </c>
      <c r="I4463" s="2" t="s">
        <v>10383</v>
      </c>
      <c r="J4463" s="3" t="str">
        <f>HYPERLINK("https://www.boe.es/gazeta/dias/1814/10/06/pdfs/GMD-1814-135.pdf#page=7","Abrir facsímil")</f>
        <v>Abrir facsímil</v>
      </c>
      <c r="K4463" s="3" t="s">
        <v>64</v>
      </c>
    </row>
    <row r="4464" spans="1:11" ht="42" customHeight="1">
      <c r="A4464" s="2" t="s">
        <v>10384</v>
      </c>
      <c r="B4464" s="2" t="s">
        <v>10385</v>
      </c>
      <c r="C4464" s="2" t="s">
        <v>26</v>
      </c>
      <c r="D4464" s="2" t="s">
        <v>27</v>
      </c>
      <c r="E4464" s="5">
        <v>-31213</v>
      </c>
      <c r="F4464" s="3" t="s">
        <v>276</v>
      </c>
      <c r="G4464" s="3" t="s">
        <v>57</v>
      </c>
      <c r="H4464" s="2" t="s">
        <v>62</v>
      </c>
      <c r="I4464" s="2" t="s">
        <v>10386</v>
      </c>
      <c r="J4464" s="3" t="str">
        <f>HYPERLINK("https://www.boe.es/gazeta/dias/1814/07/16/pdfs/GMD-1814-99.pdf#page=6","Abrir facsímil")</f>
        <v>Abrir facsímil</v>
      </c>
      <c r="K4464" s="3" t="s">
        <v>64</v>
      </c>
    </row>
    <row r="4465" spans="1:11" ht="42" customHeight="1">
      <c r="A4465" s="2" t="s">
        <v>10387</v>
      </c>
      <c r="B4465" s="2" t="s">
        <v>10388</v>
      </c>
      <c r="C4465" s="2" t="s">
        <v>26</v>
      </c>
      <c r="D4465" s="2" t="s">
        <v>27</v>
      </c>
      <c r="E4465" s="5">
        <v>-31215</v>
      </c>
      <c r="F4465" s="3" t="s">
        <v>372</v>
      </c>
      <c r="G4465" s="3" t="s">
        <v>52</v>
      </c>
      <c r="H4465" s="2" t="s">
        <v>21</v>
      </c>
      <c r="I4465" s="2" t="s">
        <v>10389</v>
      </c>
      <c r="J4465" s="3" t="str">
        <f>HYPERLINK("https://www.boe.es/gazeta/dias/1814/07/14/pdfs/GMD-1814-98.pdf#page=8","Abrir facsímil")</f>
        <v>Abrir facsímil</v>
      </c>
      <c r="K4465" s="3" t="s">
        <v>23</v>
      </c>
    </row>
    <row r="4466" spans="1:11" ht="42" customHeight="1">
      <c r="A4466" s="2" t="s">
        <v>10390</v>
      </c>
      <c r="B4466" s="2" t="s">
        <v>10390</v>
      </c>
      <c r="C4466" s="2" t="s">
        <v>38</v>
      </c>
      <c r="D4466" s="2" t="s">
        <v>39</v>
      </c>
      <c r="E4466" s="5">
        <v>-31341</v>
      </c>
      <c r="F4466" s="3" t="s">
        <v>360</v>
      </c>
      <c r="G4466" s="3" t="s">
        <v>107</v>
      </c>
      <c r="H4466" s="2" t="s">
        <v>62</v>
      </c>
      <c r="I4466" s="2" t="s">
        <v>10391</v>
      </c>
      <c r="J4466" s="3" t="str">
        <f>HYPERLINK("https://www.boe.es/gazeta/dias/1814/03/10/pdfs/GRE-1814-33.pdf#page=1","Abrir facsímil")</f>
        <v>Abrir facsímil</v>
      </c>
      <c r="K4466" s="3" t="s">
        <v>64</v>
      </c>
    </row>
    <row r="4467" spans="1:11" ht="42" customHeight="1">
      <c r="A4467" s="2" t="s">
        <v>10392</v>
      </c>
      <c r="B4467" s="2" t="s">
        <v>10392</v>
      </c>
      <c r="C4467" s="2" t="s">
        <v>38</v>
      </c>
      <c r="D4467" s="2" t="s">
        <v>39</v>
      </c>
      <c r="E4467" s="5">
        <v>-31215</v>
      </c>
      <c r="F4467" s="3" t="s">
        <v>372</v>
      </c>
      <c r="G4467" s="3" t="s">
        <v>82</v>
      </c>
      <c r="H4467" s="2" t="s">
        <v>62</v>
      </c>
      <c r="I4467" s="2" t="s">
        <v>10393</v>
      </c>
      <c r="J4467" s="3" t="str">
        <f>HYPERLINK("https://www.boe.es/gazeta/dias/1814/07/14/pdfs/GMD-1814-98.pdf#page=3","Abrir facsímil")</f>
        <v>Abrir facsímil</v>
      </c>
      <c r="K4467" s="3" t="s">
        <v>64</v>
      </c>
    </row>
    <row r="4468" spans="1:11" ht="42" customHeight="1">
      <c r="A4468" s="2" t="s">
        <v>10394</v>
      </c>
      <c r="B4468" s="2" t="s">
        <v>10395</v>
      </c>
      <c r="C4468" s="2" t="s">
        <v>38</v>
      </c>
      <c r="D4468" s="2" t="s">
        <v>39</v>
      </c>
      <c r="E4468" s="5">
        <v>-31180</v>
      </c>
      <c r="F4468" s="3" t="s">
        <v>520</v>
      </c>
      <c r="G4468" s="3" t="s">
        <v>57</v>
      </c>
      <c r="H4468" s="2" t="s">
        <v>62</v>
      </c>
      <c r="I4468" s="2" t="s">
        <v>10396</v>
      </c>
      <c r="J4468" s="3" t="str">
        <f>HYPERLINK("https://www.boe.es/gazeta/dias/1814/08/18/pdfs/GMD-1814-113.pdf#page=6","Abrir facsímil")</f>
        <v>Abrir facsímil</v>
      </c>
      <c r="K4468" s="3" t="s">
        <v>64</v>
      </c>
    </row>
    <row r="4469" spans="1:11" ht="42" customHeight="1">
      <c r="A4469" s="2" t="s">
        <v>10397</v>
      </c>
      <c r="B4469" s="2" t="s">
        <v>10398</v>
      </c>
      <c r="C4469" s="2" t="s">
        <v>38</v>
      </c>
      <c r="D4469" s="2" t="s">
        <v>39</v>
      </c>
      <c r="E4469" s="5">
        <v>-31383</v>
      </c>
      <c r="F4469" s="3" t="s">
        <v>715</v>
      </c>
      <c r="G4469" s="3" t="s">
        <v>2727</v>
      </c>
      <c r="H4469" s="2" t="s">
        <v>62</v>
      </c>
      <c r="I4469" s="2" t="s">
        <v>10399</v>
      </c>
      <c r="J4469" s="3" t="str">
        <f>HYPERLINK("https://www.boe.es/gazeta/dias/1814/01/27/pdfs/GRE-1814-13.pdf#page=4","Abrir facsímil")</f>
        <v>Abrir facsímil</v>
      </c>
      <c r="K4469" s="3" t="s">
        <v>64</v>
      </c>
    </row>
    <row r="4470" spans="1:11" ht="42" customHeight="1">
      <c r="A4470" s="2" t="s">
        <v>10400</v>
      </c>
      <c r="B4470" s="2" t="s">
        <v>10401</v>
      </c>
      <c r="C4470" s="2" t="s">
        <v>26</v>
      </c>
      <c r="D4470" s="2" t="s">
        <v>27</v>
      </c>
      <c r="E4470" s="5">
        <v>-31220</v>
      </c>
      <c r="F4470" s="3" t="s">
        <v>122</v>
      </c>
      <c r="G4470" s="3" t="s">
        <v>57</v>
      </c>
      <c r="H4470" s="2" t="s">
        <v>62</v>
      </c>
      <c r="I4470" s="2" t="s">
        <v>10402</v>
      </c>
      <c r="J4470" s="3" t="str">
        <f>HYPERLINK("https://www.boe.es/gazeta/dias/1814/07/09/pdfs/GMD-1814-96.pdf#page=6","Abrir facsímil")</f>
        <v>Abrir facsímil</v>
      </c>
      <c r="K4470" s="3" t="s">
        <v>64</v>
      </c>
    </row>
    <row r="4471" spans="1:11" ht="42" customHeight="1">
      <c r="A4471" s="2" t="s">
        <v>10403</v>
      </c>
      <c r="B4471" s="2" t="s">
        <v>10404</v>
      </c>
      <c r="C4471" s="2" t="s">
        <v>38</v>
      </c>
      <c r="D4471" s="2" t="s">
        <v>39</v>
      </c>
      <c r="E4471" s="5">
        <v>-31094</v>
      </c>
      <c r="F4471" s="3" t="s">
        <v>761</v>
      </c>
      <c r="G4471" s="3" t="s">
        <v>20</v>
      </c>
      <c r="H4471" s="2" t="s">
        <v>62</v>
      </c>
      <c r="I4471" s="2" t="s">
        <v>10405</v>
      </c>
      <c r="J4471" s="3" t="str">
        <f>HYPERLINK("https://www.boe.es/gazeta/dias/1814/11/12/pdfs/GMD-1814-151.pdf#page=7","Abrir facsímil")</f>
        <v>Abrir facsímil</v>
      </c>
      <c r="K4471" s="3" t="s">
        <v>64</v>
      </c>
    </row>
    <row r="4472" spans="1:11" ht="42" customHeight="1">
      <c r="A4472" s="2" t="s">
        <v>10406</v>
      </c>
      <c r="B4472" s="2" t="s">
        <v>10407</v>
      </c>
      <c r="C4472" s="2" t="s">
        <v>45</v>
      </c>
      <c r="D4472" s="2" t="s">
        <v>18</v>
      </c>
      <c r="E4472" s="5">
        <v>-31129</v>
      </c>
      <c r="F4472" s="3" t="s">
        <v>418</v>
      </c>
      <c r="G4472" s="3" t="s">
        <v>20</v>
      </c>
      <c r="H4472" s="2" t="s">
        <v>62</v>
      </c>
      <c r="I4472" s="2" t="s">
        <v>10408</v>
      </c>
      <c r="J4472" s="3" t="str">
        <f>HYPERLINK("https://www.boe.es/gazeta/dias/1814/10/08/pdfs/GMD-1814-136.pdf#page=7","Abrir facsímil")</f>
        <v>Abrir facsímil</v>
      </c>
      <c r="K4472" s="3" t="s">
        <v>64</v>
      </c>
    </row>
    <row r="4473" spans="1:11" ht="42" customHeight="1">
      <c r="A4473" s="2" t="s">
        <v>10409</v>
      </c>
      <c r="B4473" s="2" t="s">
        <v>10409</v>
      </c>
      <c r="C4473" s="2" t="s">
        <v>38</v>
      </c>
      <c r="D4473" s="2" t="s">
        <v>39</v>
      </c>
      <c r="E4473" s="5">
        <v>-31388</v>
      </c>
      <c r="F4473" s="3" t="s">
        <v>1299</v>
      </c>
      <c r="G4473" s="3" t="s">
        <v>87</v>
      </c>
      <c r="H4473" s="2" t="s">
        <v>62</v>
      </c>
      <c r="I4473" s="2" t="s">
        <v>10410</v>
      </c>
      <c r="J4473" s="3" t="str">
        <f>HYPERLINK("https://www.boe.es/gazeta/dias/1814/01/22/pdfs/GRE-1814-11.pdf#page=2","Abrir facsímil")</f>
        <v>Abrir facsímil</v>
      </c>
      <c r="K4473" s="3" t="s">
        <v>64</v>
      </c>
    </row>
    <row r="4474" spans="1:11" ht="42" customHeight="1">
      <c r="A4474" s="2" t="s">
        <v>10411</v>
      </c>
      <c r="B4474" s="2" t="s">
        <v>10411</v>
      </c>
      <c r="C4474" s="2" t="s">
        <v>38</v>
      </c>
      <c r="D4474" s="2" t="s">
        <v>39</v>
      </c>
      <c r="E4474" s="5">
        <v>-31388</v>
      </c>
      <c r="F4474" s="3" t="s">
        <v>1299</v>
      </c>
      <c r="G4474" s="3" t="s">
        <v>107</v>
      </c>
      <c r="H4474" s="2" t="s">
        <v>62</v>
      </c>
      <c r="I4474" s="2" t="s">
        <v>10412</v>
      </c>
      <c r="J4474" s="3" t="str">
        <f>HYPERLINK("https://www.boe.es/gazeta/dias/1814/01/22/pdfs/GRE-1814-11.pdf#page=1","Abrir facsímil")</f>
        <v>Abrir facsímil</v>
      </c>
      <c r="K4474" s="3" t="s">
        <v>64</v>
      </c>
    </row>
    <row r="4475" spans="1:11" ht="42" customHeight="1">
      <c r="A4475" s="2" t="s">
        <v>10411</v>
      </c>
      <c r="B4475" s="2" t="s">
        <v>10411</v>
      </c>
      <c r="C4475" s="2" t="s">
        <v>38</v>
      </c>
      <c r="D4475" s="2" t="s">
        <v>39</v>
      </c>
      <c r="E4475" s="5">
        <v>-31388</v>
      </c>
      <c r="F4475" s="3" t="s">
        <v>1299</v>
      </c>
      <c r="G4475" s="3" t="s">
        <v>87</v>
      </c>
      <c r="H4475" s="2" t="s">
        <v>62</v>
      </c>
      <c r="I4475" s="2" t="s">
        <v>10413</v>
      </c>
      <c r="J4475" s="3" t="str">
        <f>HYPERLINK("https://www.boe.es/gazeta/dias/1814/01/22/pdfs/GRE-1814-11.pdf#page=2","Abrir facsímil")</f>
        <v>Abrir facsímil</v>
      </c>
      <c r="K4475" s="3" t="s">
        <v>64</v>
      </c>
    </row>
    <row r="4476" spans="1:11" ht="42" customHeight="1">
      <c r="A4476" s="2" t="s">
        <v>10414</v>
      </c>
      <c r="B4476" s="2" t="s">
        <v>10415</v>
      </c>
      <c r="C4476" s="2" t="s">
        <v>38</v>
      </c>
      <c r="D4476" s="2" t="s">
        <v>39</v>
      </c>
      <c r="E4476" s="5">
        <v>-31238</v>
      </c>
      <c r="F4476" s="3" t="s">
        <v>127</v>
      </c>
      <c r="G4476" s="3" t="s">
        <v>322</v>
      </c>
      <c r="H4476" s="2" t="s">
        <v>62</v>
      </c>
      <c r="I4476" s="2" t="s">
        <v>10416</v>
      </c>
      <c r="J4476" s="3" t="str">
        <f>HYPERLINK("https://www.boe.es/gazeta/dias/1814/06/21/pdfs/GMD-1814-88.pdf#page=12","Abrir facsímil")</f>
        <v>Abrir facsímil</v>
      </c>
      <c r="K4476" s="3" t="s">
        <v>64</v>
      </c>
    </row>
    <row r="4477" spans="1:11" ht="42" customHeight="1">
      <c r="A4477" s="2" t="s">
        <v>10417</v>
      </c>
      <c r="B4477" s="2" t="s">
        <v>10418</v>
      </c>
      <c r="C4477" s="2" t="s">
        <v>26</v>
      </c>
      <c r="D4477" s="2" t="s">
        <v>27</v>
      </c>
      <c r="E4477" s="5">
        <v>-31213</v>
      </c>
      <c r="F4477" s="3" t="s">
        <v>276</v>
      </c>
      <c r="G4477" s="3" t="s">
        <v>57</v>
      </c>
      <c r="H4477" s="2" t="s">
        <v>62</v>
      </c>
      <c r="I4477" s="2" t="s">
        <v>10419</v>
      </c>
      <c r="J4477" s="3" t="str">
        <f>HYPERLINK("https://www.boe.es/gazeta/dias/1814/07/16/pdfs/GMD-1814-99.pdf#page=6","Abrir facsímil")</f>
        <v>Abrir facsímil</v>
      </c>
      <c r="K4477" s="3" t="s">
        <v>64</v>
      </c>
    </row>
    <row r="4478" spans="1:11" ht="42" customHeight="1">
      <c r="A4478" s="2" t="s">
        <v>10420</v>
      </c>
      <c r="B4478" s="2" t="s">
        <v>10420</v>
      </c>
      <c r="C4478" s="2" t="s">
        <v>38</v>
      </c>
      <c r="D4478" s="2" t="s">
        <v>39</v>
      </c>
      <c r="E4478" s="5">
        <v>-31262</v>
      </c>
      <c r="F4478" s="3" t="s">
        <v>254</v>
      </c>
      <c r="G4478" s="3" t="s">
        <v>99</v>
      </c>
      <c r="H4478" s="2" t="s">
        <v>62</v>
      </c>
      <c r="I4478" s="2" t="s">
        <v>10421</v>
      </c>
      <c r="J4478" s="3" t="str">
        <f>HYPERLINK("https://www.boe.es/gazeta/dias/1814/05/28/pdfs/GMD-1814-78.pdf#page=5","Abrir facsímil")</f>
        <v>Abrir facsímil</v>
      </c>
      <c r="K4478" s="3" t="s">
        <v>64</v>
      </c>
    </row>
    <row r="4479" spans="1:11" ht="42" customHeight="1">
      <c r="A4479" s="2" t="s">
        <v>10422</v>
      </c>
      <c r="B4479" s="2" t="s">
        <v>10423</v>
      </c>
      <c r="C4479" s="2" t="s">
        <v>38</v>
      </c>
      <c r="D4479" s="2" t="s">
        <v>39</v>
      </c>
      <c r="E4479" s="5">
        <v>-31339</v>
      </c>
      <c r="F4479" s="3" t="s">
        <v>641</v>
      </c>
      <c r="G4479" s="3" t="s">
        <v>57</v>
      </c>
      <c r="H4479" s="2" t="s">
        <v>62</v>
      </c>
      <c r="I4479" s="2" t="s">
        <v>10424</v>
      </c>
      <c r="J4479" s="3" t="str">
        <f>HYPERLINK("https://www.boe.es/gazeta/dias/1814/03/12/pdfs/GRE-1814-35.pdf#page=6","Abrir facsímil")</f>
        <v>Abrir facsímil</v>
      </c>
      <c r="K4479" s="3" t="s">
        <v>64</v>
      </c>
    </row>
    <row r="4480" spans="1:11" ht="42" customHeight="1">
      <c r="A4480" s="2" t="s">
        <v>10425</v>
      </c>
      <c r="B4480" s="2" t="s">
        <v>10426</v>
      </c>
      <c r="C4480" s="2" t="s">
        <v>17</v>
      </c>
      <c r="D4480" s="2" t="s">
        <v>18</v>
      </c>
      <c r="E4480" s="5">
        <v>-31311</v>
      </c>
      <c r="F4480" s="3" t="s">
        <v>3144</v>
      </c>
      <c r="G4480" s="3" t="s">
        <v>41</v>
      </c>
      <c r="H4480" s="2" t="s">
        <v>62</v>
      </c>
      <c r="I4480" s="2" t="s">
        <v>10427</v>
      </c>
      <c r="J4480" s="3" t="str">
        <f>HYPERLINK("https://www.boe.es/gazeta/dias/1814/04/09/pdfs/GRE-1814-51.pdf#page=4","Abrir facsímil")</f>
        <v>Abrir facsímil</v>
      </c>
      <c r="K4480" s="3" t="s">
        <v>64</v>
      </c>
    </row>
    <row r="4481" spans="1:11" ht="42" customHeight="1">
      <c r="A4481" s="2" t="s">
        <v>10428</v>
      </c>
      <c r="B4481" s="2" t="s">
        <v>10429</v>
      </c>
      <c r="C4481" s="2" t="s">
        <v>45</v>
      </c>
      <c r="D4481" s="2" t="s">
        <v>18</v>
      </c>
      <c r="E4481" s="5">
        <v>-31173</v>
      </c>
      <c r="F4481" s="3" t="s">
        <v>46</v>
      </c>
      <c r="G4481" s="3" t="s">
        <v>20</v>
      </c>
      <c r="H4481" s="2" t="s">
        <v>62</v>
      </c>
      <c r="I4481" s="2" t="s">
        <v>10430</v>
      </c>
      <c r="J4481" s="3" t="str">
        <f>HYPERLINK("https://www.boe.es/gazeta/dias/1814/08/25/pdfs/GMD-1814-116.pdf#page=7","Abrir facsímil")</f>
        <v>Abrir facsímil</v>
      </c>
      <c r="K4481" s="3" t="s">
        <v>64</v>
      </c>
    </row>
    <row r="4482" spans="1:11" ht="42" customHeight="1">
      <c r="A4482" s="2" t="s">
        <v>10431</v>
      </c>
      <c r="B4482" s="2" t="s">
        <v>10432</v>
      </c>
      <c r="C4482" s="2" t="s">
        <v>309</v>
      </c>
      <c r="D4482" s="2" t="s">
        <v>18</v>
      </c>
      <c r="E4482" s="5">
        <v>-31262</v>
      </c>
      <c r="F4482" s="3" t="s">
        <v>254</v>
      </c>
      <c r="G4482" s="3" t="s">
        <v>99</v>
      </c>
      <c r="H4482" s="2" t="s">
        <v>62</v>
      </c>
      <c r="I4482" s="2" t="s">
        <v>10433</v>
      </c>
      <c r="J4482" s="3" t="str">
        <f>HYPERLINK("https://www.boe.es/gazeta/dias/1814/05/28/pdfs/GMD-1814-78.pdf#page=5","Abrir facsímil")</f>
        <v>Abrir facsímil</v>
      </c>
      <c r="K4482" s="3" t="s">
        <v>64</v>
      </c>
    </row>
    <row r="4483" spans="1:11" ht="42" customHeight="1">
      <c r="A4483" s="2" t="s">
        <v>10434</v>
      </c>
      <c r="B4483" s="2" t="s">
        <v>10435</v>
      </c>
      <c r="C4483" s="2" t="s">
        <v>38</v>
      </c>
      <c r="D4483" s="2" t="s">
        <v>314</v>
      </c>
      <c r="E4483" s="5">
        <v>-31328</v>
      </c>
      <c r="F4483" s="3" t="s">
        <v>442</v>
      </c>
      <c r="G4483" s="3" t="s">
        <v>82</v>
      </c>
      <c r="H4483" s="2" t="s">
        <v>62</v>
      </c>
      <c r="I4483" s="2" t="s">
        <v>10436</v>
      </c>
      <c r="J4483" s="3" t="str">
        <f>HYPERLINK("https://www.boe.es/gazeta/dias/1814/03/23/pdfs/GRE-1814-40E.pdf#page=3","Abrir facsímil")</f>
        <v>Abrir facsímil</v>
      </c>
      <c r="K4483" s="3" t="s">
        <v>64</v>
      </c>
    </row>
    <row r="4484" spans="1:11" ht="42" customHeight="1">
      <c r="A4484" s="2" t="s">
        <v>10437</v>
      </c>
      <c r="B4484" s="2" t="s">
        <v>10438</v>
      </c>
      <c r="C4484" s="2" t="s">
        <v>26</v>
      </c>
      <c r="D4484" s="2" t="s">
        <v>27</v>
      </c>
      <c r="E4484" s="5">
        <v>-31185</v>
      </c>
      <c r="F4484" s="3" t="s">
        <v>1238</v>
      </c>
      <c r="G4484" s="3" t="s">
        <v>3166</v>
      </c>
      <c r="H4484" s="2" t="s">
        <v>62</v>
      </c>
      <c r="I4484" s="2" t="s">
        <v>10439</v>
      </c>
      <c r="J4484" s="3" t="str">
        <f>HYPERLINK("https://www.boe.es/gazeta/dias/1814/08/13/pdfs/GMD-1814-111.pdf#page=7","Abrir facsímil")</f>
        <v>Abrir facsímil</v>
      </c>
      <c r="K4484" s="3" t="s">
        <v>64</v>
      </c>
    </row>
    <row r="4485" spans="1:11" ht="42" customHeight="1">
      <c r="A4485" s="2" t="s">
        <v>10440</v>
      </c>
      <c r="B4485" s="2" t="s">
        <v>10441</v>
      </c>
      <c r="C4485" s="2" t="s">
        <v>32</v>
      </c>
      <c r="D4485" s="2" t="s">
        <v>18</v>
      </c>
      <c r="E4485" s="5">
        <v>-31297</v>
      </c>
      <c r="F4485" s="3" t="s">
        <v>737</v>
      </c>
      <c r="G4485" s="3" t="s">
        <v>52</v>
      </c>
      <c r="H4485" s="2" t="s">
        <v>62</v>
      </c>
      <c r="I4485" s="2" t="s">
        <v>10442</v>
      </c>
      <c r="J4485" s="3" t="str">
        <f>HYPERLINK("https://www.boe.es/gazeta/dias/1814/04/23/pdfs/GRE-1814-59.pdf#page=8","Abrir facsímil")</f>
        <v>Abrir facsímil</v>
      </c>
      <c r="K4485" s="3" t="s">
        <v>64</v>
      </c>
    </row>
    <row r="4486" spans="1:11" ht="42" customHeight="1">
      <c r="A4486" s="2" t="s">
        <v>10443</v>
      </c>
      <c r="B4486" s="2" t="s">
        <v>10444</v>
      </c>
      <c r="C4486" s="2" t="s">
        <v>38</v>
      </c>
      <c r="D4486" s="2" t="s">
        <v>314</v>
      </c>
      <c r="E4486" s="5">
        <v>-31296</v>
      </c>
      <c r="F4486" s="3" t="s">
        <v>315</v>
      </c>
      <c r="G4486" s="3" t="s">
        <v>52</v>
      </c>
      <c r="H4486" s="2" t="s">
        <v>62</v>
      </c>
      <c r="I4486" s="2" t="s">
        <v>10445</v>
      </c>
      <c r="J4486" s="3" t="str">
        <f>HYPERLINK("https://www.boe.es/gazeta/dias/1814/04/24/pdfs/GRE-1814-60E.pdf#page=8","Abrir facsímil")</f>
        <v>Abrir facsímil</v>
      </c>
      <c r="K4486" s="3" t="s">
        <v>64</v>
      </c>
    </row>
    <row r="4487" spans="1:11" ht="42" customHeight="1">
      <c r="A4487" s="2" t="s">
        <v>10446</v>
      </c>
      <c r="B4487" s="2" t="s">
        <v>10447</v>
      </c>
      <c r="C4487" s="2" t="s">
        <v>38</v>
      </c>
      <c r="D4487" s="2" t="s">
        <v>39</v>
      </c>
      <c r="E4487" s="5">
        <v>-31157</v>
      </c>
      <c r="F4487" s="3" t="s">
        <v>206</v>
      </c>
      <c r="G4487" s="3" t="s">
        <v>10448</v>
      </c>
      <c r="H4487" s="2" t="s">
        <v>62</v>
      </c>
      <c r="I4487" s="2" t="s">
        <v>10449</v>
      </c>
      <c r="J4487" s="3" t="str">
        <f>HYPERLINK("https://www.boe.es/gazeta/dias/1814/09/10/pdfs/GMD-1814-124.pdf#page=3","Abrir facsímil")</f>
        <v>Abrir facsímil</v>
      </c>
      <c r="K4487" s="3" t="s">
        <v>64</v>
      </c>
    </row>
    <row r="4488" spans="1:11" ht="42" customHeight="1">
      <c r="A4488" s="2" t="s">
        <v>10450</v>
      </c>
      <c r="B4488" s="2" t="s">
        <v>10451</v>
      </c>
      <c r="C4488" s="2" t="s">
        <v>38</v>
      </c>
      <c r="D4488" s="2" t="s">
        <v>314</v>
      </c>
      <c r="E4488" s="5">
        <v>-31328</v>
      </c>
      <c r="F4488" s="3" t="s">
        <v>442</v>
      </c>
      <c r="G4488" s="3" t="s">
        <v>82</v>
      </c>
      <c r="H4488" s="2" t="s">
        <v>62</v>
      </c>
      <c r="I4488" s="2" t="s">
        <v>10452</v>
      </c>
      <c r="J4488" s="3" t="str">
        <f>HYPERLINK("https://www.boe.es/gazeta/dias/1814/03/23/pdfs/GRE-1814-40E.pdf#page=3","Abrir facsímil")</f>
        <v>Abrir facsímil</v>
      </c>
      <c r="K4488" s="3" t="s">
        <v>64</v>
      </c>
    </row>
    <row r="4489" spans="1:11" ht="42" customHeight="1">
      <c r="A4489" s="2" t="s">
        <v>10453</v>
      </c>
      <c r="B4489" s="2" t="s">
        <v>10454</v>
      </c>
      <c r="C4489" s="2" t="s">
        <v>105</v>
      </c>
      <c r="D4489" s="2" t="s">
        <v>18</v>
      </c>
      <c r="E4489" s="5">
        <v>-31096</v>
      </c>
      <c r="F4489" s="3" t="s">
        <v>223</v>
      </c>
      <c r="G4489" s="3" t="s">
        <v>972</v>
      </c>
      <c r="H4489" s="2" t="s">
        <v>62</v>
      </c>
      <c r="I4489" s="2" t="s">
        <v>10455</v>
      </c>
      <c r="J4489" s="3" t="str">
        <f>HYPERLINK("https://www.boe.es/gazeta/dias/1814/11/10/pdfs/GMD-1814-150.pdf#page=8","Abrir facsímil")</f>
        <v>Abrir facsímil</v>
      </c>
      <c r="K4489" s="3" t="s">
        <v>64</v>
      </c>
    </row>
    <row r="4490" spans="1:11" ht="42" customHeight="1">
      <c r="A4490" s="2" t="s">
        <v>10456</v>
      </c>
      <c r="B4490" s="2" t="s">
        <v>10457</v>
      </c>
      <c r="C4490" s="2" t="s">
        <v>38</v>
      </c>
      <c r="D4490" s="2" t="s">
        <v>39</v>
      </c>
      <c r="E4490" s="5">
        <v>-31329</v>
      </c>
      <c r="F4490" s="3" t="s">
        <v>621</v>
      </c>
      <c r="G4490" s="3" t="s">
        <v>2755</v>
      </c>
      <c r="H4490" s="2" t="s">
        <v>62</v>
      </c>
      <c r="I4490" s="2" t="s">
        <v>10458</v>
      </c>
      <c r="J4490" s="3" t="str">
        <f>HYPERLINK("https://www.boe.es/gazeta/dias/1814/03/22/pdfs/GRE-1814-39.pdf#page=8","Abrir facsímil")</f>
        <v>Abrir facsímil</v>
      </c>
      <c r="K4490" s="3" t="s">
        <v>64</v>
      </c>
    </row>
    <row r="4491" spans="1:11" ht="42" customHeight="1">
      <c r="A4491" s="2" t="s">
        <v>10459</v>
      </c>
      <c r="B4491" s="2" t="s">
        <v>10460</v>
      </c>
      <c r="C4491" s="2" t="s">
        <v>26</v>
      </c>
      <c r="D4491" s="2" t="s">
        <v>27</v>
      </c>
      <c r="E4491" s="5">
        <v>-31238</v>
      </c>
      <c r="F4491" s="3" t="s">
        <v>127</v>
      </c>
      <c r="G4491" s="3" t="s">
        <v>20</v>
      </c>
      <c r="H4491" s="2" t="s">
        <v>62</v>
      </c>
      <c r="I4491" s="2" t="s">
        <v>10461</v>
      </c>
      <c r="J4491" s="3" t="str">
        <f>HYPERLINK("https://www.boe.es/gazeta/dias/1814/06/21/pdfs/GMD-1814-88.pdf#page=7","Abrir facsímil")</f>
        <v>Abrir facsímil</v>
      </c>
      <c r="K4491" s="3" t="s">
        <v>64</v>
      </c>
    </row>
    <row r="4492" spans="1:11" ht="42" customHeight="1">
      <c r="A4492" s="2" t="s">
        <v>10462</v>
      </c>
      <c r="B4492" s="2" t="s">
        <v>10463</v>
      </c>
      <c r="C4492" s="2" t="s">
        <v>38</v>
      </c>
      <c r="D4492" s="2" t="s">
        <v>314</v>
      </c>
      <c r="E4492" s="5">
        <v>-31328</v>
      </c>
      <c r="F4492" s="3" t="s">
        <v>442</v>
      </c>
      <c r="G4492" s="3" t="s">
        <v>57</v>
      </c>
      <c r="H4492" s="2" t="s">
        <v>62</v>
      </c>
      <c r="I4492" s="2" t="s">
        <v>10464</v>
      </c>
      <c r="J4492" s="3" t="str">
        <f>HYPERLINK("https://www.boe.es/gazeta/dias/1814/03/23/pdfs/GRE-1814-40E.pdf#page=6","Abrir facsímil")</f>
        <v>Abrir facsímil</v>
      </c>
      <c r="K4492" s="3" t="s">
        <v>64</v>
      </c>
    </row>
    <row r="4493" spans="1:11" ht="42" customHeight="1">
      <c r="A4493" s="2" t="s">
        <v>10465</v>
      </c>
      <c r="B4493" s="2" t="s">
        <v>10466</v>
      </c>
      <c r="C4493" s="2" t="s">
        <v>38</v>
      </c>
      <c r="D4493" s="2" t="s">
        <v>314</v>
      </c>
      <c r="E4493" s="5">
        <v>-31296</v>
      </c>
      <c r="F4493" s="3" t="s">
        <v>315</v>
      </c>
      <c r="G4493" s="3" t="s">
        <v>52</v>
      </c>
      <c r="H4493" s="2" t="s">
        <v>62</v>
      </c>
      <c r="I4493" s="2" t="s">
        <v>10467</v>
      </c>
      <c r="J4493" s="3" t="str">
        <f>HYPERLINK("https://www.boe.es/gazeta/dias/1814/04/24/pdfs/GRE-1814-60E.pdf#page=8","Abrir facsímil")</f>
        <v>Abrir facsímil</v>
      </c>
      <c r="K4493" s="3" t="s">
        <v>64</v>
      </c>
    </row>
    <row r="4494" spans="1:11" ht="42" customHeight="1">
      <c r="A4494" s="2" t="s">
        <v>10468</v>
      </c>
      <c r="B4494" s="2" t="s">
        <v>10469</v>
      </c>
      <c r="C4494" s="2" t="s">
        <v>38</v>
      </c>
      <c r="D4494" s="2" t="s">
        <v>39</v>
      </c>
      <c r="E4494" s="5">
        <v>-31192</v>
      </c>
      <c r="F4494" s="3" t="s">
        <v>388</v>
      </c>
      <c r="G4494" s="3" t="s">
        <v>20</v>
      </c>
      <c r="H4494" s="2" t="s">
        <v>62</v>
      </c>
      <c r="I4494" s="2" t="s">
        <v>10470</v>
      </c>
      <c r="J4494" s="3" t="str">
        <f>HYPERLINK("https://www.boe.es/gazeta/dias/1814/08/06/pdfs/GMD-1814-108.pdf#page=7","Abrir facsímil")</f>
        <v>Abrir facsímil</v>
      </c>
      <c r="K4494" s="3" t="s">
        <v>64</v>
      </c>
    </row>
    <row r="4495" spans="1:11" ht="42" customHeight="1">
      <c r="A4495" s="2" t="s">
        <v>10468</v>
      </c>
      <c r="B4495" s="2" t="s">
        <v>10469</v>
      </c>
      <c r="C4495" s="2" t="s">
        <v>17</v>
      </c>
      <c r="D4495" s="2" t="s">
        <v>18</v>
      </c>
      <c r="E4495" s="5">
        <v>-31152</v>
      </c>
      <c r="F4495" s="3" t="s">
        <v>199</v>
      </c>
      <c r="G4495" s="3" t="s">
        <v>20</v>
      </c>
      <c r="H4495" s="2" t="s">
        <v>62</v>
      </c>
      <c r="I4495" s="2" t="s">
        <v>10471</v>
      </c>
      <c r="J4495" s="3" t="str">
        <f>HYPERLINK("https://www.boe.es/gazeta/dias/1814/09/15/pdfs/GMD-1814-126.pdf#page=7","Abrir facsímil")</f>
        <v>Abrir facsímil</v>
      </c>
      <c r="K4495" s="3" t="s">
        <v>64</v>
      </c>
    </row>
    <row r="4496" spans="1:11" ht="42" customHeight="1">
      <c r="A4496" s="2" t="s">
        <v>10472</v>
      </c>
      <c r="B4496" s="2" t="s">
        <v>10473</v>
      </c>
      <c r="C4496" s="2" t="s">
        <v>26</v>
      </c>
      <c r="D4496" s="2" t="s">
        <v>27</v>
      </c>
      <c r="E4496" s="5">
        <v>-31250</v>
      </c>
      <c r="F4496" s="3" t="s">
        <v>177</v>
      </c>
      <c r="G4496" s="3" t="s">
        <v>52</v>
      </c>
      <c r="H4496" s="2" t="s">
        <v>21</v>
      </c>
      <c r="I4496" s="2" t="s">
        <v>10474</v>
      </c>
      <c r="J4496" s="3" t="str">
        <f>HYPERLINK("https://www.boe.es/gazeta/dias/1814/06/09/pdfs/GMD-1814-83.pdf#page=8","Abrir facsímil")</f>
        <v>Abrir facsímil</v>
      </c>
      <c r="K4496" s="3" t="s">
        <v>23</v>
      </c>
    </row>
    <row r="4497" spans="1:11" ht="42" customHeight="1">
      <c r="A4497" s="2" t="s">
        <v>10475</v>
      </c>
      <c r="B4497" s="2" t="s">
        <v>10476</v>
      </c>
      <c r="C4497" s="2" t="s">
        <v>38</v>
      </c>
      <c r="D4497" s="2" t="s">
        <v>39</v>
      </c>
      <c r="E4497" s="5">
        <v>-31180</v>
      </c>
      <c r="F4497" s="3" t="s">
        <v>520</v>
      </c>
      <c r="G4497" s="3" t="s">
        <v>602</v>
      </c>
      <c r="H4497" s="2" t="s">
        <v>62</v>
      </c>
      <c r="I4497" s="2" t="s">
        <v>10477</v>
      </c>
      <c r="J4497" s="3" t="str">
        <f>HYPERLINK("https://www.boe.es/gazeta/dias/1814/08/18/pdfs/GMD-1814-113.pdf#page=8","Abrir facsímil")</f>
        <v>Abrir facsímil</v>
      </c>
      <c r="K4497" s="3" t="s">
        <v>64</v>
      </c>
    </row>
    <row r="4498" spans="1:11" ht="42" customHeight="1">
      <c r="A4498" s="2" t="s">
        <v>10478</v>
      </c>
      <c r="B4498" s="2" t="s">
        <v>10479</v>
      </c>
      <c r="C4498" s="2" t="s">
        <v>144</v>
      </c>
      <c r="D4498" s="2" t="s">
        <v>18</v>
      </c>
      <c r="E4498" s="5">
        <v>-31045</v>
      </c>
      <c r="F4498" s="3" t="s">
        <v>165</v>
      </c>
      <c r="G4498" s="3" t="s">
        <v>52</v>
      </c>
      <c r="H4498" s="2" t="s">
        <v>62</v>
      </c>
      <c r="I4498" s="2" t="s">
        <v>10480</v>
      </c>
      <c r="J4498" s="3" t="str">
        <f>HYPERLINK("https://www.boe.es/gazeta/dias/1814/12/31/pdfs/GMD-1814-173.pdf#page=8","Abrir facsímil")</f>
        <v>Abrir facsímil</v>
      </c>
      <c r="K4498" s="3" t="s">
        <v>64</v>
      </c>
    </row>
    <row r="4499" spans="1:11" ht="42" customHeight="1">
      <c r="A4499" s="2" t="s">
        <v>10481</v>
      </c>
      <c r="B4499" s="2" t="s">
        <v>10482</v>
      </c>
      <c r="C4499" s="2" t="s">
        <v>17</v>
      </c>
      <c r="D4499" s="2" t="s">
        <v>18</v>
      </c>
      <c r="E4499" s="5">
        <v>-31154</v>
      </c>
      <c r="F4499" s="3" t="s">
        <v>688</v>
      </c>
      <c r="G4499" s="3" t="s">
        <v>831</v>
      </c>
      <c r="H4499" s="2" t="s">
        <v>62</v>
      </c>
      <c r="I4499" s="2" t="s">
        <v>10483</v>
      </c>
      <c r="J4499" s="3" t="str">
        <f>HYPERLINK("https://www.boe.es/gazeta/dias/1814/09/13/pdfs/GMD-1814-125.pdf#page=3","Abrir facsímil")</f>
        <v>Abrir facsímil</v>
      </c>
      <c r="K4499" s="3" t="s">
        <v>64</v>
      </c>
    </row>
    <row r="4500" spans="1:11" ht="42" customHeight="1">
      <c r="A4500" s="2" t="s">
        <v>10484</v>
      </c>
      <c r="B4500" s="2" t="s">
        <v>10485</v>
      </c>
      <c r="C4500" s="2" t="s">
        <v>32</v>
      </c>
      <c r="D4500" s="2" t="s">
        <v>18</v>
      </c>
      <c r="E4500" s="5">
        <v>-31096</v>
      </c>
      <c r="F4500" s="3" t="s">
        <v>223</v>
      </c>
      <c r="G4500" s="3" t="s">
        <v>41</v>
      </c>
      <c r="H4500" s="2" t="s">
        <v>62</v>
      </c>
      <c r="I4500" s="2" t="s">
        <v>10486</v>
      </c>
      <c r="J4500" s="3" t="str">
        <f>HYPERLINK("https://www.boe.es/gazeta/dias/1814/11/10/pdfs/GMD-1814-150.pdf#page=4","Abrir facsímil")</f>
        <v>Abrir facsímil</v>
      </c>
      <c r="K4500" s="3" t="s">
        <v>64</v>
      </c>
    </row>
    <row r="4501" spans="1:11" ht="42" customHeight="1">
      <c r="A4501" s="2" t="s">
        <v>10487</v>
      </c>
      <c r="B4501" s="2" t="s">
        <v>10488</v>
      </c>
      <c r="C4501" s="2" t="s">
        <v>26</v>
      </c>
      <c r="D4501" s="2" t="s">
        <v>27</v>
      </c>
      <c r="E4501" s="5">
        <v>-31119</v>
      </c>
      <c r="F4501" s="3" t="s">
        <v>136</v>
      </c>
      <c r="G4501" s="3" t="s">
        <v>704</v>
      </c>
      <c r="H4501" s="2" t="s">
        <v>62</v>
      </c>
      <c r="I4501" s="2" t="s">
        <v>10489</v>
      </c>
      <c r="J4501" s="3" t="str">
        <f>HYPERLINK("https://www.boe.es/gazeta/dias/1814/10/18/pdfs/GMD-1814-140.pdf#page=10","Abrir facsímil")</f>
        <v>Abrir facsímil</v>
      </c>
      <c r="K4501" s="3" t="s">
        <v>64</v>
      </c>
    </row>
    <row r="4502" spans="1:11" ht="42" customHeight="1">
      <c r="A4502" s="2" t="s">
        <v>10490</v>
      </c>
      <c r="B4502" s="2" t="s">
        <v>10491</v>
      </c>
      <c r="C4502" s="2" t="s">
        <v>38</v>
      </c>
      <c r="D4502" s="2" t="s">
        <v>39</v>
      </c>
      <c r="E4502" s="5">
        <v>-31290</v>
      </c>
      <c r="F4502" s="3" t="s">
        <v>488</v>
      </c>
      <c r="G4502" s="3" t="s">
        <v>87</v>
      </c>
      <c r="H4502" s="2" t="s">
        <v>62</v>
      </c>
      <c r="I4502" s="2" t="s">
        <v>10492</v>
      </c>
      <c r="J4502" s="3" t="str">
        <f>HYPERLINK("https://www.boe.es/gazeta/dias/1814/04/30/pdfs/GRE-1814-64.pdf#page=2","Abrir facsímil")</f>
        <v>Abrir facsímil</v>
      </c>
      <c r="K4502" s="3" t="s">
        <v>64</v>
      </c>
    </row>
    <row r="4503" spans="1:11" ht="42" customHeight="1">
      <c r="A4503" s="2" t="s">
        <v>10493</v>
      </c>
      <c r="B4503" s="2" t="s">
        <v>10493</v>
      </c>
      <c r="C4503" s="2" t="s">
        <v>38</v>
      </c>
      <c r="D4503" s="2" t="s">
        <v>39</v>
      </c>
      <c r="E4503" s="5">
        <v>-31397</v>
      </c>
      <c r="F4503" s="3" t="s">
        <v>929</v>
      </c>
      <c r="G4503" s="3" t="s">
        <v>107</v>
      </c>
      <c r="H4503" s="2" t="s">
        <v>62</v>
      </c>
      <c r="I4503" s="2" t="s">
        <v>10494</v>
      </c>
      <c r="J4503" s="3" t="str">
        <f>HYPERLINK("https://www.boe.es/gazeta/dias/1814/01/13/pdfs/GRE-1814-7.pdf#page=1","Abrir facsímil")</f>
        <v>Abrir facsímil</v>
      </c>
      <c r="K4503" s="3" t="s">
        <v>64</v>
      </c>
    </row>
    <row r="4504" spans="1:11" ht="42" customHeight="1">
      <c r="A4504" s="2" t="s">
        <v>10495</v>
      </c>
      <c r="B4504" s="2" t="s">
        <v>10496</v>
      </c>
      <c r="C4504" s="2" t="s">
        <v>38</v>
      </c>
      <c r="D4504" s="2" t="s">
        <v>314</v>
      </c>
      <c r="E4504" s="5">
        <v>-31296</v>
      </c>
      <c r="F4504" s="3" t="s">
        <v>315</v>
      </c>
      <c r="G4504" s="3" t="s">
        <v>52</v>
      </c>
      <c r="H4504" s="2" t="s">
        <v>62</v>
      </c>
      <c r="I4504" s="2" t="s">
        <v>10497</v>
      </c>
      <c r="J4504" s="3" t="str">
        <f>HYPERLINK("https://www.boe.es/gazeta/dias/1814/04/24/pdfs/GRE-1814-60E.pdf#page=8","Abrir facsímil")</f>
        <v>Abrir facsímil</v>
      </c>
      <c r="K4504" s="3" t="s">
        <v>64</v>
      </c>
    </row>
    <row r="4505" spans="1:11" ht="42" customHeight="1">
      <c r="A4505" s="2" t="s">
        <v>10498</v>
      </c>
      <c r="B4505" s="2" t="s">
        <v>10499</v>
      </c>
      <c r="C4505" s="2" t="s">
        <v>17</v>
      </c>
      <c r="D4505" s="2" t="s">
        <v>18</v>
      </c>
      <c r="E4505" s="5">
        <v>-31194</v>
      </c>
      <c r="F4505" s="3" t="s">
        <v>333</v>
      </c>
      <c r="G4505" s="3" t="s">
        <v>57</v>
      </c>
      <c r="H4505" s="2" t="s">
        <v>62</v>
      </c>
      <c r="I4505" s="2" t="s">
        <v>10500</v>
      </c>
      <c r="J4505" s="3" t="str">
        <f>HYPERLINK("https://www.boe.es/gazeta/dias/1814/08/04/pdfs/GMD-1814-107.pdf#page=6","Abrir facsímil")</f>
        <v>Abrir facsímil</v>
      </c>
      <c r="K4505" s="3" t="s">
        <v>64</v>
      </c>
    </row>
    <row r="4506" spans="1:11" ht="42" customHeight="1">
      <c r="A4506" s="2" t="s">
        <v>10501</v>
      </c>
      <c r="B4506" s="2" t="s">
        <v>10502</v>
      </c>
      <c r="C4506" s="2" t="s">
        <v>38</v>
      </c>
      <c r="D4506" s="2" t="s">
        <v>39</v>
      </c>
      <c r="E4506" s="5">
        <v>-31196</v>
      </c>
      <c r="F4506" s="3" t="s">
        <v>828</v>
      </c>
      <c r="G4506" s="3" t="s">
        <v>52</v>
      </c>
      <c r="H4506" s="2" t="s">
        <v>62</v>
      </c>
      <c r="I4506" s="2" t="s">
        <v>10503</v>
      </c>
      <c r="J4506" s="3" t="str">
        <f>HYPERLINK("https://www.boe.es/gazeta/dias/1814/08/02/pdfs/GMD-1814-106.pdf#page=8","Abrir facsímil")</f>
        <v>Abrir facsímil</v>
      </c>
      <c r="K4506" s="3" t="s">
        <v>64</v>
      </c>
    </row>
    <row r="4507" spans="1:11" ht="42" customHeight="1">
      <c r="A4507" s="2" t="s">
        <v>10504</v>
      </c>
      <c r="B4507" s="2" t="s">
        <v>10505</v>
      </c>
      <c r="C4507" s="2" t="s">
        <v>38</v>
      </c>
      <c r="D4507" s="2" t="s">
        <v>39</v>
      </c>
      <c r="E4507" s="5">
        <v>-31133</v>
      </c>
      <c r="F4507" s="3" t="s">
        <v>184</v>
      </c>
      <c r="G4507" s="3" t="s">
        <v>1243</v>
      </c>
      <c r="H4507" s="2" t="s">
        <v>62</v>
      </c>
      <c r="I4507" s="2" t="s">
        <v>10506</v>
      </c>
      <c r="J4507" s="3" t="str">
        <f>HYPERLINK("https://www.boe.es/gazeta/dias/1814/10/04/pdfs/GMD-1814-134.pdf#page=8","Abrir facsímil")</f>
        <v>Abrir facsímil</v>
      </c>
      <c r="K4507" s="3" t="s">
        <v>64</v>
      </c>
    </row>
    <row r="4508" spans="1:11" ht="42" customHeight="1">
      <c r="A4508" s="2" t="s">
        <v>10507</v>
      </c>
      <c r="B4508" s="2" t="s">
        <v>10508</v>
      </c>
      <c r="C4508" s="2" t="s">
        <v>38</v>
      </c>
      <c r="D4508" s="2" t="s">
        <v>39</v>
      </c>
      <c r="E4508" s="5">
        <v>-31112</v>
      </c>
      <c r="F4508" s="3" t="s">
        <v>707</v>
      </c>
      <c r="G4508" s="3" t="s">
        <v>20</v>
      </c>
      <c r="H4508" s="2" t="s">
        <v>62</v>
      </c>
      <c r="I4508" s="2" t="s">
        <v>10509</v>
      </c>
      <c r="J4508" s="3" t="str">
        <f>HYPERLINK("https://www.boe.es/gazeta/dias/1814/10/25/pdfs/GMD-1814-143.pdf#page=7","Abrir facsímil")</f>
        <v>Abrir facsímil</v>
      </c>
      <c r="K4508" s="3" t="s">
        <v>64</v>
      </c>
    </row>
    <row r="4509" spans="1:11" ht="42" customHeight="1">
      <c r="A4509" s="2" t="s">
        <v>10510</v>
      </c>
      <c r="B4509" s="2" t="s">
        <v>10511</v>
      </c>
      <c r="C4509" s="2" t="s">
        <v>45</v>
      </c>
      <c r="D4509" s="2" t="s">
        <v>18</v>
      </c>
      <c r="E4509" s="5">
        <v>-31117</v>
      </c>
      <c r="F4509" s="3" t="s">
        <v>172</v>
      </c>
      <c r="G4509" s="3" t="s">
        <v>392</v>
      </c>
      <c r="H4509" s="2" t="s">
        <v>62</v>
      </c>
      <c r="I4509" s="2" t="s">
        <v>10512</v>
      </c>
      <c r="J4509" s="3" t="str">
        <f>HYPERLINK("https://www.boe.es/gazeta/dias/1814/10/20/pdfs/GMD-1814-141.pdf#page=8","Abrir facsímil")</f>
        <v>Abrir facsímil</v>
      </c>
      <c r="K4509" s="3" t="s">
        <v>64</v>
      </c>
    </row>
    <row r="4510" spans="1:11" ht="42" customHeight="1">
      <c r="A4510" s="2" t="s">
        <v>10513</v>
      </c>
      <c r="B4510" s="2" t="s">
        <v>10514</v>
      </c>
      <c r="C4510" s="2" t="s">
        <v>17</v>
      </c>
      <c r="D4510" s="2" t="s">
        <v>18</v>
      </c>
      <c r="E4510" s="5">
        <v>-31308</v>
      </c>
      <c r="F4510" s="3" t="s">
        <v>210</v>
      </c>
      <c r="G4510" s="3" t="s">
        <v>20</v>
      </c>
      <c r="H4510" s="2" t="s">
        <v>62</v>
      </c>
      <c r="I4510" s="2" t="s">
        <v>10515</v>
      </c>
      <c r="J4510" s="3" t="str">
        <f>HYPERLINK("https://www.boe.es/gazeta/dias/1814/04/12/pdfs/GRE-1814-52.pdf#page=7","Abrir facsímil")</f>
        <v>Abrir facsímil</v>
      </c>
      <c r="K4510" s="3" t="s">
        <v>64</v>
      </c>
    </row>
    <row r="4511" spans="1:11" ht="42" customHeight="1">
      <c r="A4511" s="2" t="s">
        <v>10516</v>
      </c>
      <c r="B4511" s="2" t="s">
        <v>10517</v>
      </c>
      <c r="C4511" s="2" t="s">
        <v>45</v>
      </c>
      <c r="D4511" s="2" t="s">
        <v>18</v>
      </c>
      <c r="E4511" s="5">
        <v>-31131</v>
      </c>
      <c r="F4511" s="3" t="s">
        <v>132</v>
      </c>
      <c r="G4511" s="3" t="s">
        <v>2188</v>
      </c>
      <c r="H4511" s="2" t="s">
        <v>21</v>
      </c>
      <c r="I4511" s="2" t="s">
        <v>10518</v>
      </c>
      <c r="J4511" s="3" t="str">
        <f>HYPERLINK("https://www.boe.es/gazeta/dias/1814/10/06/pdfs/GMD-1814-135.pdf#page=6","Abrir facsímil")</f>
        <v>Abrir facsímil</v>
      </c>
      <c r="K4511" s="3" t="s">
        <v>23</v>
      </c>
    </row>
    <row r="4512" spans="1:11" ht="42" customHeight="1">
      <c r="A4512" s="2" t="s">
        <v>10519</v>
      </c>
      <c r="B4512" s="2" t="s">
        <v>10520</v>
      </c>
      <c r="C4512" s="2" t="s">
        <v>38</v>
      </c>
      <c r="D4512" s="2" t="s">
        <v>39</v>
      </c>
      <c r="E4512" s="5">
        <v>-31213</v>
      </c>
      <c r="F4512" s="3" t="s">
        <v>276</v>
      </c>
      <c r="G4512" s="3" t="s">
        <v>41</v>
      </c>
      <c r="H4512" s="2" t="s">
        <v>62</v>
      </c>
      <c r="I4512" s="2" t="s">
        <v>10521</v>
      </c>
      <c r="J4512" s="3" t="str">
        <f>HYPERLINK("https://www.boe.es/gazeta/dias/1814/07/16/pdfs/GMD-1814-99.pdf#page=4","Abrir facsímil")</f>
        <v>Abrir facsímil</v>
      </c>
      <c r="K4512" s="3" t="s">
        <v>64</v>
      </c>
    </row>
    <row r="4513" spans="1:11" ht="42" customHeight="1">
      <c r="A4513" s="2" t="s">
        <v>10519</v>
      </c>
      <c r="B4513" s="2" t="s">
        <v>10520</v>
      </c>
      <c r="C4513" s="2" t="s">
        <v>38</v>
      </c>
      <c r="D4513" s="2" t="s">
        <v>39</v>
      </c>
      <c r="E4513" s="5">
        <v>-31159</v>
      </c>
      <c r="F4513" s="3" t="s">
        <v>1175</v>
      </c>
      <c r="G4513" s="3" t="s">
        <v>20</v>
      </c>
      <c r="H4513" s="2" t="s">
        <v>62</v>
      </c>
      <c r="I4513" s="2" t="s">
        <v>10522</v>
      </c>
      <c r="J4513" s="3" t="str">
        <f>HYPERLINK("https://www.boe.es/gazeta/dias/1814/09/08/pdfs/GMD-1814-123.pdf#page=7","Abrir facsímil")</f>
        <v>Abrir facsímil</v>
      </c>
      <c r="K4513" s="3" t="s">
        <v>64</v>
      </c>
    </row>
    <row r="4514" spans="1:11" ht="42" customHeight="1">
      <c r="A4514" s="2" t="s">
        <v>10523</v>
      </c>
      <c r="B4514" s="2" t="s">
        <v>10524</v>
      </c>
      <c r="C4514" s="2" t="s">
        <v>38</v>
      </c>
      <c r="D4514" s="2" t="s">
        <v>39</v>
      </c>
      <c r="E4514" s="5">
        <v>-31133</v>
      </c>
      <c r="F4514" s="3" t="s">
        <v>184</v>
      </c>
      <c r="G4514" s="3" t="s">
        <v>20</v>
      </c>
      <c r="H4514" s="2" t="s">
        <v>62</v>
      </c>
      <c r="I4514" s="2" t="s">
        <v>10525</v>
      </c>
      <c r="J4514" s="3" t="str">
        <f>HYPERLINK("https://www.boe.es/gazeta/dias/1814/10/04/pdfs/GMD-1814-134.pdf#page=7","Abrir facsímil")</f>
        <v>Abrir facsímil</v>
      </c>
      <c r="K4514" s="3" t="s">
        <v>64</v>
      </c>
    </row>
    <row r="4515" spans="1:11" ht="42" customHeight="1">
      <c r="A4515" s="2" t="s">
        <v>10526</v>
      </c>
      <c r="B4515" s="2" t="s">
        <v>10527</v>
      </c>
      <c r="C4515" s="2" t="s">
        <v>17</v>
      </c>
      <c r="D4515" s="2" t="s">
        <v>18</v>
      </c>
      <c r="E4515" s="5">
        <v>-31115</v>
      </c>
      <c r="F4515" s="3" t="s">
        <v>805</v>
      </c>
      <c r="G4515" s="3" t="s">
        <v>20</v>
      </c>
      <c r="H4515" s="2" t="s">
        <v>21</v>
      </c>
      <c r="I4515" s="2" t="s">
        <v>10528</v>
      </c>
      <c r="J4515" s="3" t="str">
        <f>HYPERLINK("https://www.boe.es/gazeta/dias/1814/10/22/pdfs/GMD-1814-142.pdf#page=7","Abrir facsímil")</f>
        <v>Abrir facsímil</v>
      </c>
      <c r="K4515" s="3" t="s">
        <v>23</v>
      </c>
    </row>
    <row r="4516" spans="1:11" ht="42" customHeight="1">
      <c r="A4516" s="2" t="s">
        <v>10529</v>
      </c>
      <c r="B4516" s="2" t="s">
        <v>10530</v>
      </c>
      <c r="C4516" s="2" t="s">
        <v>38</v>
      </c>
      <c r="D4516" s="2" t="s">
        <v>39</v>
      </c>
      <c r="E4516" s="5">
        <v>-31080</v>
      </c>
      <c r="F4516" s="3" t="s">
        <v>286</v>
      </c>
      <c r="G4516" s="3" t="s">
        <v>677</v>
      </c>
      <c r="H4516" s="2" t="s">
        <v>62</v>
      </c>
      <c r="I4516" s="2" t="s">
        <v>10531</v>
      </c>
      <c r="J4516" s="3" t="str">
        <f>HYPERLINK("https://www.boe.es/gazeta/dias/1814/11/26/pdfs/GMD-1814-157.pdf#page=7","Abrir facsímil")</f>
        <v>Abrir facsímil</v>
      </c>
      <c r="K4516" s="3" t="s">
        <v>64</v>
      </c>
    </row>
    <row r="4517" spans="1:11" ht="42" customHeight="1">
      <c r="A4517" s="2" t="s">
        <v>10532</v>
      </c>
      <c r="B4517" s="2" t="s">
        <v>10533</v>
      </c>
      <c r="C4517" s="2" t="s">
        <v>32</v>
      </c>
      <c r="D4517" s="2" t="s">
        <v>18</v>
      </c>
      <c r="E4517" s="5">
        <v>-31367</v>
      </c>
      <c r="F4517" s="3" t="s">
        <v>857</v>
      </c>
      <c r="G4517" s="3" t="s">
        <v>52</v>
      </c>
      <c r="H4517" s="2" t="s">
        <v>62</v>
      </c>
      <c r="I4517" s="2" t="s">
        <v>10534</v>
      </c>
      <c r="J4517" s="3" t="str">
        <f>HYPERLINK("https://www.boe.es/gazeta/dias/1814/02/12/pdfs/GRE-1814-20.pdf#page=8","Abrir facsímil")</f>
        <v>Abrir facsímil</v>
      </c>
      <c r="K4517" s="3" t="s">
        <v>64</v>
      </c>
    </row>
    <row r="4518" spans="1:11" ht="42" customHeight="1">
      <c r="A4518" s="2" t="s">
        <v>10535</v>
      </c>
      <c r="B4518" s="2" t="s">
        <v>10535</v>
      </c>
      <c r="C4518" s="2" t="s">
        <v>38</v>
      </c>
      <c r="D4518" s="2" t="s">
        <v>39</v>
      </c>
      <c r="E4518" s="5">
        <v>-31388</v>
      </c>
      <c r="F4518" s="3" t="s">
        <v>1299</v>
      </c>
      <c r="G4518" s="3" t="s">
        <v>87</v>
      </c>
      <c r="H4518" s="2" t="s">
        <v>62</v>
      </c>
      <c r="I4518" s="2" t="s">
        <v>10536</v>
      </c>
      <c r="J4518" s="3" t="str">
        <f>HYPERLINK("https://www.boe.es/gazeta/dias/1814/01/22/pdfs/GRE-1814-11.pdf#page=2","Abrir facsímil")</f>
        <v>Abrir facsímil</v>
      </c>
      <c r="K4518" s="3" t="s">
        <v>64</v>
      </c>
    </row>
    <row r="4519" spans="1:11" ht="42" customHeight="1">
      <c r="A4519" s="2" t="s">
        <v>10537</v>
      </c>
      <c r="B4519" s="2" t="s">
        <v>10538</v>
      </c>
      <c r="C4519" s="2" t="s">
        <v>38</v>
      </c>
      <c r="D4519" s="2" t="s">
        <v>39</v>
      </c>
      <c r="E4519" s="5">
        <v>-31236</v>
      </c>
      <c r="F4519" s="3" t="s">
        <v>33</v>
      </c>
      <c r="G4519" s="3" t="s">
        <v>20</v>
      </c>
      <c r="H4519" s="2" t="s">
        <v>62</v>
      </c>
      <c r="I4519" s="2" t="s">
        <v>10539</v>
      </c>
      <c r="J4519" s="3" t="str">
        <f>HYPERLINK("https://www.boe.es/gazeta/dias/1814/06/23/pdfs/GMD-1814-89.pdf#page=7","Abrir facsímil")</f>
        <v>Abrir facsímil</v>
      </c>
      <c r="K4519" s="3" t="s">
        <v>64</v>
      </c>
    </row>
    <row r="4520" spans="1:11" ht="42" customHeight="1">
      <c r="A4520" s="2" t="s">
        <v>10540</v>
      </c>
      <c r="B4520" s="2" t="s">
        <v>10541</v>
      </c>
      <c r="C4520" s="2" t="s">
        <v>45</v>
      </c>
      <c r="D4520" s="2" t="s">
        <v>18</v>
      </c>
      <c r="E4520" s="5">
        <v>-31138</v>
      </c>
      <c r="F4520" s="3" t="s">
        <v>1363</v>
      </c>
      <c r="G4520" s="3" t="s">
        <v>1364</v>
      </c>
      <c r="H4520" s="2" t="s">
        <v>62</v>
      </c>
      <c r="I4520" s="2" t="s">
        <v>10542</v>
      </c>
      <c r="J4520" s="3" t="str">
        <f>HYPERLINK("https://www.boe.es/gazeta/dias/1814/09/29/pdfs/GMD-1814-132.pdf#page=7","Abrir facsímil")</f>
        <v>Abrir facsímil</v>
      </c>
      <c r="K4520" s="3" t="s">
        <v>64</v>
      </c>
    </row>
    <row r="4521" spans="1:11" ht="42" customHeight="1">
      <c r="A4521" s="2" t="s">
        <v>10543</v>
      </c>
      <c r="B4521" s="2" t="s">
        <v>10543</v>
      </c>
      <c r="C4521" s="2" t="s">
        <v>38</v>
      </c>
      <c r="D4521" s="2" t="s">
        <v>39</v>
      </c>
      <c r="E4521" s="5">
        <v>-31301</v>
      </c>
      <c r="F4521" s="3" t="s">
        <v>81</v>
      </c>
      <c r="G4521" s="3" t="s">
        <v>82</v>
      </c>
      <c r="H4521" s="2" t="s">
        <v>62</v>
      </c>
      <c r="I4521" s="2" t="s">
        <v>10544</v>
      </c>
      <c r="J4521" s="3" t="str">
        <f>HYPERLINK("https://www.boe.es/gazeta/dias/1814/04/19/pdfs/GRE-1814-56.pdf#page=3","Abrir facsímil")</f>
        <v>Abrir facsímil</v>
      </c>
      <c r="K4521" s="3" t="s">
        <v>64</v>
      </c>
    </row>
    <row r="4522" spans="1:11" ht="42" customHeight="1">
      <c r="A4522" s="2" t="s">
        <v>10543</v>
      </c>
      <c r="B4522" s="2" t="s">
        <v>10543</v>
      </c>
      <c r="C4522" s="2" t="s">
        <v>38</v>
      </c>
      <c r="D4522" s="2" t="s">
        <v>39</v>
      </c>
      <c r="E4522" s="5">
        <v>-31073</v>
      </c>
      <c r="F4522" s="3" t="s">
        <v>3052</v>
      </c>
      <c r="G4522" s="3" t="s">
        <v>82</v>
      </c>
      <c r="H4522" s="2" t="s">
        <v>62</v>
      </c>
      <c r="I4522" s="2" t="s">
        <v>10545</v>
      </c>
      <c r="J4522" s="3" t="str">
        <f>HYPERLINK("https://www.boe.es/gazeta/dias/1814/12/03/pdfs/GMD-1814-160.pdf#page=3","Abrir facsímil")</f>
        <v>Abrir facsímil</v>
      </c>
      <c r="K4522" s="3" t="s">
        <v>64</v>
      </c>
    </row>
    <row r="4523" spans="1:11" ht="42" customHeight="1">
      <c r="A4523" s="2" t="s">
        <v>10546</v>
      </c>
      <c r="B4523" s="2" t="s">
        <v>10547</v>
      </c>
      <c r="C4523" s="2" t="s">
        <v>45</v>
      </c>
      <c r="D4523" s="2" t="s">
        <v>18</v>
      </c>
      <c r="E4523" s="5">
        <v>-31140</v>
      </c>
      <c r="F4523" s="3" t="s">
        <v>525</v>
      </c>
      <c r="G4523" s="3" t="s">
        <v>99</v>
      </c>
      <c r="H4523" s="2" t="s">
        <v>62</v>
      </c>
      <c r="I4523" s="2" t="s">
        <v>10548</v>
      </c>
      <c r="J4523" s="3" t="str">
        <f>HYPERLINK("https://www.boe.es/gazeta/dias/1814/09/27/pdfs/GMD-1814-131.pdf#page=5","Abrir facsímil")</f>
        <v>Abrir facsímil</v>
      </c>
      <c r="K4523" s="3" t="s">
        <v>64</v>
      </c>
    </row>
    <row r="4524" spans="1:11" ht="42" customHeight="1">
      <c r="A4524" s="2" t="s">
        <v>10549</v>
      </c>
      <c r="B4524" s="2" t="s">
        <v>10550</v>
      </c>
      <c r="C4524" s="2" t="s">
        <v>26</v>
      </c>
      <c r="D4524" s="2" t="s">
        <v>27</v>
      </c>
      <c r="E4524" s="5">
        <v>-31129</v>
      </c>
      <c r="F4524" s="3" t="s">
        <v>418</v>
      </c>
      <c r="G4524" s="3" t="s">
        <v>82</v>
      </c>
      <c r="H4524" s="2" t="s">
        <v>62</v>
      </c>
      <c r="I4524" s="2" t="s">
        <v>10551</v>
      </c>
      <c r="J4524" s="3" t="str">
        <f>HYPERLINK("https://www.boe.es/gazeta/dias/1814/10/08/pdfs/GMD-1814-136.pdf#page=3","Abrir facsímil")</f>
        <v>Abrir facsímil</v>
      </c>
      <c r="K4524" s="3" t="s">
        <v>64</v>
      </c>
    </row>
    <row r="4525" spans="1:11" ht="42" customHeight="1">
      <c r="A4525" s="2" t="s">
        <v>10552</v>
      </c>
      <c r="B4525" s="2" t="s">
        <v>10552</v>
      </c>
      <c r="C4525" s="2" t="s">
        <v>32</v>
      </c>
      <c r="D4525" s="2" t="s">
        <v>18</v>
      </c>
      <c r="E4525" s="5">
        <v>-31094</v>
      </c>
      <c r="F4525" s="3" t="s">
        <v>761</v>
      </c>
      <c r="G4525" s="3" t="s">
        <v>52</v>
      </c>
      <c r="H4525" s="2" t="s">
        <v>62</v>
      </c>
      <c r="I4525" s="2" t="s">
        <v>10553</v>
      </c>
      <c r="J4525" s="3" t="str">
        <f>HYPERLINK("https://www.boe.es/gazeta/dias/1814/11/12/pdfs/GMD-1814-151.pdf#page=8","Abrir facsímil")</f>
        <v>Abrir facsímil</v>
      </c>
      <c r="K4525" s="3" t="s">
        <v>64</v>
      </c>
    </row>
    <row r="4526" spans="1:11" ht="42" customHeight="1">
      <c r="A4526" s="2" t="s">
        <v>10554</v>
      </c>
      <c r="B4526" s="2" t="s">
        <v>10555</v>
      </c>
      <c r="C4526" s="2" t="s">
        <v>38</v>
      </c>
      <c r="D4526" s="2" t="s">
        <v>39</v>
      </c>
      <c r="E4526" s="5">
        <v>-31182</v>
      </c>
      <c r="F4526" s="3" t="s">
        <v>19</v>
      </c>
      <c r="G4526" s="3" t="s">
        <v>57</v>
      </c>
      <c r="H4526" s="2" t="s">
        <v>62</v>
      </c>
      <c r="I4526" s="2" t="s">
        <v>10556</v>
      </c>
      <c r="J4526" s="3" t="str">
        <f>HYPERLINK("https://www.boe.es/gazeta/dias/1814/08/16/pdfs/GMD-1814-112.pdf#page=6","Abrir facsímil")</f>
        <v>Abrir facsímil</v>
      </c>
      <c r="K4526" s="3" t="s">
        <v>64</v>
      </c>
    </row>
    <row r="4527" spans="1:11" ht="42" customHeight="1">
      <c r="A4527" s="2" t="s">
        <v>10557</v>
      </c>
      <c r="B4527" s="2" t="s">
        <v>10558</v>
      </c>
      <c r="C4527" s="2" t="s">
        <v>38</v>
      </c>
      <c r="D4527" s="2" t="s">
        <v>39</v>
      </c>
      <c r="E4527" s="5">
        <v>-31180</v>
      </c>
      <c r="F4527" s="3" t="s">
        <v>520</v>
      </c>
      <c r="G4527" s="3" t="s">
        <v>57</v>
      </c>
      <c r="H4527" s="2" t="s">
        <v>62</v>
      </c>
      <c r="I4527" s="2" t="s">
        <v>10559</v>
      </c>
      <c r="J4527" s="3" t="str">
        <f>HYPERLINK("https://www.boe.es/gazeta/dias/1814/08/18/pdfs/GMD-1814-113.pdf#page=6","Abrir facsímil")</f>
        <v>Abrir facsímil</v>
      </c>
      <c r="K4527" s="3" t="s">
        <v>64</v>
      </c>
    </row>
    <row r="4528" spans="1:11" ht="42" customHeight="1">
      <c r="A4528" s="2" t="s">
        <v>10560</v>
      </c>
      <c r="B4528" s="2" t="s">
        <v>10561</v>
      </c>
      <c r="C4528" s="2" t="s">
        <v>26</v>
      </c>
      <c r="D4528" s="2" t="s">
        <v>27</v>
      </c>
      <c r="E4528" s="5">
        <v>-31047</v>
      </c>
      <c r="F4528" s="3" t="s">
        <v>815</v>
      </c>
      <c r="G4528" s="3" t="s">
        <v>52</v>
      </c>
      <c r="H4528" s="2" t="s">
        <v>62</v>
      </c>
      <c r="I4528" s="2" t="s">
        <v>10562</v>
      </c>
      <c r="J4528" s="3" t="str">
        <f>HYPERLINK("https://www.boe.es/gazeta/dias/1814/12/29/pdfs/GMD-1814-172.pdf#page=8","Abrir facsímil")</f>
        <v>Abrir facsímil</v>
      </c>
      <c r="K4528" s="3" t="s">
        <v>64</v>
      </c>
    </row>
    <row r="4529" spans="1:11" ht="42" customHeight="1">
      <c r="A4529" s="2" t="s">
        <v>10563</v>
      </c>
      <c r="B4529" s="2" t="s">
        <v>10564</v>
      </c>
      <c r="C4529" s="2" t="s">
        <v>38</v>
      </c>
      <c r="D4529" s="2" t="s">
        <v>39</v>
      </c>
      <c r="E4529" s="5">
        <v>-31308</v>
      </c>
      <c r="F4529" s="3" t="s">
        <v>210</v>
      </c>
      <c r="G4529" s="3" t="s">
        <v>52</v>
      </c>
      <c r="H4529" s="2" t="s">
        <v>62</v>
      </c>
      <c r="I4529" s="2" t="s">
        <v>10565</v>
      </c>
      <c r="J4529" s="3" t="str">
        <f>HYPERLINK("https://www.boe.es/gazeta/dias/1814/04/12/pdfs/GRE-1814-52.pdf#page=8","Abrir facsímil")</f>
        <v>Abrir facsímil</v>
      </c>
      <c r="K4529" s="3" t="s">
        <v>64</v>
      </c>
    </row>
    <row r="4530" spans="1:11" ht="42" customHeight="1">
      <c r="A4530" s="2" t="s">
        <v>10566</v>
      </c>
      <c r="B4530" s="2" t="s">
        <v>10566</v>
      </c>
      <c r="C4530" s="2" t="s">
        <v>38</v>
      </c>
      <c r="D4530" s="2" t="s">
        <v>39</v>
      </c>
      <c r="E4530" s="5">
        <v>-31269</v>
      </c>
      <c r="F4530" s="3" t="s">
        <v>496</v>
      </c>
      <c r="G4530" s="3" t="s">
        <v>107</v>
      </c>
      <c r="H4530" s="2" t="s">
        <v>62</v>
      </c>
      <c r="I4530" s="2" t="s">
        <v>10567</v>
      </c>
      <c r="J4530" s="3" t="str">
        <f>HYPERLINK("https://www.boe.es/gazeta/dias/1814/05/21/pdfs/GMD-1814-75.pdf#page=1","Abrir facsímil")</f>
        <v>Abrir facsímil</v>
      </c>
      <c r="K4530" s="3" t="s">
        <v>64</v>
      </c>
    </row>
    <row r="4531" spans="1:11" ht="42" customHeight="1">
      <c r="A4531" s="2" t="s">
        <v>10568</v>
      </c>
      <c r="B4531" s="2" t="s">
        <v>10568</v>
      </c>
      <c r="C4531" s="2" t="s">
        <v>38</v>
      </c>
      <c r="D4531" s="2" t="s">
        <v>39</v>
      </c>
      <c r="E4531" s="5">
        <v>-31404</v>
      </c>
      <c r="F4531" s="3" t="s">
        <v>630</v>
      </c>
      <c r="G4531" s="3" t="s">
        <v>57</v>
      </c>
      <c r="H4531" s="2" t="s">
        <v>62</v>
      </c>
      <c r="I4531" s="2" t="s">
        <v>10569</v>
      </c>
      <c r="J4531" s="3" t="str">
        <f>HYPERLINK("https://www.boe.es/gazeta/dias/1814/01/06/pdfs/GRE-1814-3.pdf#page=6","Abrir facsímil")</f>
        <v>Abrir facsímil</v>
      </c>
      <c r="K4531" s="3" t="s">
        <v>64</v>
      </c>
    </row>
    <row r="4532" spans="1:11" ht="42" customHeight="1">
      <c r="A4532" s="2" t="s">
        <v>10568</v>
      </c>
      <c r="B4532" s="2" t="s">
        <v>10568</v>
      </c>
      <c r="C4532" s="2" t="s">
        <v>38</v>
      </c>
      <c r="D4532" s="2" t="s">
        <v>39</v>
      </c>
      <c r="E4532" s="5">
        <v>-31126</v>
      </c>
      <c r="F4532" s="3" t="s">
        <v>56</v>
      </c>
      <c r="G4532" s="3" t="s">
        <v>87</v>
      </c>
      <c r="H4532" s="2" t="s">
        <v>62</v>
      </c>
      <c r="I4532" s="2" t="s">
        <v>10570</v>
      </c>
      <c r="J4532" s="3" t="str">
        <f>HYPERLINK("https://www.boe.es/gazeta/dias/1814/10/11/pdfs/GMD-1814-137.pdf#page=2","Abrir facsímil")</f>
        <v>Abrir facsímil</v>
      </c>
      <c r="K4532" s="3" t="s">
        <v>64</v>
      </c>
    </row>
    <row r="4533" spans="1:11" ht="42" customHeight="1">
      <c r="A4533" s="2" t="s">
        <v>10568</v>
      </c>
      <c r="B4533" s="2" t="s">
        <v>10568</v>
      </c>
      <c r="C4533" s="2" t="s">
        <v>38</v>
      </c>
      <c r="D4533" s="2" t="s">
        <v>39</v>
      </c>
      <c r="E4533" s="5">
        <v>-31124</v>
      </c>
      <c r="F4533" s="3" t="s">
        <v>383</v>
      </c>
      <c r="G4533" s="3" t="s">
        <v>837</v>
      </c>
      <c r="H4533" s="2" t="s">
        <v>62</v>
      </c>
      <c r="I4533" s="2" t="s">
        <v>10571</v>
      </c>
      <c r="J4533" s="3" t="str">
        <f>HYPERLINK("https://www.boe.es/gazeta/dias/1814/10/13/pdfs/GMD-1814-138.pdf#page=3","Abrir facsímil")</f>
        <v>Abrir facsímil</v>
      </c>
      <c r="K4533" s="3" t="s">
        <v>64</v>
      </c>
    </row>
    <row r="4534" spans="1:11" ht="42" customHeight="1">
      <c r="A4534" s="2" t="s">
        <v>10568</v>
      </c>
      <c r="B4534" s="2" t="s">
        <v>10568</v>
      </c>
      <c r="C4534" s="2" t="s">
        <v>38</v>
      </c>
      <c r="D4534" s="2" t="s">
        <v>39</v>
      </c>
      <c r="E4534" s="5">
        <v>-31124</v>
      </c>
      <c r="F4534" s="3" t="s">
        <v>383</v>
      </c>
      <c r="G4534" s="3" t="s">
        <v>87</v>
      </c>
      <c r="H4534" s="2" t="s">
        <v>62</v>
      </c>
      <c r="I4534" s="2" t="s">
        <v>10572</v>
      </c>
      <c r="J4534" s="3" t="str">
        <f>HYPERLINK("https://www.boe.es/gazeta/dias/1814/10/13/pdfs/GMD-1814-138.pdf#page=2","Abrir facsímil")</f>
        <v>Abrir facsímil</v>
      </c>
      <c r="K4534" s="3" t="s">
        <v>64</v>
      </c>
    </row>
    <row r="4535" spans="1:11" ht="42" customHeight="1">
      <c r="A4535" s="2" t="s">
        <v>10568</v>
      </c>
      <c r="B4535" s="2" t="s">
        <v>10568</v>
      </c>
      <c r="C4535" s="2" t="s">
        <v>38</v>
      </c>
      <c r="D4535" s="2" t="s">
        <v>39</v>
      </c>
      <c r="E4535" s="5">
        <v>-31091</v>
      </c>
      <c r="F4535" s="3" t="s">
        <v>1156</v>
      </c>
      <c r="G4535" s="3" t="s">
        <v>107</v>
      </c>
      <c r="H4535" s="2" t="s">
        <v>62</v>
      </c>
      <c r="I4535" s="2" t="s">
        <v>10573</v>
      </c>
      <c r="J4535" s="3" t="str">
        <f>HYPERLINK("https://www.boe.es/gazeta/dias/1814/11/15/pdfs/GMD-1814-152.pdf#page=1","Abrir facsímil")</f>
        <v>Abrir facsímil</v>
      </c>
      <c r="K4535" s="3" t="s">
        <v>64</v>
      </c>
    </row>
    <row r="4536" spans="1:11" ht="42" customHeight="1">
      <c r="A4536" s="2" t="s">
        <v>10568</v>
      </c>
      <c r="B4536" s="2" t="s">
        <v>10568</v>
      </c>
      <c r="C4536" s="2" t="s">
        <v>38</v>
      </c>
      <c r="D4536" s="2" t="s">
        <v>39</v>
      </c>
      <c r="E4536" s="5">
        <v>-31084</v>
      </c>
      <c r="F4536" s="3" t="s">
        <v>282</v>
      </c>
      <c r="G4536" s="3" t="s">
        <v>82</v>
      </c>
      <c r="H4536" s="2" t="s">
        <v>62</v>
      </c>
      <c r="I4536" s="2" t="s">
        <v>10574</v>
      </c>
      <c r="J4536" s="3" t="str">
        <f>HYPERLINK("https://www.boe.es/gazeta/dias/1814/11/22/pdfs/GMD-1814-155.pdf#page=3","Abrir facsímil")</f>
        <v>Abrir facsímil</v>
      </c>
      <c r="K4536" s="3" t="s">
        <v>64</v>
      </c>
    </row>
    <row r="4537" spans="1:11" ht="42" customHeight="1">
      <c r="A4537" s="2" t="s">
        <v>10575</v>
      </c>
      <c r="B4537" s="2" t="s">
        <v>10576</v>
      </c>
      <c r="C4537" s="2" t="s">
        <v>26</v>
      </c>
      <c r="D4537" s="2" t="s">
        <v>27</v>
      </c>
      <c r="E4537" s="5">
        <v>-31399</v>
      </c>
      <c r="F4537" s="3" t="s">
        <v>218</v>
      </c>
      <c r="G4537" s="3" t="s">
        <v>107</v>
      </c>
      <c r="H4537" s="2" t="s">
        <v>62</v>
      </c>
      <c r="I4537" s="2" t="s">
        <v>10577</v>
      </c>
      <c r="J4537" s="3" t="str">
        <f>HYPERLINK("https://www.boe.es/gazeta/dias/1814/01/11/pdfs/GRE-1814-6.pdf#page=1","Abrir facsímil")</f>
        <v>Abrir facsímil</v>
      </c>
      <c r="K4537" s="3" t="s">
        <v>64</v>
      </c>
    </row>
    <row r="4538" spans="1:11" ht="42" customHeight="1">
      <c r="A4538" s="2" t="s">
        <v>10578</v>
      </c>
      <c r="B4538" s="2" t="s">
        <v>10578</v>
      </c>
      <c r="C4538" s="2" t="s">
        <v>38</v>
      </c>
      <c r="D4538" s="2" t="s">
        <v>39</v>
      </c>
      <c r="E4538" s="5">
        <v>-31399</v>
      </c>
      <c r="F4538" s="3" t="s">
        <v>218</v>
      </c>
      <c r="G4538" s="3" t="s">
        <v>82</v>
      </c>
      <c r="H4538" s="2" t="s">
        <v>62</v>
      </c>
      <c r="I4538" s="2" t="s">
        <v>10579</v>
      </c>
      <c r="J4538" s="3" t="str">
        <f>HYPERLINK("https://www.boe.es/gazeta/dias/1814/01/11/pdfs/GRE-1814-6.pdf#page=3","Abrir facsímil")</f>
        <v>Abrir facsímil</v>
      </c>
      <c r="K4538" s="3" t="s">
        <v>64</v>
      </c>
    </row>
    <row r="4539" spans="1:11" ht="42" customHeight="1">
      <c r="A4539" s="2" t="s">
        <v>10580</v>
      </c>
      <c r="B4539" s="2" t="s">
        <v>10580</v>
      </c>
      <c r="C4539" s="2" t="s">
        <v>38</v>
      </c>
      <c r="D4539" s="2" t="s">
        <v>39</v>
      </c>
      <c r="E4539" s="5">
        <v>-31364</v>
      </c>
      <c r="F4539" s="3" t="s">
        <v>594</v>
      </c>
      <c r="G4539" s="3" t="s">
        <v>82</v>
      </c>
      <c r="H4539" s="2" t="s">
        <v>62</v>
      </c>
      <c r="I4539" s="2" t="s">
        <v>10581</v>
      </c>
      <c r="J4539" s="3" t="str">
        <f>HYPERLINK("https://www.boe.es/gazeta/dias/1814/02/15/pdfs/GRE-1814-21.pdf#page=3","Abrir facsímil")</f>
        <v>Abrir facsímil</v>
      </c>
      <c r="K4539" s="3" t="s">
        <v>64</v>
      </c>
    </row>
    <row r="4540" spans="1:11" ht="42" customHeight="1">
      <c r="A4540" s="2" t="s">
        <v>10582</v>
      </c>
      <c r="B4540" s="2" t="s">
        <v>10582</v>
      </c>
      <c r="C4540" s="2" t="s">
        <v>38</v>
      </c>
      <c r="D4540" s="2" t="s">
        <v>314</v>
      </c>
      <c r="E4540" s="5">
        <v>-31341</v>
      </c>
      <c r="F4540" s="3" t="s">
        <v>354</v>
      </c>
      <c r="G4540" s="3" t="s">
        <v>87</v>
      </c>
      <c r="H4540" s="2" t="s">
        <v>62</v>
      </c>
      <c r="I4540" s="2" t="s">
        <v>10583</v>
      </c>
      <c r="J4540" s="3" t="str">
        <f>HYPERLINK("https://www.boe.es/gazeta/dias/1814/03/10/pdfs/GRE-1814-34E.pdf#page=2","Abrir facsímil")</f>
        <v>Abrir facsímil</v>
      </c>
      <c r="K4540" s="3" t="s">
        <v>64</v>
      </c>
    </row>
    <row r="4541" spans="1:11" ht="42" customHeight="1">
      <c r="A4541" s="2" t="s">
        <v>10584</v>
      </c>
      <c r="B4541" s="2" t="s">
        <v>10584</v>
      </c>
      <c r="C4541" s="2" t="s">
        <v>38</v>
      </c>
      <c r="D4541" s="2" t="s">
        <v>39</v>
      </c>
      <c r="E4541" s="5">
        <v>-31329</v>
      </c>
      <c r="F4541" s="3" t="s">
        <v>621</v>
      </c>
      <c r="G4541" s="3" t="s">
        <v>2115</v>
      </c>
      <c r="H4541" s="2" t="s">
        <v>62</v>
      </c>
      <c r="I4541" s="2" t="s">
        <v>10585</v>
      </c>
      <c r="J4541" s="3" t="str">
        <f>HYPERLINK("https://www.boe.es/gazeta/dias/1814/03/22/pdfs/GRE-1814-39.pdf#page=4","Abrir facsímil")</f>
        <v>Abrir facsímil</v>
      </c>
      <c r="K4541" s="3" t="s">
        <v>64</v>
      </c>
    </row>
    <row r="4542" spans="1:11" ht="42" customHeight="1">
      <c r="A4542" s="2" t="s">
        <v>10586</v>
      </c>
      <c r="B4542" s="2" t="s">
        <v>10586</v>
      </c>
      <c r="C4542" s="2" t="s">
        <v>38</v>
      </c>
      <c r="D4542" s="2" t="s">
        <v>39</v>
      </c>
      <c r="E4542" s="5">
        <v>-31388</v>
      </c>
      <c r="F4542" s="3" t="s">
        <v>1299</v>
      </c>
      <c r="G4542" s="3" t="s">
        <v>87</v>
      </c>
      <c r="H4542" s="2" t="s">
        <v>62</v>
      </c>
      <c r="I4542" s="2" t="s">
        <v>10587</v>
      </c>
      <c r="J4542" s="3" t="str">
        <f>HYPERLINK("https://www.boe.es/gazeta/dias/1814/01/22/pdfs/GRE-1814-11.pdf#page=2","Abrir facsímil")</f>
        <v>Abrir facsímil</v>
      </c>
      <c r="K4542" s="3" t="s">
        <v>64</v>
      </c>
    </row>
    <row r="4543" spans="1:11" ht="42" customHeight="1">
      <c r="A4543" s="2" t="s">
        <v>10586</v>
      </c>
      <c r="B4543" s="2" t="s">
        <v>10586</v>
      </c>
      <c r="C4543" s="2" t="s">
        <v>38</v>
      </c>
      <c r="D4543" s="2" t="s">
        <v>39</v>
      </c>
      <c r="E4543" s="5">
        <v>-31385</v>
      </c>
      <c r="F4543" s="3" t="s">
        <v>783</v>
      </c>
      <c r="G4543" s="3" t="s">
        <v>87</v>
      </c>
      <c r="H4543" s="2" t="s">
        <v>62</v>
      </c>
      <c r="I4543" s="2" t="s">
        <v>10588</v>
      </c>
      <c r="J4543" s="3" t="str">
        <f>HYPERLINK("https://www.boe.es/gazeta/dias/1814/01/25/pdfs/GRE-1814-12.pdf#page=2","Abrir facsímil")</f>
        <v>Abrir facsímil</v>
      </c>
      <c r="K4543" s="3" t="s">
        <v>64</v>
      </c>
    </row>
    <row r="4544" spans="1:11" ht="42" customHeight="1">
      <c r="A4544" s="2" t="s">
        <v>10586</v>
      </c>
      <c r="B4544" s="2" t="s">
        <v>10586</v>
      </c>
      <c r="C4544" s="2" t="s">
        <v>38</v>
      </c>
      <c r="D4544" s="2" t="s">
        <v>39</v>
      </c>
      <c r="E4544" s="5">
        <v>-31385</v>
      </c>
      <c r="F4544" s="3" t="s">
        <v>783</v>
      </c>
      <c r="G4544" s="3" t="s">
        <v>82</v>
      </c>
      <c r="H4544" s="2" t="s">
        <v>62</v>
      </c>
      <c r="I4544" s="2" t="s">
        <v>10589</v>
      </c>
      <c r="J4544" s="3" t="str">
        <f>HYPERLINK("https://www.boe.es/gazeta/dias/1814/01/25/pdfs/GRE-1814-12.pdf#page=3","Abrir facsímil")</f>
        <v>Abrir facsímil</v>
      </c>
      <c r="K4544" s="3" t="s">
        <v>64</v>
      </c>
    </row>
    <row r="4545" spans="1:11" ht="42" customHeight="1">
      <c r="A4545" s="2" t="s">
        <v>10590</v>
      </c>
      <c r="B4545" s="2" t="s">
        <v>10591</v>
      </c>
      <c r="C4545" s="2" t="s">
        <v>17</v>
      </c>
      <c r="D4545" s="2" t="s">
        <v>18</v>
      </c>
      <c r="E4545" s="5">
        <v>-31231</v>
      </c>
      <c r="F4545" s="3" t="s">
        <v>861</v>
      </c>
      <c r="G4545" s="3" t="s">
        <v>1886</v>
      </c>
      <c r="H4545" s="2" t="s">
        <v>62</v>
      </c>
      <c r="I4545" s="2" t="s">
        <v>10592</v>
      </c>
      <c r="J4545" s="3" t="str">
        <f>HYPERLINK("https://www.boe.es/gazeta/dias/1814/06/28/pdfs/GMD-1814-91.pdf#page=4","Abrir facsímil")</f>
        <v>Abrir facsímil</v>
      </c>
      <c r="K4545" s="3" t="s">
        <v>64</v>
      </c>
    </row>
    <row r="4546" spans="1:11" ht="42" customHeight="1">
      <c r="A4546" s="2" t="s">
        <v>10590</v>
      </c>
      <c r="B4546" s="2" t="s">
        <v>10591</v>
      </c>
      <c r="C4546" s="2" t="s">
        <v>38</v>
      </c>
      <c r="D4546" s="2" t="s">
        <v>39</v>
      </c>
      <c r="E4546" s="5">
        <v>-31231</v>
      </c>
      <c r="F4546" s="3" t="s">
        <v>861</v>
      </c>
      <c r="G4546" s="3" t="s">
        <v>82</v>
      </c>
      <c r="H4546" s="2" t="s">
        <v>62</v>
      </c>
      <c r="I4546" s="2" t="s">
        <v>10593</v>
      </c>
      <c r="J4546" s="3" t="str">
        <f>HYPERLINK("https://www.boe.es/gazeta/dias/1814/06/28/pdfs/GMD-1814-91.pdf#page=3","Abrir facsímil")</f>
        <v>Abrir facsímil</v>
      </c>
      <c r="K4546" s="3" t="s">
        <v>64</v>
      </c>
    </row>
    <row r="4547" spans="1:11" ht="42" customHeight="1">
      <c r="A4547" s="2" t="s">
        <v>10594</v>
      </c>
      <c r="B4547" s="2" t="s">
        <v>10595</v>
      </c>
      <c r="C4547" s="2" t="s">
        <v>144</v>
      </c>
      <c r="D4547" s="2" t="s">
        <v>18</v>
      </c>
      <c r="E4547" s="5">
        <v>-31119</v>
      </c>
      <c r="F4547" s="3" t="s">
        <v>136</v>
      </c>
      <c r="G4547" s="3" t="s">
        <v>87</v>
      </c>
      <c r="H4547" s="2" t="s">
        <v>21</v>
      </c>
      <c r="I4547" s="2" t="s">
        <v>10596</v>
      </c>
      <c r="J4547" s="3" t="str">
        <f>HYPERLINK("https://www.boe.es/gazeta/dias/1814/10/18/pdfs/GMD-1814-140.pdf#page=2","Abrir facsímil")</f>
        <v>Abrir facsímil</v>
      </c>
      <c r="K4547" s="3" t="s">
        <v>23</v>
      </c>
    </row>
    <row r="4548" spans="1:11" ht="42" customHeight="1">
      <c r="A4548" s="2" t="s">
        <v>10597</v>
      </c>
      <c r="B4548" s="2" t="s">
        <v>10598</v>
      </c>
      <c r="C4548" s="2" t="s">
        <v>45</v>
      </c>
      <c r="D4548" s="2" t="s">
        <v>18</v>
      </c>
      <c r="E4548" s="5">
        <v>-31131</v>
      </c>
      <c r="F4548" s="3" t="s">
        <v>132</v>
      </c>
      <c r="G4548" s="3" t="s">
        <v>20</v>
      </c>
      <c r="H4548" s="2" t="s">
        <v>62</v>
      </c>
      <c r="I4548" s="2" t="s">
        <v>10599</v>
      </c>
      <c r="J4548" s="3" t="str">
        <f>HYPERLINK("https://www.boe.es/gazeta/dias/1814/10/06/pdfs/GMD-1814-135.pdf#page=7","Abrir facsímil")</f>
        <v>Abrir facsímil</v>
      </c>
      <c r="K4548" s="3" t="s">
        <v>64</v>
      </c>
    </row>
    <row r="4549" spans="1:11" ht="42" customHeight="1">
      <c r="A4549" s="2" t="s">
        <v>10600</v>
      </c>
      <c r="B4549" s="2" t="s">
        <v>10601</v>
      </c>
      <c r="C4549" s="2" t="s">
        <v>38</v>
      </c>
      <c r="D4549" s="2" t="s">
        <v>39</v>
      </c>
      <c r="E4549" s="5">
        <v>-31180</v>
      </c>
      <c r="F4549" s="3" t="s">
        <v>520</v>
      </c>
      <c r="G4549" s="3" t="s">
        <v>57</v>
      </c>
      <c r="H4549" s="2" t="s">
        <v>62</v>
      </c>
      <c r="I4549" s="2" t="s">
        <v>10602</v>
      </c>
      <c r="J4549" s="3" t="str">
        <f>HYPERLINK("https://www.boe.es/gazeta/dias/1814/08/18/pdfs/GMD-1814-113.pdf#page=6","Abrir facsímil")</f>
        <v>Abrir facsímil</v>
      </c>
      <c r="K4549" s="3" t="s">
        <v>64</v>
      </c>
    </row>
    <row r="4550" spans="1:11" ht="42" customHeight="1">
      <c r="A4550" s="2" t="s">
        <v>10603</v>
      </c>
      <c r="B4550" s="2" t="s">
        <v>10604</v>
      </c>
      <c r="C4550" s="2" t="s">
        <v>38</v>
      </c>
      <c r="D4550" s="2" t="s">
        <v>39</v>
      </c>
      <c r="E4550" s="5">
        <v>-31405</v>
      </c>
      <c r="F4550" s="3" t="s">
        <v>1754</v>
      </c>
      <c r="G4550" s="3" t="s">
        <v>3368</v>
      </c>
      <c r="H4550" s="2" t="s">
        <v>62</v>
      </c>
      <c r="I4550" s="2" t="s">
        <v>10605</v>
      </c>
      <c r="J4550" s="3" t="str">
        <f>HYPERLINK("https://www.boe.es/gazeta/dias/1814/01/05/pdfs/GRE-1814-5.pdf#page=8","Abrir facsímil")</f>
        <v>Abrir facsímil</v>
      </c>
      <c r="K4550" s="3" t="s">
        <v>64</v>
      </c>
    </row>
    <row r="4551" spans="1:11" ht="42" customHeight="1">
      <c r="A4551" s="2" t="s">
        <v>10603</v>
      </c>
      <c r="B4551" s="2" t="s">
        <v>10604</v>
      </c>
      <c r="C4551" s="2" t="s">
        <v>38</v>
      </c>
      <c r="D4551" s="2" t="s">
        <v>39</v>
      </c>
      <c r="E4551" s="5">
        <v>-31402</v>
      </c>
      <c r="F4551" s="3" t="s">
        <v>1754</v>
      </c>
      <c r="G4551" s="3" t="s">
        <v>3368</v>
      </c>
      <c r="H4551" s="2" t="s">
        <v>62</v>
      </c>
      <c r="I4551" s="2" t="s">
        <v>10605</v>
      </c>
      <c r="J4551" s="3" t="str">
        <f>HYPERLINK("https://www.boe.es/gazeta/dias/1814/01/08/pdfs/GRE-1814-5.pdf#page=8","Abrir facsímil")</f>
        <v>Abrir facsímil</v>
      </c>
      <c r="K4551" s="3" t="s">
        <v>64</v>
      </c>
    </row>
    <row r="4552" spans="1:11" ht="42" customHeight="1">
      <c r="A4552" s="2" t="s">
        <v>10606</v>
      </c>
      <c r="B4552" s="2" t="s">
        <v>10607</v>
      </c>
      <c r="C4552" s="2" t="s">
        <v>45</v>
      </c>
      <c r="D4552" s="2" t="s">
        <v>18</v>
      </c>
      <c r="E4552" s="5">
        <v>-31054</v>
      </c>
      <c r="F4552" s="3" t="s">
        <v>952</v>
      </c>
      <c r="G4552" s="3" t="s">
        <v>20</v>
      </c>
      <c r="H4552" s="2" t="s">
        <v>62</v>
      </c>
      <c r="I4552" s="2" t="s">
        <v>10608</v>
      </c>
      <c r="J4552" s="3" t="str">
        <f>HYPERLINK("https://www.boe.es/gazeta/dias/1814/12/22/pdfs/GMD-1814-169.pdf#page=7","Abrir facsímil")</f>
        <v>Abrir facsímil</v>
      </c>
      <c r="K4552" s="3" t="s">
        <v>64</v>
      </c>
    </row>
    <row r="4553" spans="1:11" ht="42" customHeight="1">
      <c r="A4553" s="2" t="s">
        <v>10609</v>
      </c>
      <c r="B4553" s="2" t="s">
        <v>10609</v>
      </c>
      <c r="C4553" s="2" t="s">
        <v>26</v>
      </c>
      <c r="D4553" s="2" t="s">
        <v>27</v>
      </c>
      <c r="E4553" s="5">
        <v>-31381</v>
      </c>
      <c r="F4553" s="3" t="s">
        <v>989</v>
      </c>
      <c r="G4553" s="3" t="s">
        <v>82</v>
      </c>
      <c r="H4553" s="2" t="s">
        <v>62</v>
      </c>
      <c r="I4553" s="2" t="s">
        <v>10610</v>
      </c>
      <c r="J4553" s="3" t="str">
        <f>HYPERLINK("https://www.boe.es/gazeta/dias/1814/01/29/pdfs/GRE-1814-14.pdf#page=3","Abrir facsímil")</f>
        <v>Abrir facsímil</v>
      </c>
      <c r="K4553" s="3" t="s">
        <v>64</v>
      </c>
    </row>
    <row r="4554" spans="1:11" ht="42" customHeight="1">
      <c r="A4554" s="2" t="s">
        <v>10611</v>
      </c>
      <c r="B4554" s="2" t="s">
        <v>10612</v>
      </c>
      <c r="C4554" s="2" t="s">
        <v>38</v>
      </c>
      <c r="D4554" s="2" t="s">
        <v>39</v>
      </c>
      <c r="E4554" s="5">
        <v>-31164</v>
      </c>
      <c r="F4554" s="3" t="s">
        <v>1423</v>
      </c>
      <c r="G4554" s="3" t="s">
        <v>52</v>
      </c>
      <c r="H4554" s="2" t="s">
        <v>62</v>
      </c>
      <c r="I4554" s="2" t="s">
        <v>10613</v>
      </c>
      <c r="J4554" s="3" t="str">
        <f>HYPERLINK("https://www.boe.es/gazeta/dias/1814/09/03/pdfs/GMD-1814-121.pdf#page=8","Abrir facsímil")</f>
        <v>Abrir facsímil</v>
      </c>
      <c r="K4554" s="3" t="s">
        <v>64</v>
      </c>
    </row>
    <row r="4555" spans="1:11" ht="42" customHeight="1">
      <c r="A4555" s="2" t="s">
        <v>10614</v>
      </c>
      <c r="B4555" s="2" t="s">
        <v>10615</v>
      </c>
      <c r="C4555" s="2" t="s">
        <v>38</v>
      </c>
      <c r="D4555" s="2" t="s">
        <v>314</v>
      </c>
      <c r="E4555" s="5">
        <v>-31296</v>
      </c>
      <c r="F4555" s="3" t="s">
        <v>315</v>
      </c>
      <c r="G4555" s="3" t="s">
        <v>52</v>
      </c>
      <c r="H4555" s="2" t="s">
        <v>62</v>
      </c>
      <c r="I4555" s="2" t="s">
        <v>10616</v>
      </c>
      <c r="J4555" s="3" t="str">
        <f>HYPERLINK("https://www.boe.es/gazeta/dias/1814/04/24/pdfs/GRE-1814-60E.pdf#page=8","Abrir facsímil")</f>
        <v>Abrir facsímil</v>
      </c>
      <c r="K4555" s="3" t="s">
        <v>64</v>
      </c>
    </row>
    <row r="4556" spans="1:11" ht="42" customHeight="1">
      <c r="A4556" s="2" t="s">
        <v>10617</v>
      </c>
      <c r="B4556" s="2" t="s">
        <v>10618</v>
      </c>
      <c r="C4556" s="2" t="s">
        <v>38</v>
      </c>
      <c r="D4556" s="2" t="s">
        <v>39</v>
      </c>
      <c r="E4556" s="5">
        <v>-31124</v>
      </c>
      <c r="F4556" s="3" t="s">
        <v>383</v>
      </c>
      <c r="G4556" s="3" t="s">
        <v>574</v>
      </c>
      <c r="H4556" s="2" t="s">
        <v>62</v>
      </c>
      <c r="I4556" s="2" t="s">
        <v>10619</v>
      </c>
      <c r="J4556" s="3" t="str">
        <f>HYPERLINK("https://www.boe.es/gazeta/dias/1814/10/13/pdfs/GMD-1814-138.pdf#page=10","Abrir facsímil")</f>
        <v>Abrir facsímil</v>
      </c>
      <c r="K4556" s="3" t="s">
        <v>64</v>
      </c>
    </row>
    <row r="4557" spans="1:11" ht="42" customHeight="1">
      <c r="A4557" s="2" t="s">
        <v>10620</v>
      </c>
      <c r="B4557" s="2" t="s">
        <v>10621</v>
      </c>
      <c r="C4557" s="2" t="s">
        <v>17</v>
      </c>
      <c r="D4557" s="2" t="s">
        <v>18</v>
      </c>
      <c r="E4557" s="5">
        <v>-31409</v>
      </c>
      <c r="F4557" s="3" t="s">
        <v>168</v>
      </c>
      <c r="G4557" s="3" t="s">
        <v>99</v>
      </c>
      <c r="H4557" s="2" t="s">
        <v>62</v>
      </c>
      <c r="I4557" s="2" t="s">
        <v>10622</v>
      </c>
      <c r="J4557" s="3" t="str">
        <f>HYPERLINK("https://www.boe.es/gazeta/dias/1814/01/01/pdfs/GRE-1814-1.pdf#page=5","Abrir facsímil")</f>
        <v>Abrir facsímil</v>
      </c>
      <c r="K4557" s="3" t="s">
        <v>64</v>
      </c>
    </row>
    <row r="4558" spans="1:11" ht="42" customHeight="1">
      <c r="A4558" s="2" t="s">
        <v>10623</v>
      </c>
      <c r="B4558" s="2" t="s">
        <v>10624</v>
      </c>
      <c r="C4558" s="2" t="s">
        <v>38</v>
      </c>
      <c r="D4558" s="2" t="s">
        <v>39</v>
      </c>
      <c r="E4558" s="5">
        <v>-31367</v>
      </c>
      <c r="F4558" s="3" t="s">
        <v>857</v>
      </c>
      <c r="G4558" s="3" t="s">
        <v>20</v>
      </c>
      <c r="H4558" s="2" t="s">
        <v>62</v>
      </c>
      <c r="I4558" s="2" t="s">
        <v>10625</v>
      </c>
      <c r="J4558" s="3" t="str">
        <f>HYPERLINK("https://www.boe.es/gazeta/dias/1814/02/12/pdfs/GRE-1814-20.pdf#page=7","Abrir facsímil")</f>
        <v>Abrir facsímil</v>
      </c>
      <c r="K4558" s="3" t="s">
        <v>64</v>
      </c>
    </row>
    <row r="4559" spans="1:11" ht="42" customHeight="1">
      <c r="A4559" s="2" t="s">
        <v>10626</v>
      </c>
      <c r="B4559" s="2" t="s">
        <v>10627</v>
      </c>
      <c r="C4559" s="2" t="s">
        <v>38</v>
      </c>
      <c r="D4559" s="2" t="s">
        <v>39</v>
      </c>
      <c r="E4559" s="5">
        <v>-31098</v>
      </c>
      <c r="F4559" s="3" t="s">
        <v>290</v>
      </c>
      <c r="G4559" s="3" t="s">
        <v>82</v>
      </c>
      <c r="H4559" s="2" t="s">
        <v>62</v>
      </c>
      <c r="I4559" s="2" t="s">
        <v>10628</v>
      </c>
      <c r="J4559" s="3" t="str">
        <f>HYPERLINK("https://www.boe.es/gazeta/dias/1814/11/08/pdfs/GMD-1814-149.pdf#page=3","Abrir facsímil")</f>
        <v>Abrir facsímil</v>
      </c>
      <c r="K4559" s="3" t="s">
        <v>64</v>
      </c>
    </row>
    <row r="4560" spans="1:11" ht="42" customHeight="1">
      <c r="A4560" s="2" t="s">
        <v>10629</v>
      </c>
      <c r="B4560" s="2" t="s">
        <v>10630</v>
      </c>
      <c r="C4560" s="2" t="s">
        <v>38</v>
      </c>
      <c r="D4560" s="2" t="s">
        <v>39</v>
      </c>
      <c r="E4560" s="5">
        <v>-31180</v>
      </c>
      <c r="F4560" s="3" t="s">
        <v>520</v>
      </c>
      <c r="G4560" s="3" t="s">
        <v>602</v>
      </c>
      <c r="H4560" s="2" t="s">
        <v>62</v>
      </c>
      <c r="I4560" s="2" t="s">
        <v>10631</v>
      </c>
      <c r="J4560" s="3" t="str">
        <f>HYPERLINK("https://www.boe.es/gazeta/dias/1814/08/18/pdfs/GMD-1814-113.pdf#page=8","Abrir facsímil")</f>
        <v>Abrir facsímil</v>
      </c>
      <c r="K4560" s="3" t="s">
        <v>64</v>
      </c>
    </row>
    <row r="4561" spans="1:11" ht="42" customHeight="1">
      <c r="A4561" s="2" t="s">
        <v>10632</v>
      </c>
      <c r="B4561" s="2" t="s">
        <v>10633</v>
      </c>
      <c r="C4561" s="2" t="s">
        <v>38</v>
      </c>
      <c r="D4561" s="2" t="s">
        <v>39</v>
      </c>
      <c r="E4561" s="5">
        <v>-31325</v>
      </c>
      <c r="F4561" s="3" t="s">
        <v>67</v>
      </c>
      <c r="G4561" s="3" t="s">
        <v>20</v>
      </c>
      <c r="H4561" s="2" t="s">
        <v>62</v>
      </c>
      <c r="I4561" s="2" t="s">
        <v>10634</v>
      </c>
      <c r="J4561" s="3" t="str">
        <f>HYPERLINK("https://www.boe.es/gazeta/dias/1814/03/26/pdfs/GRE-1814-43.pdf#page=7","Abrir facsímil")</f>
        <v>Abrir facsímil</v>
      </c>
      <c r="K4561" s="3" t="s">
        <v>64</v>
      </c>
    </row>
    <row r="4562" spans="1:11" ht="42" customHeight="1">
      <c r="A4562" s="2" t="s">
        <v>10635</v>
      </c>
      <c r="B4562" s="2" t="s">
        <v>10635</v>
      </c>
      <c r="C4562" s="2" t="s">
        <v>38</v>
      </c>
      <c r="D4562" s="2" t="s">
        <v>39</v>
      </c>
      <c r="E4562" s="5">
        <v>-31383</v>
      </c>
      <c r="F4562" s="3" t="s">
        <v>715</v>
      </c>
      <c r="G4562" s="3" t="s">
        <v>87</v>
      </c>
      <c r="H4562" s="2" t="s">
        <v>62</v>
      </c>
      <c r="I4562" s="2" t="s">
        <v>10636</v>
      </c>
      <c r="J4562" s="3" t="str">
        <f>HYPERLINK("https://www.boe.es/gazeta/dias/1814/01/27/pdfs/GRE-1814-13.pdf#page=2","Abrir facsímil")</f>
        <v>Abrir facsímil</v>
      </c>
      <c r="K4562" s="3" t="s">
        <v>64</v>
      </c>
    </row>
    <row r="4563" spans="1:11" ht="42" customHeight="1">
      <c r="A4563" s="2" t="s">
        <v>10637</v>
      </c>
      <c r="B4563" s="2" t="s">
        <v>10637</v>
      </c>
      <c r="C4563" s="2" t="s">
        <v>38</v>
      </c>
      <c r="D4563" s="2" t="s">
        <v>39</v>
      </c>
      <c r="E4563" s="5">
        <v>-31350</v>
      </c>
      <c r="F4563" s="3" t="s">
        <v>377</v>
      </c>
      <c r="G4563" s="3" t="s">
        <v>87</v>
      </c>
      <c r="H4563" s="2" t="s">
        <v>62</v>
      </c>
      <c r="I4563" s="2" t="s">
        <v>10638</v>
      </c>
      <c r="J4563" s="3" t="str">
        <f>HYPERLINK("https://www.boe.es/gazeta/dias/1814/03/01/pdfs/GRE-1814-28.pdf#page=2","Abrir facsímil")</f>
        <v>Abrir facsímil</v>
      </c>
      <c r="K4563" s="3" t="s">
        <v>64</v>
      </c>
    </row>
    <row r="4564" spans="1:11" ht="42" customHeight="1">
      <c r="A4564" s="2" t="s">
        <v>10639</v>
      </c>
      <c r="B4564" s="2" t="s">
        <v>10639</v>
      </c>
      <c r="C4564" s="2" t="s">
        <v>38</v>
      </c>
      <c r="D4564" s="2" t="s">
        <v>39</v>
      </c>
      <c r="E4564" s="5">
        <v>-31124</v>
      </c>
      <c r="F4564" s="3" t="s">
        <v>383</v>
      </c>
      <c r="G4564" s="3" t="s">
        <v>107</v>
      </c>
      <c r="H4564" s="2" t="s">
        <v>62</v>
      </c>
      <c r="I4564" s="2" t="s">
        <v>10640</v>
      </c>
      <c r="J4564" s="3" t="str">
        <f>HYPERLINK("https://www.boe.es/gazeta/dias/1814/10/13/pdfs/GMD-1814-138.pdf#page=1","Abrir facsímil")</f>
        <v>Abrir facsímil</v>
      </c>
      <c r="K4564" s="3" t="s">
        <v>64</v>
      </c>
    </row>
    <row r="4565" spans="1:11" ht="42" customHeight="1">
      <c r="A4565" s="2" t="s">
        <v>10641</v>
      </c>
      <c r="B4565" s="2" t="s">
        <v>10642</v>
      </c>
      <c r="C4565" s="2" t="s">
        <v>17</v>
      </c>
      <c r="D4565" s="2" t="s">
        <v>18</v>
      </c>
      <c r="E4565" s="5">
        <v>-31138</v>
      </c>
      <c r="F4565" s="3" t="s">
        <v>1363</v>
      </c>
      <c r="G4565" s="3" t="s">
        <v>41</v>
      </c>
      <c r="H4565" s="2" t="s">
        <v>62</v>
      </c>
      <c r="I4565" s="2" t="s">
        <v>10643</v>
      </c>
      <c r="J4565" s="3" t="str">
        <f>HYPERLINK("https://www.boe.es/gazeta/dias/1814/09/29/pdfs/GMD-1814-132.pdf#page=4","Abrir facsímil")</f>
        <v>Abrir facsímil</v>
      </c>
      <c r="K4565" s="3" t="s">
        <v>64</v>
      </c>
    </row>
    <row r="4566" spans="1:11" ht="42" customHeight="1">
      <c r="A4566" s="2" t="s">
        <v>10644</v>
      </c>
      <c r="B4566" s="2" t="s">
        <v>10645</v>
      </c>
      <c r="C4566" s="2" t="s">
        <v>17</v>
      </c>
      <c r="D4566" s="2" t="s">
        <v>18</v>
      </c>
      <c r="E4566" s="5">
        <v>-31096</v>
      </c>
      <c r="F4566" s="3" t="s">
        <v>223</v>
      </c>
      <c r="G4566" s="3" t="s">
        <v>41</v>
      </c>
      <c r="H4566" s="2" t="s">
        <v>62</v>
      </c>
      <c r="I4566" s="2" t="s">
        <v>10646</v>
      </c>
      <c r="J4566" s="3" t="str">
        <f>HYPERLINK("https://www.boe.es/gazeta/dias/1814/11/10/pdfs/GMD-1814-150.pdf#page=4","Abrir facsímil")</f>
        <v>Abrir facsímil</v>
      </c>
      <c r="K4566" s="3" t="s">
        <v>64</v>
      </c>
    </row>
    <row r="4567" spans="1:11" ht="42" customHeight="1">
      <c r="A4567" s="2" t="s">
        <v>10647</v>
      </c>
      <c r="B4567" s="2" t="s">
        <v>10648</v>
      </c>
      <c r="C4567" s="2" t="s">
        <v>26</v>
      </c>
      <c r="D4567" s="2" t="s">
        <v>27</v>
      </c>
      <c r="E4567" s="5">
        <v>-31094</v>
      </c>
      <c r="F4567" s="3" t="s">
        <v>761</v>
      </c>
      <c r="G4567" s="3" t="s">
        <v>87</v>
      </c>
      <c r="H4567" s="2" t="s">
        <v>62</v>
      </c>
      <c r="I4567" s="2" t="s">
        <v>10649</v>
      </c>
      <c r="J4567" s="3" t="str">
        <f>HYPERLINK("https://www.boe.es/gazeta/dias/1814/11/12/pdfs/GMD-1814-151.pdf#page=2","Abrir facsímil")</f>
        <v>Abrir facsímil</v>
      </c>
      <c r="K4567" s="3" t="s">
        <v>64</v>
      </c>
    </row>
    <row r="4568" spans="1:11" ht="42" customHeight="1">
      <c r="A4568" s="2" t="s">
        <v>10650</v>
      </c>
      <c r="B4568" s="2" t="s">
        <v>10650</v>
      </c>
      <c r="C4568" s="2" t="s">
        <v>38</v>
      </c>
      <c r="D4568" s="2" t="s">
        <v>39</v>
      </c>
      <c r="E4568" s="5">
        <v>-31054</v>
      </c>
      <c r="F4568" s="3" t="s">
        <v>952</v>
      </c>
      <c r="G4568" s="3" t="s">
        <v>87</v>
      </c>
      <c r="H4568" s="2" t="s">
        <v>62</v>
      </c>
      <c r="I4568" s="2" t="s">
        <v>10651</v>
      </c>
      <c r="J4568" s="3" t="str">
        <f>HYPERLINK("https://www.boe.es/gazeta/dias/1814/12/22/pdfs/GMD-1814-169.pdf#page=2","Abrir facsímil")</f>
        <v>Abrir facsímil</v>
      </c>
      <c r="K4568" s="3" t="s">
        <v>64</v>
      </c>
    </row>
    <row r="4569" spans="1:11" ht="42" customHeight="1">
      <c r="A4569" s="2" t="s">
        <v>10652</v>
      </c>
      <c r="B4569" s="2" t="s">
        <v>10653</v>
      </c>
      <c r="C4569" s="2" t="s">
        <v>38</v>
      </c>
      <c r="D4569" s="2" t="s">
        <v>39</v>
      </c>
      <c r="E4569" s="5">
        <v>-31112</v>
      </c>
      <c r="F4569" s="3" t="s">
        <v>707</v>
      </c>
      <c r="G4569" s="3" t="s">
        <v>20</v>
      </c>
      <c r="H4569" s="2" t="s">
        <v>21</v>
      </c>
      <c r="I4569" s="2" t="s">
        <v>10654</v>
      </c>
      <c r="J4569" s="3" t="str">
        <f>HYPERLINK("https://www.boe.es/gazeta/dias/1814/10/25/pdfs/GMD-1814-143.pdf#page=7","Abrir facsímil")</f>
        <v>Abrir facsímil</v>
      </c>
      <c r="K4569" s="3" t="s">
        <v>23</v>
      </c>
    </row>
    <row r="4570" spans="1:11" ht="42" customHeight="1">
      <c r="A4570" s="2" t="s">
        <v>10655</v>
      </c>
      <c r="B4570" s="2" t="s">
        <v>10656</v>
      </c>
      <c r="C4570" s="2" t="s">
        <v>26</v>
      </c>
      <c r="D4570" s="2" t="s">
        <v>27</v>
      </c>
      <c r="E4570" s="5">
        <v>-31339</v>
      </c>
      <c r="F4570" s="3" t="s">
        <v>641</v>
      </c>
      <c r="G4570" s="3" t="s">
        <v>52</v>
      </c>
      <c r="H4570" s="2" t="s">
        <v>62</v>
      </c>
      <c r="I4570" s="2" t="s">
        <v>10657</v>
      </c>
      <c r="J4570" s="3" t="str">
        <f>HYPERLINK("https://www.boe.es/gazeta/dias/1814/03/12/pdfs/GRE-1814-35.pdf#page=8","Abrir facsímil")</f>
        <v>Abrir facsímil</v>
      </c>
      <c r="K4570" s="3" t="s">
        <v>64</v>
      </c>
    </row>
    <row r="4571" spans="1:11" ht="42" customHeight="1">
      <c r="A4571" s="2" t="s">
        <v>10658</v>
      </c>
      <c r="B4571" s="2" t="s">
        <v>10659</v>
      </c>
      <c r="C4571" s="2" t="s">
        <v>17</v>
      </c>
      <c r="D4571" s="2" t="s">
        <v>314</v>
      </c>
      <c r="E4571" s="5">
        <v>-31296</v>
      </c>
      <c r="F4571" s="3" t="s">
        <v>315</v>
      </c>
      <c r="G4571" s="3" t="s">
        <v>52</v>
      </c>
      <c r="H4571" s="2" t="s">
        <v>62</v>
      </c>
      <c r="I4571" s="2" t="s">
        <v>10660</v>
      </c>
      <c r="J4571" s="3" t="str">
        <f>HYPERLINK("https://www.boe.es/gazeta/dias/1814/04/24/pdfs/GRE-1814-60E.pdf#page=8","Abrir facsímil")</f>
        <v>Abrir facsímil</v>
      </c>
      <c r="K4571" s="3" t="s">
        <v>64</v>
      </c>
    </row>
    <row r="4572" spans="1:11" ht="42" customHeight="1">
      <c r="A4572" s="2" t="s">
        <v>10658</v>
      </c>
      <c r="B4572" s="2" t="s">
        <v>10659</v>
      </c>
      <c r="C4572" s="2" t="s">
        <v>38</v>
      </c>
      <c r="D4572" s="2" t="s">
        <v>39</v>
      </c>
      <c r="E4572" s="5">
        <v>-31133</v>
      </c>
      <c r="F4572" s="3" t="s">
        <v>184</v>
      </c>
      <c r="G4572" s="3" t="s">
        <v>20</v>
      </c>
      <c r="H4572" s="2" t="s">
        <v>62</v>
      </c>
      <c r="I4572" s="2" t="s">
        <v>10661</v>
      </c>
      <c r="J4572" s="3" t="str">
        <f>HYPERLINK("https://www.boe.es/gazeta/dias/1814/10/04/pdfs/GMD-1814-134.pdf#page=7","Abrir facsímil")</f>
        <v>Abrir facsímil</v>
      </c>
      <c r="K4572" s="3" t="s">
        <v>64</v>
      </c>
    </row>
    <row r="4573" spans="1:11" ht="42" customHeight="1">
      <c r="A4573" s="2" t="s">
        <v>10662</v>
      </c>
      <c r="B4573" s="2" t="s">
        <v>10663</v>
      </c>
      <c r="C4573" s="2" t="s">
        <v>17</v>
      </c>
      <c r="D4573" s="2" t="s">
        <v>18</v>
      </c>
      <c r="E4573" s="5">
        <v>-31145</v>
      </c>
      <c r="F4573" s="3" t="s">
        <v>523</v>
      </c>
      <c r="G4573" s="3" t="s">
        <v>52</v>
      </c>
      <c r="H4573" s="2" t="s">
        <v>62</v>
      </c>
      <c r="I4573" s="2" t="s">
        <v>10664</v>
      </c>
      <c r="J4573" s="3" t="str">
        <f>HYPERLINK("https://www.boe.es/gazeta/dias/1814/09/22/pdfs/GMD-1814-129.pdf#page=8","Abrir facsímil")</f>
        <v>Abrir facsímil</v>
      </c>
      <c r="K4573" s="3" t="s">
        <v>64</v>
      </c>
    </row>
    <row r="4574" spans="1:11" ht="42" customHeight="1">
      <c r="A4574" s="2" t="s">
        <v>10665</v>
      </c>
      <c r="B4574" s="2" t="s">
        <v>10666</v>
      </c>
      <c r="C4574" s="2" t="s">
        <v>32</v>
      </c>
      <c r="D4574" s="2" t="s">
        <v>18</v>
      </c>
      <c r="E4574" s="5">
        <v>-31084</v>
      </c>
      <c r="F4574" s="3" t="s">
        <v>282</v>
      </c>
      <c r="G4574" s="3" t="s">
        <v>52</v>
      </c>
      <c r="H4574" s="2" t="s">
        <v>21</v>
      </c>
      <c r="I4574" s="2" t="s">
        <v>10667</v>
      </c>
      <c r="J4574" s="3" t="str">
        <f>HYPERLINK("https://www.boe.es/gazeta/dias/1814/11/22/pdfs/GMD-1814-155.pdf#page=8","Abrir facsímil")</f>
        <v>Abrir facsímil</v>
      </c>
      <c r="K4574" s="3" t="s">
        <v>23</v>
      </c>
    </row>
    <row r="4575" spans="1:11" ht="42" customHeight="1">
      <c r="A4575" s="2" t="s">
        <v>10668</v>
      </c>
      <c r="B4575" s="2" t="s">
        <v>10669</v>
      </c>
      <c r="C4575" s="2" t="s">
        <v>38</v>
      </c>
      <c r="D4575" s="2" t="s">
        <v>39</v>
      </c>
      <c r="E4575" s="5">
        <v>-31089</v>
      </c>
      <c r="F4575" s="3" t="s">
        <v>531</v>
      </c>
      <c r="G4575" s="3" t="s">
        <v>20</v>
      </c>
      <c r="H4575" s="2" t="s">
        <v>62</v>
      </c>
      <c r="I4575" s="2" t="s">
        <v>10670</v>
      </c>
      <c r="J4575" s="3" t="str">
        <f>HYPERLINK("https://www.boe.es/gazeta/dias/1814/11/17/pdfs/GMD-1814-153.pdf#page=7","Abrir facsímil")</f>
        <v>Abrir facsímil</v>
      </c>
      <c r="K4575" s="3" t="s">
        <v>64</v>
      </c>
    </row>
    <row r="4576" spans="1:11" ht="42" customHeight="1">
      <c r="A4576" s="2" t="s">
        <v>10671</v>
      </c>
      <c r="B4576" s="2" t="s">
        <v>10672</v>
      </c>
      <c r="C4576" s="2" t="s">
        <v>26</v>
      </c>
      <c r="D4576" s="2" t="s">
        <v>27</v>
      </c>
      <c r="E4576" s="5">
        <v>-31182</v>
      </c>
      <c r="F4576" s="3" t="s">
        <v>19</v>
      </c>
      <c r="G4576" s="3" t="s">
        <v>57</v>
      </c>
      <c r="H4576" s="2" t="s">
        <v>62</v>
      </c>
      <c r="I4576" s="2" t="s">
        <v>10673</v>
      </c>
      <c r="J4576" s="3" t="str">
        <f>HYPERLINK("https://www.boe.es/gazeta/dias/1814/08/16/pdfs/GMD-1814-112.pdf#page=6","Abrir facsímil")</f>
        <v>Abrir facsímil</v>
      </c>
      <c r="K4576" s="3" t="s">
        <v>64</v>
      </c>
    </row>
    <row r="4577" spans="1:11" ht="42" customHeight="1">
      <c r="A4577" s="2" t="s">
        <v>10674</v>
      </c>
      <c r="B4577" s="2" t="s">
        <v>10675</v>
      </c>
      <c r="C4577" s="2" t="s">
        <v>26</v>
      </c>
      <c r="D4577" s="2" t="s">
        <v>27</v>
      </c>
      <c r="E4577" s="5">
        <v>-31362</v>
      </c>
      <c r="F4577" s="3" t="s">
        <v>302</v>
      </c>
      <c r="G4577" s="3" t="s">
        <v>52</v>
      </c>
      <c r="H4577" s="2" t="s">
        <v>62</v>
      </c>
      <c r="I4577" s="2" t="s">
        <v>10676</v>
      </c>
      <c r="J4577" s="3" t="str">
        <f>HYPERLINK("https://www.boe.es/gazeta/dias/1814/02/17/pdfs/GRE-1814-22.pdf#page=8","Abrir facsímil")</f>
        <v>Abrir facsímil</v>
      </c>
      <c r="K4577" s="3" t="s">
        <v>64</v>
      </c>
    </row>
    <row r="4578" spans="1:11" ht="42" customHeight="1">
      <c r="A4578" s="2" t="s">
        <v>10677</v>
      </c>
      <c r="B4578" s="2" t="s">
        <v>10678</v>
      </c>
      <c r="C4578" s="2" t="s">
        <v>17</v>
      </c>
      <c r="D4578" s="2" t="s">
        <v>18</v>
      </c>
      <c r="E4578" s="5">
        <v>-31405</v>
      </c>
      <c r="F4578" s="3" t="s">
        <v>1754</v>
      </c>
      <c r="G4578" s="3" t="s">
        <v>82</v>
      </c>
      <c r="H4578" s="2" t="s">
        <v>62</v>
      </c>
      <c r="I4578" s="2" t="s">
        <v>10679</v>
      </c>
      <c r="J4578" s="3" t="str">
        <f>HYPERLINK("https://www.boe.es/gazeta/dias/1814/01/05/pdfs/GRE-1814-5.pdf#page=3","Abrir facsímil")</f>
        <v>Abrir facsímil</v>
      </c>
      <c r="K4578" s="3" t="s">
        <v>64</v>
      </c>
    </row>
    <row r="4579" spans="1:11" ht="42" customHeight="1">
      <c r="A4579" s="2" t="s">
        <v>10677</v>
      </c>
      <c r="B4579" s="2" t="s">
        <v>10678</v>
      </c>
      <c r="C4579" s="2" t="s">
        <v>17</v>
      </c>
      <c r="D4579" s="2" t="s">
        <v>18</v>
      </c>
      <c r="E4579" s="5">
        <v>-31402</v>
      </c>
      <c r="F4579" s="3" t="s">
        <v>1754</v>
      </c>
      <c r="G4579" s="3" t="s">
        <v>82</v>
      </c>
      <c r="H4579" s="2" t="s">
        <v>62</v>
      </c>
      <c r="I4579" s="2" t="s">
        <v>10679</v>
      </c>
      <c r="J4579" s="3" t="str">
        <f>HYPERLINK("https://www.boe.es/gazeta/dias/1814/01/08/pdfs/GRE-1814-5.pdf#page=3","Abrir facsímil")</f>
        <v>Abrir facsímil</v>
      </c>
      <c r="K4579" s="3" t="s">
        <v>64</v>
      </c>
    </row>
    <row r="4580" spans="1:11" ht="42" customHeight="1">
      <c r="A4580" s="2" t="s">
        <v>10680</v>
      </c>
      <c r="B4580" s="2" t="s">
        <v>10681</v>
      </c>
      <c r="C4580" s="2" t="s">
        <v>38</v>
      </c>
      <c r="D4580" s="2" t="s">
        <v>39</v>
      </c>
      <c r="E4580" s="5">
        <v>-31138</v>
      </c>
      <c r="F4580" s="3" t="s">
        <v>1363</v>
      </c>
      <c r="G4580" s="3" t="s">
        <v>52</v>
      </c>
      <c r="H4580" s="2" t="s">
        <v>62</v>
      </c>
      <c r="I4580" s="2" t="s">
        <v>10682</v>
      </c>
      <c r="J4580" s="3" t="str">
        <f>HYPERLINK("https://www.boe.es/gazeta/dias/1814/09/29/pdfs/GMD-1814-132.pdf#page=8","Abrir facsímil")</f>
        <v>Abrir facsímil</v>
      </c>
      <c r="K4580" s="3" t="s">
        <v>64</v>
      </c>
    </row>
    <row r="4581" spans="1:11" ht="42" customHeight="1">
      <c r="A4581" s="2" t="s">
        <v>10683</v>
      </c>
      <c r="B4581" s="2" t="s">
        <v>10684</v>
      </c>
      <c r="C4581" s="2" t="s">
        <v>38</v>
      </c>
      <c r="D4581" s="2" t="s">
        <v>39</v>
      </c>
      <c r="E4581" s="5">
        <v>-31315</v>
      </c>
      <c r="F4581" s="3" t="s">
        <v>645</v>
      </c>
      <c r="G4581" s="3" t="s">
        <v>41</v>
      </c>
      <c r="H4581" s="2" t="s">
        <v>21</v>
      </c>
      <c r="I4581" s="2" t="s">
        <v>10685</v>
      </c>
      <c r="J4581" s="3" t="str">
        <f>HYPERLINK("https://www.boe.es/gazeta/dias/1814/04/05/pdfs/GRE-1814-49.pdf#page=4","Abrir facsímil")</f>
        <v>Abrir facsímil</v>
      </c>
      <c r="K4581" s="3" t="s">
        <v>23</v>
      </c>
    </row>
    <row r="4582" spans="1:11" ht="42" customHeight="1">
      <c r="A4582" s="2" t="s">
        <v>10686</v>
      </c>
      <c r="B4582" s="2" t="s">
        <v>10687</v>
      </c>
      <c r="C4582" s="2" t="s">
        <v>17</v>
      </c>
      <c r="D4582" s="2" t="s">
        <v>18</v>
      </c>
      <c r="E4582" s="5">
        <v>-31229</v>
      </c>
      <c r="F4582" s="3" t="s">
        <v>502</v>
      </c>
      <c r="G4582" s="3" t="s">
        <v>384</v>
      </c>
      <c r="H4582" s="2" t="s">
        <v>21</v>
      </c>
      <c r="I4582" s="2" t="s">
        <v>10688</v>
      </c>
      <c r="J4582" s="3" t="str">
        <f>HYPERLINK("https://www.boe.es/gazeta/dias/1814/06/30/pdfs/GMD-1814-92.pdf#page=11","Abrir facsímil")</f>
        <v>Abrir facsímil</v>
      </c>
      <c r="K4582" s="3" t="s">
        <v>23</v>
      </c>
    </row>
    <row r="4583" spans="1:11" ht="42" customHeight="1">
      <c r="A4583" s="2" t="s">
        <v>10686</v>
      </c>
      <c r="B4583" s="2" t="s">
        <v>10687</v>
      </c>
      <c r="C4583" s="2" t="s">
        <v>309</v>
      </c>
      <c r="D4583" s="2" t="s">
        <v>18</v>
      </c>
      <c r="E4583" s="5">
        <v>-31171</v>
      </c>
      <c r="F4583" s="3" t="s">
        <v>157</v>
      </c>
      <c r="G4583" s="3" t="s">
        <v>57</v>
      </c>
      <c r="H4583" s="2" t="s">
        <v>21</v>
      </c>
      <c r="I4583" s="2" t="s">
        <v>10689</v>
      </c>
      <c r="J4583" s="3" t="str">
        <f>HYPERLINK("https://www.boe.es/gazeta/dias/1814/08/27/pdfs/GMD-1814-117.pdf#page=6","Abrir facsímil")</f>
        <v>Abrir facsímil</v>
      </c>
      <c r="K4583" s="3" t="s">
        <v>23</v>
      </c>
    </row>
    <row r="4584" spans="1:11" ht="42" customHeight="1">
      <c r="A4584" s="2" t="s">
        <v>10690</v>
      </c>
      <c r="B4584" s="2" t="s">
        <v>10690</v>
      </c>
      <c r="C4584" s="2" t="s">
        <v>45</v>
      </c>
      <c r="D4584" s="2" t="s">
        <v>18</v>
      </c>
      <c r="E4584" s="5">
        <v>-31182</v>
      </c>
      <c r="F4584" s="3" t="s">
        <v>19</v>
      </c>
      <c r="G4584" s="3" t="s">
        <v>20</v>
      </c>
      <c r="H4584" s="2" t="s">
        <v>62</v>
      </c>
      <c r="I4584" s="2" t="s">
        <v>10691</v>
      </c>
      <c r="J4584" s="3" t="str">
        <f>HYPERLINK("https://www.boe.es/gazeta/dias/1814/08/16/pdfs/GMD-1814-112.pdf#page=7","Abrir facsímil")</f>
        <v>Abrir facsímil</v>
      </c>
      <c r="K4584" s="3" t="s">
        <v>64</v>
      </c>
    </row>
    <row r="4585" spans="1:11" ht="42" customHeight="1">
      <c r="A4585" s="2" t="s">
        <v>10692</v>
      </c>
      <c r="B4585" s="2" t="s">
        <v>10693</v>
      </c>
      <c r="C4585" s="2" t="s">
        <v>17</v>
      </c>
      <c r="D4585" s="2" t="s">
        <v>314</v>
      </c>
      <c r="E4585" s="5">
        <v>-31296</v>
      </c>
      <c r="F4585" s="3" t="s">
        <v>315</v>
      </c>
      <c r="G4585" s="3" t="s">
        <v>52</v>
      </c>
      <c r="H4585" s="2" t="s">
        <v>62</v>
      </c>
      <c r="I4585" s="2" t="s">
        <v>10694</v>
      </c>
      <c r="J4585" s="3" t="str">
        <f>HYPERLINK("https://www.boe.es/gazeta/dias/1814/04/24/pdfs/GRE-1814-60E.pdf#page=8","Abrir facsímil")</f>
        <v>Abrir facsímil</v>
      </c>
      <c r="K4585" s="3" t="s">
        <v>64</v>
      </c>
    </row>
    <row r="4586" spans="1:11" ht="42" customHeight="1">
      <c r="A4586" s="2" t="s">
        <v>10695</v>
      </c>
      <c r="B4586" s="2" t="s">
        <v>10696</v>
      </c>
      <c r="C4586" s="2" t="s">
        <v>38</v>
      </c>
      <c r="D4586" s="2" t="s">
        <v>39</v>
      </c>
      <c r="E4586" s="5">
        <v>-31056</v>
      </c>
      <c r="F4586" s="3" t="s">
        <v>540</v>
      </c>
      <c r="G4586" s="3" t="s">
        <v>20</v>
      </c>
      <c r="H4586" s="2" t="s">
        <v>62</v>
      </c>
      <c r="I4586" s="2" t="s">
        <v>10697</v>
      </c>
      <c r="J4586" s="3" t="str">
        <f>HYPERLINK("https://www.boe.es/gazeta/dias/1814/12/20/pdfs/GMD-1814-168.pdf#page=7","Abrir facsímil")</f>
        <v>Abrir facsímil</v>
      </c>
      <c r="K4586" s="3" t="s">
        <v>64</v>
      </c>
    </row>
    <row r="4587" spans="1:11" ht="42" customHeight="1">
      <c r="A4587" s="2" t="s">
        <v>10698</v>
      </c>
      <c r="B4587" s="2" t="s">
        <v>10699</v>
      </c>
      <c r="C4587" s="2" t="s">
        <v>26</v>
      </c>
      <c r="D4587" s="2" t="s">
        <v>27</v>
      </c>
      <c r="E4587" s="5">
        <v>-31182</v>
      </c>
      <c r="F4587" s="3" t="s">
        <v>19</v>
      </c>
      <c r="G4587" s="3" t="s">
        <v>3827</v>
      </c>
      <c r="H4587" s="2" t="s">
        <v>21</v>
      </c>
      <c r="I4587" s="2" t="s">
        <v>10700</v>
      </c>
      <c r="J4587" s="3" t="str">
        <f>HYPERLINK("https://www.boe.es/gazeta/dias/1814/08/16/pdfs/GMD-1814-112.pdf#page=8","Abrir facsímil")</f>
        <v>Abrir facsímil</v>
      </c>
      <c r="K4587" s="3" t="s">
        <v>23</v>
      </c>
    </row>
    <row r="4588" spans="1:11" ht="42" customHeight="1">
      <c r="A4588" s="2" t="s">
        <v>10701</v>
      </c>
      <c r="B4588" s="2" t="s">
        <v>10702</v>
      </c>
      <c r="C4588" s="2" t="s">
        <v>17</v>
      </c>
      <c r="D4588" s="2" t="s">
        <v>18</v>
      </c>
      <c r="E4588" s="5">
        <v>-31399</v>
      </c>
      <c r="F4588" s="3" t="s">
        <v>218</v>
      </c>
      <c r="G4588" s="3" t="s">
        <v>219</v>
      </c>
      <c r="H4588" s="2" t="s">
        <v>62</v>
      </c>
      <c r="I4588" s="2" t="s">
        <v>10703</v>
      </c>
      <c r="J4588" s="3" t="str">
        <f>HYPERLINK("https://www.boe.es/gazeta/dias/1814/01/11/pdfs/GRE-1814-6.pdf#page=8","Abrir facsímil")</f>
        <v>Abrir facsímil</v>
      </c>
      <c r="K4588" s="3" t="s">
        <v>64</v>
      </c>
    </row>
    <row r="4589" spans="1:11" ht="42" customHeight="1">
      <c r="A4589" s="2" t="s">
        <v>10704</v>
      </c>
      <c r="B4589" s="2" t="s">
        <v>10705</v>
      </c>
      <c r="C4589" s="2" t="s">
        <v>17</v>
      </c>
      <c r="D4589" s="2" t="s">
        <v>18</v>
      </c>
      <c r="E4589" s="5">
        <v>-31257</v>
      </c>
      <c r="F4589" s="3" t="s">
        <v>437</v>
      </c>
      <c r="G4589" s="3" t="s">
        <v>438</v>
      </c>
      <c r="H4589" s="2" t="s">
        <v>62</v>
      </c>
      <c r="I4589" s="2" t="s">
        <v>10706</v>
      </c>
      <c r="J4589" s="3" t="str">
        <f>HYPERLINK("https://www.boe.es/gazeta/dias/1814/06/02/pdfs/GMD-1814-80.pdf#page=5","Abrir facsímil")</f>
        <v>Abrir facsímil</v>
      </c>
      <c r="K4589" s="3" t="s">
        <v>64</v>
      </c>
    </row>
    <row r="4590" spans="1:11" ht="42" customHeight="1">
      <c r="A4590" s="2" t="s">
        <v>10707</v>
      </c>
      <c r="B4590" s="2" t="s">
        <v>10707</v>
      </c>
      <c r="C4590" s="2" t="s">
        <v>38</v>
      </c>
      <c r="D4590" s="2" t="s">
        <v>39</v>
      </c>
      <c r="E4590" s="5">
        <v>-31346</v>
      </c>
      <c r="F4590" s="3" t="s">
        <v>78</v>
      </c>
      <c r="G4590" s="3" t="s">
        <v>3031</v>
      </c>
      <c r="H4590" s="2" t="s">
        <v>62</v>
      </c>
      <c r="I4590" s="2" t="s">
        <v>10708</v>
      </c>
      <c r="J4590" s="3" t="str">
        <f>HYPERLINK("https://www.boe.es/gazeta/dias/1814/03/05/pdfs/GRE-1814-30.pdf#page=5","Abrir facsímil")</f>
        <v>Abrir facsímil</v>
      </c>
      <c r="K4590" s="3" t="s">
        <v>64</v>
      </c>
    </row>
    <row r="4591" spans="1:11" ht="42" customHeight="1">
      <c r="A4591" s="2" t="s">
        <v>10707</v>
      </c>
      <c r="B4591" s="2" t="s">
        <v>10707</v>
      </c>
      <c r="C4591" s="2" t="s">
        <v>38</v>
      </c>
      <c r="D4591" s="2" t="s">
        <v>39</v>
      </c>
      <c r="E4591" s="5">
        <v>-31336</v>
      </c>
      <c r="F4591" s="3" t="s">
        <v>1789</v>
      </c>
      <c r="G4591" s="3" t="s">
        <v>1957</v>
      </c>
      <c r="H4591" s="2" t="s">
        <v>62</v>
      </c>
      <c r="I4591" s="2" t="s">
        <v>10709</v>
      </c>
      <c r="J4591" s="3" t="str">
        <f>HYPERLINK("https://www.boe.es/gazeta/dias/1814/03/15/pdfs/GRE-1814-36.pdf#page=5","Abrir facsímil")</f>
        <v>Abrir facsímil</v>
      </c>
      <c r="K4591" s="3" t="s">
        <v>64</v>
      </c>
    </row>
    <row r="4592" spans="1:11" ht="42" customHeight="1">
      <c r="A4592" s="2" t="s">
        <v>10710</v>
      </c>
      <c r="B4592" s="2" t="s">
        <v>10710</v>
      </c>
      <c r="C4592" s="2" t="s">
        <v>38</v>
      </c>
      <c r="D4592" s="2" t="s">
        <v>39</v>
      </c>
      <c r="E4592" s="5">
        <v>-31374</v>
      </c>
      <c r="F4592" s="3" t="s">
        <v>474</v>
      </c>
      <c r="G4592" s="3" t="s">
        <v>87</v>
      </c>
      <c r="H4592" s="2" t="s">
        <v>62</v>
      </c>
      <c r="I4592" s="2" t="s">
        <v>10711</v>
      </c>
      <c r="J4592" s="3" t="str">
        <f>HYPERLINK("https://www.boe.es/gazeta/dias/1814/02/05/pdfs/GRE-1814-17.pdf#page=2","Abrir facsímil")</f>
        <v>Abrir facsímil</v>
      </c>
      <c r="K4592" s="3" t="s">
        <v>64</v>
      </c>
    </row>
    <row r="4593" spans="1:11" ht="42" customHeight="1">
      <c r="A4593" s="2" t="s">
        <v>10710</v>
      </c>
      <c r="B4593" s="2" t="s">
        <v>10710</v>
      </c>
      <c r="C4593" s="2" t="s">
        <v>38</v>
      </c>
      <c r="D4593" s="2" t="s">
        <v>39</v>
      </c>
      <c r="E4593" s="5">
        <v>-31374</v>
      </c>
      <c r="F4593" s="3" t="s">
        <v>474</v>
      </c>
      <c r="G4593" s="3" t="s">
        <v>41</v>
      </c>
      <c r="H4593" s="2" t="s">
        <v>62</v>
      </c>
      <c r="I4593" s="2" t="s">
        <v>10712</v>
      </c>
      <c r="J4593" s="3" t="str">
        <f>HYPERLINK("https://www.boe.es/gazeta/dias/1814/02/05/pdfs/GRE-1814-17.pdf#page=4","Abrir facsímil")</f>
        <v>Abrir facsímil</v>
      </c>
      <c r="K4593" s="3" t="s">
        <v>64</v>
      </c>
    </row>
    <row r="4594" spans="1:11" ht="42" customHeight="1">
      <c r="A4594" s="2" t="s">
        <v>10710</v>
      </c>
      <c r="B4594" s="2" t="s">
        <v>10710</v>
      </c>
      <c r="C4594" s="2" t="s">
        <v>38</v>
      </c>
      <c r="D4594" s="2" t="s">
        <v>39</v>
      </c>
      <c r="E4594" s="5">
        <v>-31353</v>
      </c>
      <c r="F4594" s="3" t="s">
        <v>247</v>
      </c>
      <c r="G4594" s="3" t="s">
        <v>2040</v>
      </c>
      <c r="H4594" s="2" t="s">
        <v>62</v>
      </c>
      <c r="I4594" s="2" t="s">
        <v>10713</v>
      </c>
      <c r="J4594" s="3" t="str">
        <f>HYPERLINK("https://www.boe.es/gazeta/dias/1814/02/26/pdfs/GRE-1814-27.pdf#page=2","Abrir facsímil")</f>
        <v>Abrir facsímil</v>
      </c>
      <c r="K4594" s="3" t="s">
        <v>64</v>
      </c>
    </row>
    <row r="4595" spans="1:11" ht="42" customHeight="1">
      <c r="A4595" s="2" t="s">
        <v>10710</v>
      </c>
      <c r="B4595" s="2" t="s">
        <v>10710</v>
      </c>
      <c r="C4595" s="2" t="s">
        <v>38</v>
      </c>
      <c r="D4595" s="2" t="s">
        <v>39</v>
      </c>
      <c r="E4595" s="5">
        <v>-31346</v>
      </c>
      <c r="F4595" s="3" t="s">
        <v>78</v>
      </c>
      <c r="G4595" s="3" t="s">
        <v>521</v>
      </c>
      <c r="H4595" s="2" t="s">
        <v>62</v>
      </c>
      <c r="I4595" s="2" t="s">
        <v>10714</v>
      </c>
      <c r="J4595" s="3" t="str">
        <f>HYPERLINK("https://www.boe.es/gazeta/dias/1814/03/05/pdfs/GRE-1814-30.pdf#page=3","Abrir facsímil")</f>
        <v>Abrir facsímil</v>
      </c>
      <c r="K4595" s="3" t="s">
        <v>64</v>
      </c>
    </row>
    <row r="4596" spans="1:11" ht="42" customHeight="1">
      <c r="A4596" s="2" t="s">
        <v>10710</v>
      </c>
      <c r="B4596" s="2" t="s">
        <v>10710</v>
      </c>
      <c r="C4596" s="2" t="s">
        <v>38</v>
      </c>
      <c r="D4596" s="2" t="s">
        <v>39</v>
      </c>
      <c r="E4596" s="5">
        <v>-31346</v>
      </c>
      <c r="F4596" s="3" t="s">
        <v>78</v>
      </c>
      <c r="G4596" s="3" t="s">
        <v>3031</v>
      </c>
      <c r="H4596" s="2" t="s">
        <v>62</v>
      </c>
      <c r="I4596" s="2" t="s">
        <v>10715</v>
      </c>
      <c r="J4596" s="3" t="str">
        <f>HYPERLINK("https://www.boe.es/gazeta/dias/1814/03/05/pdfs/GRE-1814-30.pdf#page=5","Abrir facsímil")</f>
        <v>Abrir facsímil</v>
      </c>
      <c r="K4596" s="3" t="s">
        <v>64</v>
      </c>
    </row>
    <row r="4597" spans="1:11" ht="42" customHeight="1">
      <c r="A4597" s="2" t="s">
        <v>10716</v>
      </c>
      <c r="B4597" s="2" t="s">
        <v>10716</v>
      </c>
      <c r="C4597" s="2" t="s">
        <v>38</v>
      </c>
      <c r="D4597" s="2" t="s">
        <v>39</v>
      </c>
      <c r="E4597" s="5">
        <v>-31346</v>
      </c>
      <c r="F4597" s="3" t="s">
        <v>78</v>
      </c>
      <c r="G4597" s="3" t="s">
        <v>87</v>
      </c>
      <c r="H4597" s="2" t="s">
        <v>62</v>
      </c>
      <c r="I4597" s="2" t="s">
        <v>10717</v>
      </c>
      <c r="J4597" s="3" t="str">
        <f>HYPERLINK("https://www.boe.es/gazeta/dias/1814/03/05/pdfs/GRE-1814-30.pdf#page=2","Abrir facsímil")</f>
        <v>Abrir facsímil</v>
      </c>
      <c r="K4597" s="3" t="s">
        <v>64</v>
      </c>
    </row>
    <row r="4598" spans="1:11" ht="42" customHeight="1">
      <c r="A4598" s="2" t="s">
        <v>10710</v>
      </c>
      <c r="B4598" s="2" t="s">
        <v>10710</v>
      </c>
      <c r="C4598" s="2" t="s">
        <v>38</v>
      </c>
      <c r="D4598" s="2" t="s">
        <v>39</v>
      </c>
      <c r="E4598" s="5">
        <v>-31346</v>
      </c>
      <c r="F4598" s="3" t="s">
        <v>78</v>
      </c>
      <c r="G4598" s="3" t="s">
        <v>41</v>
      </c>
      <c r="H4598" s="2" t="s">
        <v>62</v>
      </c>
      <c r="I4598" s="2" t="s">
        <v>10718</v>
      </c>
      <c r="J4598" s="3" t="str">
        <f>HYPERLINK("https://www.boe.es/gazeta/dias/1814/03/05/pdfs/GRE-1814-30.pdf#page=4","Abrir facsímil")</f>
        <v>Abrir facsímil</v>
      </c>
      <c r="K4598" s="3" t="s">
        <v>64</v>
      </c>
    </row>
    <row r="4599" spans="1:11" ht="42" customHeight="1">
      <c r="A4599" s="2" t="s">
        <v>10710</v>
      </c>
      <c r="B4599" s="2" t="s">
        <v>10710</v>
      </c>
      <c r="C4599" s="2" t="s">
        <v>38</v>
      </c>
      <c r="D4599" s="2" t="s">
        <v>39</v>
      </c>
      <c r="E4599" s="5">
        <v>-31334</v>
      </c>
      <c r="F4599" s="3" t="s">
        <v>482</v>
      </c>
      <c r="G4599" s="3" t="s">
        <v>82</v>
      </c>
      <c r="H4599" s="2" t="s">
        <v>62</v>
      </c>
      <c r="I4599" s="2" t="s">
        <v>10719</v>
      </c>
      <c r="J4599" s="3" t="str">
        <f>HYPERLINK("https://www.boe.es/gazeta/dias/1814/03/17/pdfs/GRE-1814-37.pdf#page=3","Abrir facsímil")</f>
        <v>Abrir facsímil</v>
      </c>
      <c r="K4599" s="3" t="s">
        <v>64</v>
      </c>
    </row>
    <row r="4600" spans="1:11" ht="42" customHeight="1">
      <c r="A4600" s="2" t="s">
        <v>10710</v>
      </c>
      <c r="B4600" s="2" t="s">
        <v>10710</v>
      </c>
      <c r="C4600" s="2" t="s">
        <v>38</v>
      </c>
      <c r="D4600" s="2" t="s">
        <v>39</v>
      </c>
      <c r="E4600" s="5">
        <v>-31322</v>
      </c>
      <c r="F4600" s="3" t="s">
        <v>114</v>
      </c>
      <c r="G4600" s="3" t="s">
        <v>99</v>
      </c>
      <c r="H4600" s="2" t="s">
        <v>62</v>
      </c>
      <c r="I4600" s="2" t="s">
        <v>10720</v>
      </c>
      <c r="J4600" s="3" t="str">
        <f>HYPERLINK("https://www.boe.es/gazeta/dias/1814/03/29/pdfs/GRE-1814-44.pdf#page=5","Abrir facsímil")</f>
        <v>Abrir facsímil</v>
      </c>
      <c r="K4600" s="3" t="s">
        <v>64</v>
      </c>
    </row>
    <row r="4601" spans="1:11" ht="42" customHeight="1">
      <c r="A4601" s="2" t="s">
        <v>10710</v>
      </c>
      <c r="B4601" s="2" t="s">
        <v>10710</v>
      </c>
      <c r="C4601" s="2" t="s">
        <v>38</v>
      </c>
      <c r="D4601" s="2" t="s">
        <v>39</v>
      </c>
      <c r="E4601" s="5">
        <v>-31164</v>
      </c>
      <c r="F4601" s="3" t="s">
        <v>1423</v>
      </c>
      <c r="G4601" s="3" t="s">
        <v>87</v>
      </c>
      <c r="H4601" s="2" t="s">
        <v>62</v>
      </c>
      <c r="I4601" s="2" t="s">
        <v>10721</v>
      </c>
      <c r="J4601" s="3" t="str">
        <f>HYPERLINK("https://www.boe.es/gazeta/dias/1814/09/03/pdfs/GMD-1814-121.pdf#page=2","Abrir facsímil")</f>
        <v>Abrir facsímil</v>
      </c>
      <c r="K4601" s="3" t="s">
        <v>64</v>
      </c>
    </row>
    <row r="4602" spans="1:11" ht="42" customHeight="1">
      <c r="A4602" s="2" t="s">
        <v>10722</v>
      </c>
      <c r="B4602" s="2" t="s">
        <v>10722</v>
      </c>
      <c r="C4602" s="2" t="s">
        <v>38</v>
      </c>
      <c r="D4602" s="2" t="s">
        <v>39</v>
      </c>
      <c r="E4602" s="5">
        <v>-31297</v>
      </c>
      <c r="F4602" s="3" t="s">
        <v>737</v>
      </c>
      <c r="G4602" s="3" t="s">
        <v>87</v>
      </c>
      <c r="H4602" s="2" t="s">
        <v>62</v>
      </c>
      <c r="I4602" s="2" t="s">
        <v>10723</v>
      </c>
      <c r="J4602" s="3" t="str">
        <f>HYPERLINK("https://www.boe.es/gazeta/dias/1814/04/23/pdfs/GRE-1814-59.pdf#page=2","Abrir facsímil")</f>
        <v>Abrir facsímil</v>
      </c>
      <c r="K4602" s="3" t="s">
        <v>64</v>
      </c>
    </row>
    <row r="4603" spans="1:11" ht="42" customHeight="1">
      <c r="A4603" s="2" t="s">
        <v>10724</v>
      </c>
      <c r="B4603" s="2" t="s">
        <v>10724</v>
      </c>
      <c r="C4603" s="2" t="s">
        <v>38</v>
      </c>
      <c r="D4603" s="2" t="s">
        <v>39</v>
      </c>
      <c r="E4603" s="5">
        <v>-31360</v>
      </c>
      <c r="F4603" s="3" t="s">
        <v>480</v>
      </c>
      <c r="G4603" s="3" t="s">
        <v>2035</v>
      </c>
      <c r="H4603" s="2" t="s">
        <v>62</v>
      </c>
      <c r="I4603" s="2" t="s">
        <v>10725</v>
      </c>
      <c r="J4603" s="3" t="str">
        <f>HYPERLINK("https://www.boe.es/gazeta/dias/1814/02/19/pdfs/GRE-1814-23.pdf#page=4","Abrir facsímil")</f>
        <v>Abrir facsímil</v>
      </c>
      <c r="K4603" s="3" t="s">
        <v>64</v>
      </c>
    </row>
    <row r="4604" spans="1:11" ht="42" customHeight="1">
      <c r="A4604" s="2" t="s">
        <v>10726</v>
      </c>
      <c r="B4604" s="2" t="s">
        <v>10726</v>
      </c>
      <c r="C4604" s="2" t="s">
        <v>38</v>
      </c>
      <c r="D4604" s="2" t="s">
        <v>39</v>
      </c>
      <c r="E4604" s="5">
        <v>-31250</v>
      </c>
      <c r="F4604" s="3" t="s">
        <v>177</v>
      </c>
      <c r="G4604" s="3" t="s">
        <v>41</v>
      </c>
      <c r="H4604" s="2" t="s">
        <v>62</v>
      </c>
      <c r="I4604" s="2" t="s">
        <v>10727</v>
      </c>
      <c r="J4604" s="3" t="str">
        <f>HYPERLINK("https://www.boe.es/gazeta/dias/1814/06/09/pdfs/GMD-1814-83.pdf#page=4","Abrir facsímil")</f>
        <v>Abrir facsímil</v>
      </c>
      <c r="K4604" s="3" t="s">
        <v>64</v>
      </c>
    </row>
    <row r="4605" spans="1:11" ht="42" customHeight="1">
      <c r="A4605" s="2" t="s">
        <v>10728</v>
      </c>
      <c r="B4605" s="2" t="s">
        <v>10728</v>
      </c>
      <c r="C4605" s="2" t="s">
        <v>32</v>
      </c>
      <c r="D4605" s="2" t="s">
        <v>18</v>
      </c>
      <c r="E4605" s="5">
        <v>-31208</v>
      </c>
      <c r="F4605" s="3" t="s">
        <v>509</v>
      </c>
      <c r="G4605" s="3" t="s">
        <v>510</v>
      </c>
      <c r="H4605" s="2" t="s">
        <v>62</v>
      </c>
      <c r="I4605" s="2" t="s">
        <v>10729</v>
      </c>
      <c r="J4605" s="3" t="str">
        <f>HYPERLINK("https://www.boe.es/gazeta/dias/1814/07/21/pdfs/GMD-1814-101.pdf#page=4","Abrir facsímil")</f>
        <v>Abrir facsímil</v>
      </c>
      <c r="K4605" s="3" t="s">
        <v>64</v>
      </c>
    </row>
    <row r="4606" spans="1:11" ht="42" customHeight="1">
      <c r="A4606" s="2" t="s">
        <v>10730</v>
      </c>
      <c r="B4606" s="2" t="s">
        <v>10730</v>
      </c>
      <c r="C4606" s="2" t="s">
        <v>144</v>
      </c>
      <c r="D4606" s="2" t="s">
        <v>18</v>
      </c>
      <c r="E4606" s="5">
        <v>-31392</v>
      </c>
      <c r="F4606" s="3" t="s">
        <v>195</v>
      </c>
      <c r="G4606" s="3" t="s">
        <v>20</v>
      </c>
      <c r="H4606" s="2" t="s">
        <v>62</v>
      </c>
      <c r="I4606" s="2" t="s">
        <v>10731</v>
      </c>
      <c r="J4606" s="3" t="str">
        <f>HYPERLINK("https://www.boe.es/gazeta/dias/1814/01/18/pdfs/GRE-1814-9.pdf#page=7","Abrir facsímil")</f>
        <v>Abrir facsímil</v>
      </c>
      <c r="K4606" s="3" t="s">
        <v>64</v>
      </c>
    </row>
    <row r="4607" spans="1:11" ht="42" customHeight="1">
      <c r="A4607" s="2" t="s">
        <v>10730</v>
      </c>
      <c r="B4607" s="2" t="s">
        <v>10730</v>
      </c>
      <c r="C4607" s="2" t="s">
        <v>38</v>
      </c>
      <c r="D4607" s="2" t="s">
        <v>39</v>
      </c>
      <c r="E4607" s="5">
        <v>-31241</v>
      </c>
      <c r="F4607" s="3" t="s">
        <v>703</v>
      </c>
      <c r="G4607" s="3" t="s">
        <v>52</v>
      </c>
      <c r="H4607" s="2" t="s">
        <v>62</v>
      </c>
      <c r="I4607" s="2" t="s">
        <v>10732</v>
      </c>
      <c r="J4607" s="3" t="str">
        <f>HYPERLINK("https://www.boe.es/gazeta/dias/1814/06/18/pdfs/GMD-1814-87.pdf#page=8","Abrir facsímil")</f>
        <v>Abrir facsímil</v>
      </c>
      <c r="K4607" s="3" t="s">
        <v>64</v>
      </c>
    </row>
    <row r="4608" spans="1:11" ht="42" customHeight="1">
      <c r="A4608" s="2" t="s">
        <v>10730</v>
      </c>
      <c r="B4608" s="2" t="s">
        <v>10730</v>
      </c>
      <c r="C4608" s="2" t="s">
        <v>32</v>
      </c>
      <c r="D4608" s="2" t="s">
        <v>18</v>
      </c>
      <c r="E4608" s="5">
        <v>-31224</v>
      </c>
      <c r="F4608" s="3" t="s">
        <v>609</v>
      </c>
      <c r="G4608" s="3" t="s">
        <v>57</v>
      </c>
      <c r="H4608" s="2" t="s">
        <v>62</v>
      </c>
      <c r="I4608" s="2" t="s">
        <v>10733</v>
      </c>
      <c r="J4608" s="3" t="str">
        <f>HYPERLINK("https://www.boe.es/gazeta/dias/1814/07/05/pdfs/GMD-1814-94.pdf#page=6","Abrir facsímil")</f>
        <v>Abrir facsímil</v>
      </c>
      <c r="K4608" s="3" t="s">
        <v>64</v>
      </c>
    </row>
    <row r="4609" spans="1:11" ht="42" customHeight="1">
      <c r="A4609" s="2" t="s">
        <v>10734</v>
      </c>
      <c r="B4609" s="2" t="s">
        <v>10735</v>
      </c>
      <c r="C4609" s="2" t="s">
        <v>38</v>
      </c>
      <c r="D4609" s="2" t="s">
        <v>39</v>
      </c>
      <c r="E4609" s="5">
        <v>-31133</v>
      </c>
      <c r="F4609" s="3" t="s">
        <v>184</v>
      </c>
      <c r="G4609" s="3" t="s">
        <v>20</v>
      </c>
      <c r="H4609" s="2" t="s">
        <v>21</v>
      </c>
      <c r="I4609" s="2" t="s">
        <v>10736</v>
      </c>
      <c r="J4609" s="3" t="str">
        <f>HYPERLINK("https://www.boe.es/gazeta/dias/1814/10/04/pdfs/GMD-1814-134.pdf#page=7","Abrir facsímil")</f>
        <v>Abrir facsímil</v>
      </c>
      <c r="K4609" s="3" t="s">
        <v>23</v>
      </c>
    </row>
    <row r="4610" spans="1:11" ht="42" customHeight="1">
      <c r="A4610" s="2" t="s">
        <v>10737</v>
      </c>
      <c r="B4610" s="2" t="s">
        <v>10738</v>
      </c>
      <c r="C4610" s="2" t="s">
        <v>26</v>
      </c>
      <c r="D4610" s="2" t="s">
        <v>27</v>
      </c>
      <c r="E4610" s="5">
        <v>-31098</v>
      </c>
      <c r="F4610" s="3" t="s">
        <v>290</v>
      </c>
      <c r="G4610" s="3" t="s">
        <v>310</v>
      </c>
      <c r="H4610" s="2" t="s">
        <v>62</v>
      </c>
      <c r="I4610" s="2" t="s">
        <v>10739</v>
      </c>
      <c r="J4610" s="3" t="str">
        <f>HYPERLINK("https://www.boe.es/gazeta/dias/1814/11/08/pdfs/GMD-1814-149.pdf#page=8","Abrir facsímil")</f>
        <v>Abrir facsímil</v>
      </c>
      <c r="K4610" s="3" t="s">
        <v>64</v>
      </c>
    </row>
    <row r="4611" spans="1:11" ht="42" customHeight="1">
      <c r="A4611" s="2" t="s">
        <v>10740</v>
      </c>
      <c r="B4611" s="2" t="s">
        <v>10741</v>
      </c>
      <c r="C4611" s="2" t="s">
        <v>26</v>
      </c>
      <c r="D4611" s="2" t="s">
        <v>27</v>
      </c>
      <c r="E4611" s="5">
        <v>-31185</v>
      </c>
      <c r="F4611" s="3" t="s">
        <v>1238</v>
      </c>
      <c r="G4611" s="3" t="s">
        <v>82</v>
      </c>
      <c r="H4611" s="2" t="s">
        <v>62</v>
      </c>
      <c r="I4611" s="2" t="s">
        <v>10742</v>
      </c>
      <c r="J4611" s="3" t="str">
        <f>HYPERLINK("https://www.boe.es/gazeta/dias/1814/08/13/pdfs/GMD-1814-111.pdf#page=3","Abrir facsímil")</f>
        <v>Abrir facsímil</v>
      </c>
      <c r="K4611" s="3" t="s">
        <v>64</v>
      </c>
    </row>
    <row r="4612" spans="1:11" ht="42" customHeight="1">
      <c r="A4612" s="2" t="s">
        <v>10743</v>
      </c>
      <c r="B4612" s="2" t="s">
        <v>10744</v>
      </c>
      <c r="C4612" s="2" t="s">
        <v>26</v>
      </c>
      <c r="D4612" s="2" t="s">
        <v>27</v>
      </c>
      <c r="E4612" s="5">
        <v>-31245</v>
      </c>
      <c r="F4612" s="3" t="s">
        <v>908</v>
      </c>
      <c r="G4612" s="3" t="s">
        <v>99</v>
      </c>
      <c r="H4612" s="2" t="s">
        <v>21</v>
      </c>
      <c r="I4612" s="2" t="s">
        <v>10745</v>
      </c>
      <c r="J4612" s="3" t="str">
        <f>HYPERLINK("https://www.boe.es/gazeta/dias/1814/06/14/pdfs/GMD-1814-85.pdf#page=5","Abrir facsímil")</f>
        <v>Abrir facsímil</v>
      </c>
      <c r="K4612" s="3" t="s">
        <v>23</v>
      </c>
    </row>
    <row r="4613" spans="1:11" ht="42" customHeight="1">
      <c r="A4613" s="2" t="s">
        <v>10746</v>
      </c>
      <c r="B4613" s="2" t="s">
        <v>10747</v>
      </c>
      <c r="C4613" s="2" t="s">
        <v>38</v>
      </c>
      <c r="D4613" s="2" t="s">
        <v>39</v>
      </c>
      <c r="E4613" s="5">
        <v>-31199</v>
      </c>
      <c r="F4613" s="3" t="s">
        <v>453</v>
      </c>
      <c r="G4613" s="3" t="s">
        <v>1027</v>
      </c>
      <c r="H4613" s="2" t="s">
        <v>62</v>
      </c>
      <c r="I4613" s="2" t="s">
        <v>10748</v>
      </c>
      <c r="J4613" s="3" t="str">
        <f>HYPERLINK("https://www.boe.es/gazeta/dias/1814/07/30/pdfs/GMD-1814-105.pdf#page=8","Abrir facsímil")</f>
        <v>Abrir facsímil</v>
      </c>
      <c r="K4613" s="3" t="s">
        <v>64</v>
      </c>
    </row>
    <row r="4614" spans="1:11" ht="42" customHeight="1">
      <c r="A4614" s="2" t="s">
        <v>10749</v>
      </c>
      <c r="B4614" s="2" t="s">
        <v>10750</v>
      </c>
      <c r="C4614" s="2" t="s">
        <v>45</v>
      </c>
      <c r="D4614" s="2" t="s">
        <v>18</v>
      </c>
      <c r="E4614" s="5">
        <v>-31182</v>
      </c>
      <c r="F4614" s="3" t="s">
        <v>19</v>
      </c>
      <c r="G4614" s="3" t="s">
        <v>20</v>
      </c>
      <c r="H4614" s="2" t="s">
        <v>62</v>
      </c>
      <c r="I4614" s="2" t="s">
        <v>10751</v>
      </c>
      <c r="J4614" s="3" t="str">
        <f>HYPERLINK("https://www.boe.es/gazeta/dias/1814/08/16/pdfs/GMD-1814-112.pdf#page=7","Abrir facsímil")</f>
        <v>Abrir facsímil</v>
      </c>
      <c r="K4614" s="3" t="s">
        <v>64</v>
      </c>
    </row>
    <row r="4615" spans="1:11" ht="42" customHeight="1">
      <c r="A4615" s="2" t="s">
        <v>10752</v>
      </c>
      <c r="B4615" s="2" t="s">
        <v>10753</v>
      </c>
      <c r="C4615" s="2" t="s">
        <v>26</v>
      </c>
      <c r="D4615" s="2" t="s">
        <v>27</v>
      </c>
      <c r="E4615" s="5">
        <v>-31210</v>
      </c>
      <c r="F4615" s="3" t="s">
        <v>141</v>
      </c>
      <c r="G4615" s="3" t="s">
        <v>52</v>
      </c>
      <c r="H4615" s="2" t="s">
        <v>62</v>
      </c>
      <c r="I4615" s="2" t="s">
        <v>10754</v>
      </c>
      <c r="J4615" s="3" t="str">
        <f>HYPERLINK("https://www.boe.es/gazeta/dias/1814/07/19/pdfs/GMD-1814-100.pdf#page=8","Abrir facsímil")</f>
        <v>Abrir facsímil</v>
      </c>
      <c r="K4615" s="3" t="s">
        <v>64</v>
      </c>
    </row>
    <row r="4616" spans="1:11" ht="42" customHeight="1">
      <c r="A4616" s="2" t="s">
        <v>10755</v>
      </c>
      <c r="B4616" s="2" t="s">
        <v>10755</v>
      </c>
      <c r="C4616" s="2" t="s">
        <v>38</v>
      </c>
      <c r="D4616" s="2" t="s">
        <v>39</v>
      </c>
      <c r="E4616" s="5">
        <v>-31329</v>
      </c>
      <c r="F4616" s="3" t="s">
        <v>621</v>
      </c>
      <c r="G4616" s="3" t="s">
        <v>622</v>
      </c>
      <c r="H4616" s="2" t="s">
        <v>62</v>
      </c>
      <c r="I4616" s="2" t="s">
        <v>10756</v>
      </c>
      <c r="J4616" s="3" t="str">
        <f>HYPERLINK("https://www.boe.es/gazeta/dias/1814/03/22/pdfs/GRE-1814-39.pdf#page=2","Abrir facsímil")</f>
        <v>Abrir facsímil</v>
      </c>
      <c r="K4616" s="3" t="s">
        <v>64</v>
      </c>
    </row>
    <row r="4617" spans="1:11" ht="42" customHeight="1">
      <c r="A4617" s="2" t="s">
        <v>10757</v>
      </c>
      <c r="B4617" s="2" t="s">
        <v>10757</v>
      </c>
      <c r="C4617" s="2" t="s">
        <v>38</v>
      </c>
      <c r="D4617" s="2" t="s">
        <v>39</v>
      </c>
      <c r="E4617" s="5">
        <v>-31329</v>
      </c>
      <c r="F4617" s="3" t="s">
        <v>621</v>
      </c>
      <c r="G4617" s="3" t="s">
        <v>622</v>
      </c>
      <c r="H4617" s="2" t="s">
        <v>62</v>
      </c>
      <c r="I4617" s="2" t="s">
        <v>10758</v>
      </c>
      <c r="J4617" s="3" t="str">
        <f>HYPERLINK("https://www.boe.es/gazeta/dias/1814/03/22/pdfs/GRE-1814-39.pdf#page=2","Abrir facsímil")</f>
        <v>Abrir facsímil</v>
      </c>
      <c r="K4617" s="3" t="s">
        <v>64</v>
      </c>
    </row>
    <row r="4618" spans="1:11" ht="42" customHeight="1">
      <c r="A4618" s="2" t="s">
        <v>10757</v>
      </c>
      <c r="B4618" s="2" t="s">
        <v>10757</v>
      </c>
      <c r="C4618" s="2" t="s">
        <v>38</v>
      </c>
      <c r="D4618" s="2" t="s">
        <v>39</v>
      </c>
      <c r="E4618" s="5">
        <v>-31329</v>
      </c>
      <c r="F4618" s="3" t="s">
        <v>621</v>
      </c>
      <c r="G4618" s="3" t="s">
        <v>82</v>
      </c>
      <c r="H4618" s="2" t="s">
        <v>62</v>
      </c>
      <c r="I4618" s="2" t="s">
        <v>10759</v>
      </c>
      <c r="J4618" s="3" t="str">
        <f>HYPERLINK("https://www.boe.es/gazeta/dias/1814/03/22/pdfs/GRE-1814-39.pdf#page=3","Abrir facsímil")</f>
        <v>Abrir facsímil</v>
      </c>
      <c r="K4618" s="3" t="s">
        <v>64</v>
      </c>
    </row>
    <row r="4619" spans="1:11" ht="42" customHeight="1">
      <c r="A4619" s="2" t="s">
        <v>10760</v>
      </c>
      <c r="B4619" s="2" t="s">
        <v>10761</v>
      </c>
      <c r="C4619" s="2" t="s">
        <v>26</v>
      </c>
      <c r="D4619" s="2" t="s">
        <v>27</v>
      </c>
      <c r="E4619" s="5">
        <v>-31157</v>
      </c>
      <c r="F4619" s="3" t="s">
        <v>206</v>
      </c>
      <c r="G4619" s="3" t="s">
        <v>52</v>
      </c>
      <c r="H4619" s="2" t="s">
        <v>62</v>
      </c>
      <c r="I4619" s="2" t="s">
        <v>10762</v>
      </c>
      <c r="J4619" s="3" t="str">
        <f>HYPERLINK("https://www.boe.es/gazeta/dias/1814/09/10/pdfs/GMD-1814-124.pdf#page=8","Abrir facsímil")</f>
        <v>Abrir facsímil</v>
      </c>
      <c r="K4619" s="3" t="s">
        <v>64</v>
      </c>
    </row>
    <row r="4620" spans="1:11" ht="42" customHeight="1">
      <c r="A4620" s="2" t="s">
        <v>10763</v>
      </c>
      <c r="B4620" s="2" t="s">
        <v>10764</v>
      </c>
      <c r="C4620" s="2" t="s">
        <v>26</v>
      </c>
      <c r="D4620" s="2" t="s">
        <v>27</v>
      </c>
      <c r="E4620" s="5">
        <v>-31145</v>
      </c>
      <c r="F4620" s="3" t="s">
        <v>523</v>
      </c>
      <c r="G4620" s="3" t="s">
        <v>20</v>
      </c>
      <c r="H4620" s="2" t="s">
        <v>62</v>
      </c>
      <c r="I4620" s="2" t="s">
        <v>10765</v>
      </c>
      <c r="J4620" s="3" t="str">
        <f>HYPERLINK("https://www.boe.es/gazeta/dias/1814/09/22/pdfs/GMD-1814-129.pdf#page=7","Abrir facsímil")</f>
        <v>Abrir facsímil</v>
      </c>
      <c r="K4620" s="3" t="s">
        <v>64</v>
      </c>
    </row>
    <row r="4621" spans="1:11" ht="42" customHeight="1">
      <c r="A4621" s="2" t="s">
        <v>10766</v>
      </c>
      <c r="B4621" s="2" t="s">
        <v>10766</v>
      </c>
      <c r="C4621" s="2" t="s">
        <v>38</v>
      </c>
      <c r="D4621" s="2" t="s">
        <v>39</v>
      </c>
      <c r="E4621" s="5">
        <v>-31392</v>
      </c>
      <c r="F4621" s="3" t="s">
        <v>195</v>
      </c>
      <c r="G4621" s="3" t="s">
        <v>3134</v>
      </c>
      <c r="H4621" s="2" t="s">
        <v>62</v>
      </c>
      <c r="I4621" s="2" t="s">
        <v>10767</v>
      </c>
      <c r="J4621" s="3" t="str">
        <f>HYPERLINK("https://www.boe.es/gazeta/dias/1814/01/18/pdfs/GRE-1814-9.pdf#page=5","Abrir facsímil")</f>
        <v>Abrir facsímil</v>
      </c>
      <c r="K4621" s="3" t="s">
        <v>64</v>
      </c>
    </row>
    <row r="4622" spans="1:11" ht="42" customHeight="1">
      <c r="A4622" s="2" t="s">
        <v>10768</v>
      </c>
      <c r="B4622" s="2" t="s">
        <v>10769</v>
      </c>
      <c r="C4622" s="2" t="s">
        <v>17</v>
      </c>
      <c r="D4622" s="2" t="s">
        <v>18</v>
      </c>
      <c r="E4622" s="5">
        <v>-31098</v>
      </c>
      <c r="F4622" s="3" t="s">
        <v>290</v>
      </c>
      <c r="G4622" s="3" t="s">
        <v>310</v>
      </c>
      <c r="H4622" s="2" t="s">
        <v>62</v>
      </c>
      <c r="I4622" s="2" t="s">
        <v>10770</v>
      </c>
      <c r="J4622" s="3" t="str">
        <f>HYPERLINK("https://www.boe.es/gazeta/dias/1814/11/08/pdfs/GMD-1814-149.pdf#page=8","Abrir facsímil")</f>
        <v>Abrir facsímil</v>
      </c>
      <c r="K4622" s="3" t="s">
        <v>64</v>
      </c>
    </row>
    <row r="4623" spans="1:11" ht="42" customHeight="1">
      <c r="A4623" s="2" t="s">
        <v>10771</v>
      </c>
      <c r="B4623" s="2" t="s">
        <v>10772</v>
      </c>
      <c r="C4623" s="2" t="s">
        <v>17</v>
      </c>
      <c r="D4623" s="2" t="s">
        <v>18</v>
      </c>
      <c r="E4623" s="5">
        <v>-31255</v>
      </c>
      <c r="F4623" s="3" t="s">
        <v>983</v>
      </c>
      <c r="G4623" s="3" t="s">
        <v>99</v>
      </c>
      <c r="H4623" s="2" t="s">
        <v>62</v>
      </c>
      <c r="I4623" s="2" t="s">
        <v>10773</v>
      </c>
      <c r="J4623" s="3" t="str">
        <f>HYPERLINK("https://www.boe.es/gazeta/dias/1814/06/04/pdfs/GMD-1814-81.pdf#page=5","Abrir facsímil")</f>
        <v>Abrir facsímil</v>
      </c>
      <c r="K4623" s="3" t="s">
        <v>64</v>
      </c>
    </row>
    <row r="4624" spans="1:11" ht="42" customHeight="1">
      <c r="A4624" s="2" t="s">
        <v>10774</v>
      </c>
      <c r="B4624" s="2" t="s">
        <v>10775</v>
      </c>
      <c r="C4624" s="2" t="s">
        <v>26</v>
      </c>
      <c r="D4624" s="2" t="s">
        <v>27</v>
      </c>
      <c r="E4624" s="5">
        <v>-31152</v>
      </c>
      <c r="F4624" s="3" t="s">
        <v>199</v>
      </c>
      <c r="G4624" s="3" t="s">
        <v>52</v>
      </c>
      <c r="H4624" s="2" t="s">
        <v>62</v>
      </c>
      <c r="I4624" s="2" t="s">
        <v>10776</v>
      </c>
      <c r="J4624" s="3" t="str">
        <f>HYPERLINK("https://www.boe.es/gazeta/dias/1814/09/15/pdfs/GMD-1814-126.pdf#page=8","Abrir facsímil")</f>
        <v>Abrir facsímil</v>
      </c>
      <c r="K4624" s="3" t="s">
        <v>64</v>
      </c>
    </row>
    <row r="4625" spans="1:11" ht="42" customHeight="1">
      <c r="A4625" s="2" t="s">
        <v>10777</v>
      </c>
      <c r="B4625" s="2" t="s">
        <v>10778</v>
      </c>
      <c r="C4625" s="2" t="s">
        <v>38</v>
      </c>
      <c r="D4625" s="2" t="s">
        <v>39</v>
      </c>
      <c r="E4625" s="5">
        <v>-31308</v>
      </c>
      <c r="F4625" s="3" t="s">
        <v>210</v>
      </c>
      <c r="G4625" s="3" t="s">
        <v>52</v>
      </c>
      <c r="H4625" s="2" t="s">
        <v>62</v>
      </c>
      <c r="I4625" s="2" t="s">
        <v>10779</v>
      </c>
      <c r="J4625" s="3" t="str">
        <f>HYPERLINK("https://www.boe.es/gazeta/dias/1814/04/12/pdfs/GRE-1814-52.pdf#page=8","Abrir facsímil")</f>
        <v>Abrir facsímil</v>
      </c>
      <c r="K4625" s="3" t="s">
        <v>64</v>
      </c>
    </row>
    <row r="4626" spans="1:11" ht="42" customHeight="1">
      <c r="A4626" s="2" t="s">
        <v>10780</v>
      </c>
      <c r="B4626" s="2" t="s">
        <v>10781</v>
      </c>
      <c r="C4626" s="2" t="s">
        <v>38</v>
      </c>
      <c r="D4626" s="2" t="s">
        <v>39</v>
      </c>
      <c r="E4626" s="5">
        <v>-31213</v>
      </c>
      <c r="F4626" s="3" t="s">
        <v>276</v>
      </c>
      <c r="G4626" s="3" t="s">
        <v>99</v>
      </c>
      <c r="H4626" s="2" t="s">
        <v>62</v>
      </c>
      <c r="I4626" s="2" t="s">
        <v>10782</v>
      </c>
      <c r="J4626" s="3" t="str">
        <f>HYPERLINK("https://www.boe.es/gazeta/dias/1814/07/16/pdfs/GMD-1814-99.pdf#page=5","Abrir facsímil")</f>
        <v>Abrir facsímil</v>
      </c>
      <c r="K4626" s="3" t="s">
        <v>64</v>
      </c>
    </row>
    <row r="4627" spans="1:11" ht="42" customHeight="1">
      <c r="A4627" s="2" t="s">
        <v>10783</v>
      </c>
      <c r="B4627" s="2" t="s">
        <v>10784</v>
      </c>
      <c r="C4627" s="2" t="s">
        <v>17</v>
      </c>
      <c r="D4627" s="2" t="s">
        <v>18</v>
      </c>
      <c r="E4627" s="5">
        <v>-31322</v>
      </c>
      <c r="F4627" s="3" t="s">
        <v>114</v>
      </c>
      <c r="G4627" s="3" t="s">
        <v>52</v>
      </c>
      <c r="H4627" s="2" t="s">
        <v>62</v>
      </c>
      <c r="I4627" s="2" t="s">
        <v>10785</v>
      </c>
      <c r="J4627" s="3" t="str">
        <f>HYPERLINK("https://www.boe.es/gazeta/dias/1814/03/29/pdfs/GRE-1814-44.pdf#page=8","Abrir facsímil")</f>
        <v>Abrir facsímil</v>
      </c>
      <c r="K4627" s="3" t="s">
        <v>64</v>
      </c>
    </row>
    <row r="4628" spans="1:11" ht="42" customHeight="1">
      <c r="A4628" s="2" t="s">
        <v>10786</v>
      </c>
      <c r="B4628" s="2" t="s">
        <v>10787</v>
      </c>
      <c r="C4628" s="2" t="s">
        <v>38</v>
      </c>
      <c r="D4628" s="2" t="s">
        <v>39</v>
      </c>
      <c r="E4628" s="5">
        <v>-31371</v>
      </c>
      <c r="F4628" s="3" t="s">
        <v>1017</v>
      </c>
      <c r="G4628" s="3" t="s">
        <v>99</v>
      </c>
      <c r="H4628" s="2" t="s">
        <v>62</v>
      </c>
      <c r="I4628" s="2" t="s">
        <v>10788</v>
      </c>
      <c r="J4628" s="3" t="str">
        <f>HYPERLINK("https://www.boe.es/gazeta/dias/1814/02/08/pdfs/GRE-1814-18.pdf#page=5","Abrir facsímil")</f>
        <v>Abrir facsímil</v>
      </c>
      <c r="K4628" s="3" t="s">
        <v>64</v>
      </c>
    </row>
    <row r="4629" spans="1:11" ht="42" customHeight="1">
      <c r="A4629" s="2" t="s">
        <v>10789</v>
      </c>
      <c r="B4629" s="2" t="s">
        <v>10790</v>
      </c>
      <c r="C4629" s="2" t="s">
        <v>26</v>
      </c>
      <c r="D4629" s="2" t="s">
        <v>27</v>
      </c>
      <c r="E4629" s="5">
        <v>-31362</v>
      </c>
      <c r="F4629" s="3" t="s">
        <v>302</v>
      </c>
      <c r="G4629" s="3" t="s">
        <v>52</v>
      </c>
      <c r="H4629" s="2" t="s">
        <v>62</v>
      </c>
      <c r="I4629" s="2" t="s">
        <v>10791</v>
      </c>
      <c r="J4629" s="3" t="str">
        <f>HYPERLINK("https://www.boe.es/gazeta/dias/1814/02/17/pdfs/GRE-1814-22.pdf#page=8","Abrir facsímil")</f>
        <v>Abrir facsímil</v>
      </c>
      <c r="K4629" s="3" t="s">
        <v>64</v>
      </c>
    </row>
    <row r="4630" spans="1:11" ht="42" customHeight="1">
      <c r="A4630" s="2" t="s">
        <v>10792</v>
      </c>
      <c r="B4630" s="2" t="s">
        <v>10792</v>
      </c>
      <c r="C4630" s="2" t="s">
        <v>38</v>
      </c>
      <c r="D4630" s="2" t="s">
        <v>39</v>
      </c>
      <c r="E4630" s="5">
        <v>-31409</v>
      </c>
      <c r="F4630" s="3" t="s">
        <v>168</v>
      </c>
      <c r="G4630" s="3" t="s">
        <v>20</v>
      </c>
      <c r="H4630" s="2" t="s">
        <v>62</v>
      </c>
      <c r="I4630" s="2" t="s">
        <v>10793</v>
      </c>
      <c r="J4630" s="3" t="str">
        <f>HYPERLINK("https://www.boe.es/gazeta/dias/1814/01/01/pdfs/GRE-1814-1.pdf#page=7","Abrir facsímil")</f>
        <v>Abrir facsímil</v>
      </c>
      <c r="K4630" s="3" t="s">
        <v>64</v>
      </c>
    </row>
    <row r="4631" spans="1:11" ht="42" customHeight="1">
      <c r="A4631" s="2" t="s">
        <v>10794</v>
      </c>
      <c r="B4631" s="2" t="s">
        <v>10795</v>
      </c>
      <c r="C4631" s="2" t="s">
        <v>26</v>
      </c>
      <c r="D4631" s="2" t="s">
        <v>27</v>
      </c>
      <c r="E4631" s="5">
        <v>-31362</v>
      </c>
      <c r="F4631" s="3" t="s">
        <v>302</v>
      </c>
      <c r="G4631" s="3" t="s">
        <v>52</v>
      </c>
      <c r="H4631" s="2" t="s">
        <v>62</v>
      </c>
      <c r="I4631" s="2" t="s">
        <v>10796</v>
      </c>
      <c r="J4631" s="3" t="str">
        <f>HYPERLINK("https://www.boe.es/gazeta/dias/1814/02/17/pdfs/GRE-1814-22.pdf#page=8","Abrir facsímil")</f>
        <v>Abrir facsímil</v>
      </c>
      <c r="K4631" s="3" t="s">
        <v>64</v>
      </c>
    </row>
    <row r="4632" spans="1:11" ht="42" customHeight="1">
      <c r="A4632" s="2" t="s">
        <v>10794</v>
      </c>
      <c r="B4632" s="2" t="s">
        <v>10795</v>
      </c>
      <c r="C4632" s="2" t="s">
        <v>26</v>
      </c>
      <c r="D4632" s="2" t="s">
        <v>27</v>
      </c>
      <c r="E4632" s="5">
        <v>-31189</v>
      </c>
      <c r="F4632" s="3" t="s">
        <v>379</v>
      </c>
      <c r="G4632" s="3" t="s">
        <v>52</v>
      </c>
      <c r="H4632" s="2" t="s">
        <v>62</v>
      </c>
      <c r="I4632" s="2" t="s">
        <v>10797</v>
      </c>
      <c r="J4632" s="3" t="str">
        <f>HYPERLINK("https://www.boe.es/gazeta/dias/1814/08/09/pdfs/GMD-1814-109.pdf#page=8","Abrir facsímil")</f>
        <v>Abrir facsímil</v>
      </c>
      <c r="K4632" s="3" t="s">
        <v>64</v>
      </c>
    </row>
    <row r="4633" spans="1:11" ht="42" customHeight="1">
      <c r="A4633" s="2" t="s">
        <v>10798</v>
      </c>
      <c r="B4633" s="2" t="s">
        <v>10799</v>
      </c>
      <c r="C4633" s="2" t="s">
        <v>38</v>
      </c>
      <c r="D4633" s="2" t="s">
        <v>39</v>
      </c>
      <c r="E4633" s="5">
        <v>-31213</v>
      </c>
      <c r="F4633" s="3" t="s">
        <v>276</v>
      </c>
      <c r="G4633" s="3" t="s">
        <v>57</v>
      </c>
      <c r="H4633" s="2" t="s">
        <v>62</v>
      </c>
      <c r="I4633" s="2" t="s">
        <v>10800</v>
      </c>
      <c r="J4633" s="3" t="str">
        <f>HYPERLINK("https://www.boe.es/gazeta/dias/1814/07/16/pdfs/GMD-1814-99.pdf#page=6","Abrir facsímil")</f>
        <v>Abrir facsímil</v>
      </c>
      <c r="K4633" s="3" t="s">
        <v>64</v>
      </c>
    </row>
    <row r="4634" spans="1:11" ht="42" customHeight="1">
      <c r="A4634" s="2" t="s">
        <v>10798</v>
      </c>
      <c r="B4634" s="2" t="s">
        <v>10799</v>
      </c>
      <c r="C4634" s="2" t="s">
        <v>45</v>
      </c>
      <c r="D4634" s="2" t="s">
        <v>18</v>
      </c>
      <c r="E4634" s="5">
        <v>-31059</v>
      </c>
      <c r="F4634" s="3" t="s">
        <v>263</v>
      </c>
      <c r="G4634" s="3" t="s">
        <v>264</v>
      </c>
      <c r="H4634" s="2" t="s">
        <v>62</v>
      </c>
      <c r="I4634" s="2" t="s">
        <v>10801</v>
      </c>
      <c r="J4634" s="3" t="str">
        <f>HYPERLINK("https://www.boe.es/gazeta/dias/1814/12/17/pdfs/GMD-1814-167.pdf#page=7","Abrir facsímil")</f>
        <v>Abrir facsímil</v>
      </c>
      <c r="K4634" s="3" t="s">
        <v>64</v>
      </c>
    </row>
    <row r="4635" spans="1:11" ht="42" customHeight="1">
      <c r="A4635" s="2" t="s">
        <v>10802</v>
      </c>
      <c r="B4635" s="2" t="s">
        <v>10803</v>
      </c>
      <c r="C4635" s="2" t="s">
        <v>26</v>
      </c>
      <c r="D4635" s="2" t="s">
        <v>27</v>
      </c>
      <c r="E4635" s="5">
        <v>-31257</v>
      </c>
      <c r="F4635" s="3" t="s">
        <v>437</v>
      </c>
      <c r="G4635" s="3" t="s">
        <v>52</v>
      </c>
      <c r="H4635" s="2" t="s">
        <v>62</v>
      </c>
      <c r="I4635" s="2" t="s">
        <v>10804</v>
      </c>
      <c r="J4635" s="3" t="str">
        <f>HYPERLINK("https://www.boe.es/gazeta/dias/1814/06/02/pdfs/GMD-1814-80.pdf#page=8","Abrir facsímil")</f>
        <v>Abrir facsímil</v>
      </c>
      <c r="K4635" s="3" t="s">
        <v>64</v>
      </c>
    </row>
    <row r="4636" spans="1:11" ht="42" customHeight="1">
      <c r="A4636" s="2" t="s">
        <v>10805</v>
      </c>
      <c r="B4636" s="2" t="s">
        <v>10806</v>
      </c>
      <c r="C4636" s="2" t="s">
        <v>38</v>
      </c>
      <c r="D4636" s="2" t="s">
        <v>39</v>
      </c>
      <c r="E4636" s="5">
        <v>-31273</v>
      </c>
      <c r="F4636" s="3" t="s">
        <v>2108</v>
      </c>
      <c r="G4636" s="3" t="s">
        <v>52</v>
      </c>
      <c r="H4636" s="2" t="s">
        <v>62</v>
      </c>
      <c r="I4636" s="2" t="s">
        <v>10807</v>
      </c>
      <c r="J4636" s="3" t="str">
        <f>HYPERLINK("https://www.boe.es/gazeta/dias/1814/05/17/pdfs/GMD-1814-72.pdf#page=8","Abrir facsímil")</f>
        <v>Abrir facsímil</v>
      </c>
      <c r="K4636" s="3" t="s">
        <v>64</v>
      </c>
    </row>
    <row r="4637" spans="1:11" ht="42" customHeight="1">
      <c r="A4637" s="2" t="s">
        <v>10805</v>
      </c>
      <c r="B4637" s="2" t="s">
        <v>10806</v>
      </c>
      <c r="C4637" s="2" t="s">
        <v>309</v>
      </c>
      <c r="D4637" s="2" t="s">
        <v>18</v>
      </c>
      <c r="E4637" s="5">
        <v>-31269</v>
      </c>
      <c r="F4637" s="3" t="s">
        <v>496</v>
      </c>
      <c r="G4637" s="3" t="s">
        <v>20</v>
      </c>
      <c r="H4637" s="2" t="s">
        <v>62</v>
      </c>
      <c r="I4637" s="2" t="s">
        <v>10808</v>
      </c>
      <c r="J4637" s="3" t="str">
        <f>HYPERLINK("https://www.boe.es/gazeta/dias/1814/05/21/pdfs/GMD-1814-75.pdf#page=7","Abrir facsímil")</f>
        <v>Abrir facsímil</v>
      </c>
      <c r="K4637" s="3" t="s">
        <v>64</v>
      </c>
    </row>
    <row r="4638" spans="1:11" ht="42" customHeight="1">
      <c r="A4638" s="2" t="s">
        <v>10805</v>
      </c>
      <c r="B4638" s="2" t="s">
        <v>10806</v>
      </c>
      <c r="C4638" s="2" t="s">
        <v>38</v>
      </c>
      <c r="D4638" s="2" t="s">
        <v>39</v>
      </c>
      <c r="E4638" s="5">
        <v>-31243</v>
      </c>
      <c r="F4638" s="3" t="s">
        <v>500</v>
      </c>
      <c r="G4638" s="3" t="s">
        <v>384</v>
      </c>
      <c r="H4638" s="2" t="s">
        <v>62</v>
      </c>
      <c r="I4638" s="2" t="s">
        <v>10809</v>
      </c>
      <c r="J4638" s="3" t="str">
        <f>HYPERLINK("https://www.boe.es/gazeta/dias/1814/06/16/pdfs/GMD-1814-86.pdf#page=11","Abrir facsímil")</f>
        <v>Abrir facsímil</v>
      </c>
      <c r="K4638" s="3" t="s">
        <v>64</v>
      </c>
    </row>
    <row r="4639" spans="1:11" ht="42" customHeight="1">
      <c r="A4639" s="2" t="s">
        <v>10805</v>
      </c>
      <c r="B4639" s="2" t="s">
        <v>10806</v>
      </c>
      <c r="C4639" s="2" t="s">
        <v>38</v>
      </c>
      <c r="D4639" s="2" t="s">
        <v>39</v>
      </c>
      <c r="E4639" s="5">
        <v>-31215</v>
      </c>
      <c r="F4639" s="3" t="s">
        <v>372</v>
      </c>
      <c r="G4639" s="3" t="s">
        <v>704</v>
      </c>
      <c r="H4639" s="2" t="s">
        <v>62</v>
      </c>
      <c r="I4639" s="2" t="s">
        <v>10810</v>
      </c>
      <c r="J4639" s="3" t="str">
        <f>HYPERLINK("https://www.boe.es/gazeta/dias/1814/07/14/pdfs/GMD-1814-98.pdf#page=10","Abrir facsímil")</f>
        <v>Abrir facsímil</v>
      </c>
      <c r="K4639" s="3" t="s">
        <v>64</v>
      </c>
    </row>
    <row r="4640" spans="1:11" ht="42" customHeight="1">
      <c r="A4640" s="2" t="s">
        <v>10805</v>
      </c>
      <c r="B4640" s="2" t="s">
        <v>10806</v>
      </c>
      <c r="C4640" s="2" t="s">
        <v>17</v>
      </c>
      <c r="D4640" s="2" t="s">
        <v>18</v>
      </c>
      <c r="E4640" s="5">
        <v>-31201</v>
      </c>
      <c r="F4640" s="3" t="s">
        <v>863</v>
      </c>
      <c r="G4640" s="3" t="s">
        <v>20</v>
      </c>
      <c r="H4640" s="2" t="s">
        <v>62</v>
      </c>
      <c r="I4640" s="2" t="s">
        <v>10811</v>
      </c>
      <c r="J4640" s="3" t="str">
        <f>HYPERLINK("https://www.boe.es/gazeta/dias/1814/07/28/pdfs/GMD-1814-104.pdf#page=7","Abrir facsímil")</f>
        <v>Abrir facsímil</v>
      </c>
      <c r="K4640" s="3" t="s">
        <v>64</v>
      </c>
    </row>
    <row r="4641" spans="1:11" ht="42" customHeight="1">
      <c r="A4641" s="2" t="s">
        <v>10812</v>
      </c>
      <c r="B4641" s="2" t="s">
        <v>10813</v>
      </c>
      <c r="C4641" s="2" t="s">
        <v>17</v>
      </c>
      <c r="D4641" s="2" t="s">
        <v>18</v>
      </c>
      <c r="E4641" s="5">
        <v>-31122</v>
      </c>
      <c r="F4641" s="3" t="s">
        <v>28</v>
      </c>
      <c r="G4641" s="3" t="s">
        <v>20</v>
      </c>
      <c r="H4641" s="2" t="s">
        <v>62</v>
      </c>
      <c r="I4641" s="2" t="s">
        <v>10814</v>
      </c>
      <c r="J4641" s="3" t="str">
        <f>HYPERLINK("https://www.boe.es/gazeta/dias/1814/10/15/pdfs/GMD-1814-139.pdf#page=7","Abrir facsímil")</f>
        <v>Abrir facsímil</v>
      </c>
      <c r="K4641" s="3" t="s">
        <v>64</v>
      </c>
    </row>
    <row r="4642" spans="1:11" ht="42" customHeight="1">
      <c r="A4642" s="2" t="s">
        <v>10815</v>
      </c>
      <c r="B4642" s="2" t="s">
        <v>10816</v>
      </c>
      <c r="C4642" s="2" t="s">
        <v>26</v>
      </c>
      <c r="D4642" s="2" t="s">
        <v>27</v>
      </c>
      <c r="E4642" s="5">
        <v>-31250</v>
      </c>
      <c r="F4642" s="3" t="s">
        <v>177</v>
      </c>
      <c r="G4642" s="3" t="s">
        <v>99</v>
      </c>
      <c r="H4642" s="2" t="s">
        <v>62</v>
      </c>
      <c r="I4642" s="2" t="s">
        <v>10817</v>
      </c>
      <c r="J4642" s="3" t="str">
        <f>HYPERLINK("https://www.boe.es/gazeta/dias/1814/06/09/pdfs/GMD-1814-83.pdf#page=5","Abrir facsímil")</f>
        <v>Abrir facsímil</v>
      </c>
      <c r="K4642" s="3" t="s">
        <v>64</v>
      </c>
    </row>
    <row r="4643" spans="1:11" ht="42" customHeight="1">
      <c r="A4643" s="2" t="s">
        <v>10818</v>
      </c>
      <c r="B4643" s="2" t="s">
        <v>10819</v>
      </c>
      <c r="C4643" s="2" t="s">
        <v>17</v>
      </c>
      <c r="D4643" s="2" t="s">
        <v>18</v>
      </c>
      <c r="E4643" s="5">
        <v>-31353</v>
      </c>
      <c r="F4643" s="3" t="s">
        <v>247</v>
      </c>
      <c r="G4643" s="3" t="s">
        <v>248</v>
      </c>
      <c r="H4643" s="2" t="s">
        <v>62</v>
      </c>
      <c r="I4643" s="2" t="s">
        <v>10820</v>
      </c>
      <c r="J4643" s="3" t="str">
        <f>HYPERLINK("https://www.boe.es/gazeta/dias/1814/02/26/pdfs/GRE-1814-27.pdf#page=5","Abrir facsímil")</f>
        <v>Abrir facsímil</v>
      </c>
      <c r="K4643" s="3" t="s">
        <v>64</v>
      </c>
    </row>
    <row r="4644" spans="1:11" ht="42" customHeight="1">
      <c r="A4644" s="2" t="s">
        <v>10821</v>
      </c>
      <c r="B4644" s="2" t="s">
        <v>10822</v>
      </c>
      <c r="C4644" s="2" t="s">
        <v>309</v>
      </c>
      <c r="D4644" s="2" t="s">
        <v>18</v>
      </c>
      <c r="E4644" s="5">
        <v>-31301</v>
      </c>
      <c r="F4644" s="3" t="s">
        <v>81</v>
      </c>
      <c r="G4644" s="3" t="s">
        <v>52</v>
      </c>
      <c r="H4644" s="2" t="s">
        <v>62</v>
      </c>
      <c r="I4644" s="2" t="s">
        <v>10823</v>
      </c>
      <c r="J4644" s="3" t="str">
        <f>HYPERLINK("https://www.boe.es/gazeta/dias/1814/04/19/pdfs/GRE-1814-56.pdf#page=8","Abrir facsímil")</f>
        <v>Abrir facsímil</v>
      </c>
      <c r="K4644" s="3" t="s">
        <v>64</v>
      </c>
    </row>
    <row r="4645" spans="1:11" ht="42" customHeight="1">
      <c r="A4645" s="2" t="s">
        <v>10821</v>
      </c>
      <c r="B4645" s="2" t="s">
        <v>10822</v>
      </c>
      <c r="C4645" s="2" t="s">
        <v>38</v>
      </c>
      <c r="D4645" s="2" t="s">
        <v>39</v>
      </c>
      <c r="E4645" s="5">
        <v>-31196</v>
      </c>
      <c r="F4645" s="3" t="s">
        <v>828</v>
      </c>
      <c r="G4645" s="3" t="s">
        <v>52</v>
      </c>
      <c r="H4645" s="2" t="s">
        <v>62</v>
      </c>
      <c r="I4645" s="2" t="s">
        <v>10824</v>
      </c>
      <c r="J4645" s="3" t="str">
        <f>HYPERLINK("https://www.boe.es/gazeta/dias/1814/08/02/pdfs/GMD-1814-106.pdf#page=8","Abrir facsímil")</f>
        <v>Abrir facsímil</v>
      </c>
      <c r="K4645" s="3" t="s">
        <v>64</v>
      </c>
    </row>
    <row r="4646" spans="1:11" ht="42" customHeight="1">
      <c r="A4646" s="2" t="s">
        <v>10825</v>
      </c>
      <c r="B4646" s="2" t="s">
        <v>10826</v>
      </c>
      <c r="C4646" s="2" t="s">
        <v>17</v>
      </c>
      <c r="D4646" s="2" t="s">
        <v>18</v>
      </c>
      <c r="E4646" s="5">
        <v>-31068</v>
      </c>
      <c r="F4646" s="3" t="s">
        <v>548</v>
      </c>
      <c r="G4646" s="3" t="s">
        <v>20</v>
      </c>
      <c r="H4646" s="2" t="s">
        <v>62</v>
      </c>
      <c r="I4646" s="2" t="s">
        <v>10827</v>
      </c>
      <c r="J4646" s="3" t="str">
        <f>HYPERLINK("https://www.boe.es/gazeta/dias/1814/12/08/pdfs/GMD-1814-162.pdf#page=7","Abrir facsímil")</f>
        <v>Abrir facsímil</v>
      </c>
      <c r="K4646" s="3" t="s">
        <v>64</v>
      </c>
    </row>
    <row r="4647" spans="1:11" ht="42" customHeight="1">
      <c r="A4647" s="2" t="s">
        <v>10828</v>
      </c>
      <c r="B4647" s="2" t="s">
        <v>10829</v>
      </c>
      <c r="C4647" s="2" t="s">
        <v>26</v>
      </c>
      <c r="D4647" s="2" t="s">
        <v>27</v>
      </c>
      <c r="E4647" s="5">
        <v>-31243</v>
      </c>
      <c r="F4647" s="3" t="s">
        <v>500</v>
      </c>
      <c r="G4647" s="3" t="s">
        <v>137</v>
      </c>
      <c r="H4647" s="2" t="s">
        <v>62</v>
      </c>
      <c r="I4647" s="2" t="s">
        <v>10830</v>
      </c>
      <c r="J4647" s="3" t="str">
        <f>HYPERLINK("https://www.boe.es/gazeta/dias/1814/06/16/pdfs/GMD-1814-86.pdf#page=9","Abrir facsímil")</f>
        <v>Abrir facsímil</v>
      </c>
      <c r="K4647" s="3" t="s">
        <v>64</v>
      </c>
    </row>
    <row r="4648" spans="1:11" ht="42" customHeight="1">
      <c r="A4648" s="2" t="s">
        <v>10831</v>
      </c>
      <c r="B4648" s="2" t="s">
        <v>10832</v>
      </c>
      <c r="C4648" s="2" t="s">
        <v>38</v>
      </c>
      <c r="D4648" s="2" t="s">
        <v>39</v>
      </c>
      <c r="E4648" s="5">
        <v>-31140</v>
      </c>
      <c r="F4648" s="3" t="s">
        <v>525</v>
      </c>
      <c r="G4648" s="3" t="s">
        <v>57</v>
      </c>
      <c r="H4648" s="2" t="s">
        <v>62</v>
      </c>
      <c r="I4648" s="2" t="s">
        <v>10833</v>
      </c>
      <c r="J4648" s="3" t="str">
        <f>HYPERLINK("https://www.boe.es/gazeta/dias/1814/09/27/pdfs/GMD-1814-131.pdf#page=6","Abrir facsímil")</f>
        <v>Abrir facsímil</v>
      </c>
      <c r="K4648" s="3" t="s">
        <v>64</v>
      </c>
    </row>
    <row r="4649" spans="1:11" ht="42" customHeight="1">
      <c r="A4649" s="2" t="s">
        <v>10834</v>
      </c>
      <c r="B4649" s="2" t="s">
        <v>10835</v>
      </c>
      <c r="C4649" s="2" t="s">
        <v>144</v>
      </c>
      <c r="D4649" s="2" t="s">
        <v>18</v>
      </c>
      <c r="E4649" s="5">
        <v>-31140</v>
      </c>
      <c r="F4649" s="3" t="s">
        <v>525</v>
      </c>
      <c r="G4649" s="3" t="s">
        <v>52</v>
      </c>
      <c r="H4649" s="2" t="s">
        <v>62</v>
      </c>
      <c r="I4649" s="2" t="s">
        <v>10836</v>
      </c>
      <c r="J4649" s="3" t="str">
        <f>HYPERLINK("https://www.boe.es/gazeta/dias/1814/09/27/pdfs/GMD-1814-131.pdf#page=8","Abrir facsímil")</f>
        <v>Abrir facsímil</v>
      </c>
      <c r="K4649" s="3" t="s">
        <v>64</v>
      </c>
    </row>
    <row r="4650" spans="1:11" ht="42" customHeight="1">
      <c r="A4650" s="2" t="s">
        <v>10837</v>
      </c>
      <c r="B4650" s="2" t="s">
        <v>10838</v>
      </c>
      <c r="C4650" s="2" t="s">
        <v>17</v>
      </c>
      <c r="D4650" s="2" t="s">
        <v>18</v>
      </c>
      <c r="E4650" s="5">
        <v>-31140</v>
      </c>
      <c r="F4650" s="3" t="s">
        <v>525</v>
      </c>
      <c r="G4650" s="3" t="s">
        <v>52</v>
      </c>
      <c r="H4650" s="2" t="s">
        <v>62</v>
      </c>
      <c r="I4650" s="2" t="s">
        <v>10839</v>
      </c>
      <c r="J4650" s="3" t="str">
        <f>HYPERLINK("https://www.boe.es/gazeta/dias/1814/09/27/pdfs/GMD-1814-131.pdf#page=8","Abrir facsímil")</f>
        <v>Abrir facsímil</v>
      </c>
      <c r="K4650" s="3" t="s">
        <v>64</v>
      </c>
    </row>
    <row r="4651" spans="1:11" ht="42" customHeight="1">
      <c r="A4651" s="2" t="s">
        <v>10840</v>
      </c>
      <c r="B4651" s="2" t="s">
        <v>10841</v>
      </c>
      <c r="C4651" s="2" t="s">
        <v>17</v>
      </c>
      <c r="D4651" s="2" t="s">
        <v>18</v>
      </c>
      <c r="E4651" s="5">
        <v>-31119</v>
      </c>
      <c r="F4651" s="3" t="s">
        <v>136</v>
      </c>
      <c r="G4651" s="3" t="s">
        <v>704</v>
      </c>
      <c r="H4651" s="2" t="s">
        <v>62</v>
      </c>
      <c r="I4651" s="2" t="s">
        <v>10842</v>
      </c>
      <c r="J4651" s="3" t="str">
        <f>HYPERLINK("https://www.boe.es/gazeta/dias/1814/10/18/pdfs/GMD-1814-140.pdf#page=10","Abrir facsímil")</f>
        <v>Abrir facsímil</v>
      </c>
      <c r="K4651" s="3" t="s">
        <v>64</v>
      </c>
    </row>
    <row r="4652" spans="1:11" ht="42" customHeight="1">
      <c r="A4652" s="2" t="s">
        <v>10843</v>
      </c>
      <c r="B4652" s="2" t="s">
        <v>10844</v>
      </c>
      <c r="C4652" s="2" t="s">
        <v>32</v>
      </c>
      <c r="D4652" s="2" t="s">
        <v>18</v>
      </c>
      <c r="E4652" s="5">
        <v>-31215</v>
      </c>
      <c r="F4652" s="3" t="s">
        <v>372</v>
      </c>
      <c r="G4652" s="3" t="s">
        <v>137</v>
      </c>
      <c r="H4652" s="2" t="s">
        <v>21</v>
      </c>
      <c r="I4652" s="2" t="s">
        <v>10845</v>
      </c>
      <c r="J4652" s="3" t="str">
        <f>HYPERLINK("https://www.boe.es/gazeta/dias/1814/07/14/pdfs/GMD-1814-98.pdf#page=9","Abrir facsímil")</f>
        <v>Abrir facsímil</v>
      </c>
      <c r="K4652" s="3" t="s">
        <v>23</v>
      </c>
    </row>
    <row r="4653" spans="1:11" ht="42" customHeight="1">
      <c r="A4653" s="2" t="s">
        <v>10846</v>
      </c>
      <c r="B4653" s="2" t="s">
        <v>10847</v>
      </c>
      <c r="C4653" s="2" t="s">
        <v>38</v>
      </c>
      <c r="D4653" s="2" t="s">
        <v>39</v>
      </c>
      <c r="E4653" s="5">
        <v>-31084</v>
      </c>
      <c r="F4653" s="3" t="s">
        <v>282</v>
      </c>
      <c r="G4653" s="3" t="s">
        <v>99</v>
      </c>
      <c r="H4653" s="2" t="s">
        <v>21</v>
      </c>
      <c r="I4653" s="2" t="s">
        <v>10848</v>
      </c>
      <c r="J4653" s="3" t="str">
        <f>HYPERLINK("https://www.boe.es/gazeta/dias/1814/11/22/pdfs/GMD-1814-155.pdf#page=5","Abrir facsímil")</f>
        <v>Abrir facsímil</v>
      </c>
      <c r="K4653" s="3" t="s">
        <v>23</v>
      </c>
    </row>
    <row r="4654" spans="1:11" ht="42" customHeight="1">
      <c r="A4654" s="2" t="s">
        <v>10849</v>
      </c>
      <c r="B4654" s="2" t="s">
        <v>10850</v>
      </c>
      <c r="C4654" s="2" t="s">
        <v>17</v>
      </c>
      <c r="D4654" s="2" t="s">
        <v>18</v>
      </c>
      <c r="E4654" s="5">
        <v>-31243</v>
      </c>
      <c r="F4654" s="3" t="s">
        <v>500</v>
      </c>
      <c r="G4654" s="3" t="s">
        <v>10851</v>
      </c>
      <c r="H4654" s="2" t="s">
        <v>21</v>
      </c>
      <c r="I4654" s="2" t="s">
        <v>10852</v>
      </c>
      <c r="J4654" s="3" t="str">
        <f>HYPERLINK("https://www.boe.es/gazeta/dias/1814/06/16/pdfs/GMD-1814-86.pdf#page=8","Abrir facsímil")</f>
        <v>Abrir facsímil</v>
      </c>
      <c r="K4654" s="3" t="s">
        <v>23</v>
      </c>
    </row>
    <row r="4655" spans="1:11" ht="42" customHeight="1">
      <c r="A4655" s="2" t="s">
        <v>10853</v>
      </c>
      <c r="B4655" s="2" t="s">
        <v>10854</v>
      </c>
      <c r="C4655" s="2" t="s">
        <v>38</v>
      </c>
      <c r="D4655" s="2" t="s">
        <v>39</v>
      </c>
      <c r="E4655" s="5">
        <v>-31124</v>
      </c>
      <c r="F4655" s="3" t="s">
        <v>383</v>
      </c>
      <c r="G4655" s="3" t="s">
        <v>384</v>
      </c>
      <c r="H4655" s="2" t="s">
        <v>62</v>
      </c>
      <c r="I4655" s="2" t="s">
        <v>10855</v>
      </c>
      <c r="J4655" s="3" t="str">
        <f>HYPERLINK("https://www.boe.es/gazeta/dias/1814/10/13/pdfs/GMD-1814-138.pdf#page=11","Abrir facsímil")</f>
        <v>Abrir facsímil</v>
      </c>
      <c r="K4655" s="3" t="s">
        <v>64</v>
      </c>
    </row>
    <row r="4656" spans="1:11" ht="42" customHeight="1">
      <c r="A4656" s="2" t="s">
        <v>10856</v>
      </c>
      <c r="B4656" s="2" t="s">
        <v>10856</v>
      </c>
      <c r="C4656" s="2" t="s">
        <v>38</v>
      </c>
      <c r="D4656" s="2" t="s">
        <v>39</v>
      </c>
      <c r="E4656" s="5">
        <v>-31315</v>
      </c>
      <c r="F4656" s="3" t="s">
        <v>645</v>
      </c>
      <c r="G4656" s="3" t="s">
        <v>82</v>
      </c>
      <c r="H4656" s="2" t="s">
        <v>62</v>
      </c>
      <c r="I4656" s="2" t="s">
        <v>10857</v>
      </c>
      <c r="J4656" s="3" t="str">
        <f>HYPERLINK("https://www.boe.es/gazeta/dias/1814/04/05/pdfs/GRE-1814-49.pdf#page=3","Abrir facsímil")</f>
        <v>Abrir facsímil</v>
      </c>
      <c r="K4656" s="3" t="s">
        <v>64</v>
      </c>
    </row>
    <row r="4657" spans="1:11" ht="42" customHeight="1">
      <c r="A4657" s="2" t="s">
        <v>10858</v>
      </c>
      <c r="B4657" s="2" t="s">
        <v>10858</v>
      </c>
      <c r="C4657" s="2" t="s">
        <v>38</v>
      </c>
      <c r="D4657" s="2" t="s">
        <v>39</v>
      </c>
      <c r="E4657" s="5">
        <v>-31369</v>
      </c>
      <c r="F4657" s="3" t="s">
        <v>695</v>
      </c>
      <c r="G4657" s="3" t="s">
        <v>87</v>
      </c>
      <c r="H4657" s="2" t="s">
        <v>62</v>
      </c>
      <c r="I4657" s="2" t="s">
        <v>10859</v>
      </c>
      <c r="J4657" s="3" t="str">
        <f>HYPERLINK("https://www.boe.es/gazeta/dias/1814/02/10/pdfs/GRE-1814-19.pdf#page=2","Abrir facsímil")</f>
        <v>Abrir facsímil</v>
      </c>
      <c r="K4657" s="3" t="s">
        <v>64</v>
      </c>
    </row>
    <row r="4658" spans="1:11" ht="42" customHeight="1">
      <c r="A4658" s="2" t="s">
        <v>10860</v>
      </c>
      <c r="B4658" s="2" t="s">
        <v>10861</v>
      </c>
      <c r="C4658" s="2" t="s">
        <v>38</v>
      </c>
      <c r="D4658" s="2" t="s">
        <v>314</v>
      </c>
      <c r="E4658" s="5">
        <v>-31296</v>
      </c>
      <c r="F4658" s="3" t="s">
        <v>315</v>
      </c>
      <c r="G4658" s="3" t="s">
        <v>57</v>
      </c>
      <c r="H4658" s="2" t="s">
        <v>62</v>
      </c>
      <c r="I4658" s="2" t="s">
        <v>10862</v>
      </c>
      <c r="J4658" s="3" t="str">
        <f>HYPERLINK("https://www.boe.es/gazeta/dias/1814/04/24/pdfs/GRE-1814-60E.pdf#page=6","Abrir facsímil")</f>
        <v>Abrir facsímil</v>
      </c>
      <c r="K4658" s="3" t="s">
        <v>64</v>
      </c>
    </row>
    <row r="4659" spans="1:11" ht="42" customHeight="1">
      <c r="A4659" s="2" t="s">
        <v>10863</v>
      </c>
      <c r="B4659" s="2" t="s">
        <v>10864</v>
      </c>
      <c r="C4659" s="2" t="s">
        <v>38</v>
      </c>
      <c r="D4659" s="2" t="s">
        <v>39</v>
      </c>
      <c r="E4659" s="5">
        <v>-31364</v>
      </c>
      <c r="F4659" s="3" t="s">
        <v>594</v>
      </c>
      <c r="G4659" s="3" t="s">
        <v>57</v>
      </c>
      <c r="H4659" s="2" t="s">
        <v>62</v>
      </c>
      <c r="I4659" s="2" t="s">
        <v>10865</v>
      </c>
      <c r="J4659" s="3" t="str">
        <f>HYPERLINK("https://www.boe.es/gazeta/dias/1814/02/15/pdfs/GRE-1814-21.pdf#page=6","Abrir facsímil")</f>
        <v>Abrir facsímil</v>
      </c>
      <c r="K4659" s="3" t="s">
        <v>64</v>
      </c>
    </row>
    <row r="4660" spans="1:11" ht="42" customHeight="1">
      <c r="A4660" s="2" t="s">
        <v>10866</v>
      </c>
      <c r="B4660" s="2" t="s">
        <v>10867</v>
      </c>
      <c r="C4660" s="2" t="s">
        <v>17</v>
      </c>
      <c r="D4660" s="2" t="s">
        <v>18</v>
      </c>
      <c r="E4660" s="5">
        <v>-31119</v>
      </c>
      <c r="F4660" s="3" t="s">
        <v>136</v>
      </c>
      <c r="G4660" s="3" t="s">
        <v>87</v>
      </c>
      <c r="H4660" s="2" t="s">
        <v>62</v>
      </c>
      <c r="I4660" s="2" t="s">
        <v>10868</v>
      </c>
      <c r="J4660" s="3" t="str">
        <f>HYPERLINK("https://www.boe.es/gazeta/dias/1814/10/18/pdfs/GMD-1814-140.pdf#page=2","Abrir facsímil")</f>
        <v>Abrir facsímil</v>
      </c>
      <c r="K4660" s="3" t="s">
        <v>64</v>
      </c>
    </row>
    <row r="4661" spans="1:11" ht="42" customHeight="1">
      <c r="A4661" s="2" t="s">
        <v>10869</v>
      </c>
      <c r="B4661" s="2" t="s">
        <v>10870</v>
      </c>
      <c r="C4661" s="2" t="s">
        <v>17</v>
      </c>
      <c r="D4661" s="2" t="s">
        <v>18</v>
      </c>
      <c r="E4661" s="5">
        <v>-31091</v>
      </c>
      <c r="F4661" s="3" t="s">
        <v>1156</v>
      </c>
      <c r="G4661" s="3" t="s">
        <v>20</v>
      </c>
      <c r="H4661" s="2" t="s">
        <v>62</v>
      </c>
      <c r="I4661" s="2" t="s">
        <v>10871</v>
      </c>
      <c r="J4661" s="3" t="str">
        <f>HYPERLINK("https://www.boe.es/gazeta/dias/1814/11/15/pdfs/GMD-1814-152.pdf#page=7","Abrir facsímil")</f>
        <v>Abrir facsímil</v>
      </c>
      <c r="K4661" s="3" t="s">
        <v>64</v>
      </c>
    </row>
    <row r="4662" spans="1:11" ht="42" customHeight="1">
      <c r="A4662" s="2" t="s">
        <v>10872</v>
      </c>
      <c r="B4662" s="2" t="s">
        <v>10873</v>
      </c>
      <c r="C4662" s="2" t="s">
        <v>26</v>
      </c>
      <c r="D4662" s="2" t="s">
        <v>27</v>
      </c>
      <c r="E4662" s="5">
        <v>-31173</v>
      </c>
      <c r="F4662" s="3" t="s">
        <v>46</v>
      </c>
      <c r="G4662" s="3" t="s">
        <v>20</v>
      </c>
      <c r="H4662" s="2" t="s">
        <v>21</v>
      </c>
      <c r="I4662" s="2" t="s">
        <v>10874</v>
      </c>
      <c r="J4662" s="3" t="str">
        <f>HYPERLINK("https://www.boe.es/gazeta/dias/1814/08/25/pdfs/GMD-1814-116.pdf#page=7","Abrir facsímil")</f>
        <v>Abrir facsímil</v>
      </c>
      <c r="K4662" s="3" t="s">
        <v>23</v>
      </c>
    </row>
    <row r="4663" spans="1:11" ht="42" customHeight="1">
      <c r="A4663" s="2" t="s">
        <v>10875</v>
      </c>
      <c r="B4663" s="2" t="s">
        <v>10876</v>
      </c>
      <c r="C4663" s="2" t="s">
        <v>38</v>
      </c>
      <c r="D4663" s="2" t="s">
        <v>39</v>
      </c>
      <c r="E4663" s="5">
        <v>-31227</v>
      </c>
      <c r="F4663" s="3" t="s">
        <v>102</v>
      </c>
      <c r="G4663" s="3" t="s">
        <v>99</v>
      </c>
      <c r="H4663" s="2" t="s">
        <v>62</v>
      </c>
      <c r="I4663" s="2" t="s">
        <v>10877</v>
      </c>
      <c r="J4663" s="3" t="str">
        <f>HYPERLINK("https://www.boe.es/gazeta/dias/1814/07/02/pdfs/GMD-1814-93.pdf#page=5","Abrir facsímil")</f>
        <v>Abrir facsímil</v>
      </c>
      <c r="K4663" s="3" t="s">
        <v>64</v>
      </c>
    </row>
    <row r="4664" spans="1:11" ht="42" customHeight="1">
      <c r="A4664" s="2" t="s">
        <v>10878</v>
      </c>
      <c r="B4664" s="2" t="s">
        <v>10879</v>
      </c>
      <c r="C4664" s="2" t="s">
        <v>26</v>
      </c>
      <c r="D4664" s="2" t="s">
        <v>27</v>
      </c>
      <c r="E4664" s="5">
        <v>-31145</v>
      </c>
      <c r="F4664" s="3" t="s">
        <v>523</v>
      </c>
      <c r="G4664" s="3" t="s">
        <v>20</v>
      </c>
      <c r="H4664" s="2" t="s">
        <v>62</v>
      </c>
      <c r="I4664" s="2" t="s">
        <v>10880</v>
      </c>
      <c r="J4664" s="3" t="str">
        <f>HYPERLINK("https://www.boe.es/gazeta/dias/1814/09/22/pdfs/GMD-1814-129.pdf#page=7","Abrir facsímil")</f>
        <v>Abrir facsímil</v>
      </c>
      <c r="K4664" s="3" t="s">
        <v>64</v>
      </c>
    </row>
    <row r="4665" spans="1:11" ht="42" customHeight="1">
      <c r="A4665" s="2" t="s">
        <v>10881</v>
      </c>
      <c r="B4665" s="2" t="s">
        <v>10882</v>
      </c>
      <c r="C4665" s="2" t="s">
        <v>38</v>
      </c>
      <c r="D4665" s="2" t="s">
        <v>314</v>
      </c>
      <c r="E4665" s="5">
        <v>-31296</v>
      </c>
      <c r="F4665" s="3" t="s">
        <v>315</v>
      </c>
      <c r="G4665" s="3" t="s">
        <v>82</v>
      </c>
      <c r="H4665" s="2" t="s">
        <v>62</v>
      </c>
      <c r="I4665" s="2" t="s">
        <v>10883</v>
      </c>
      <c r="J4665" s="3" t="str">
        <f>HYPERLINK("https://www.boe.es/gazeta/dias/1814/04/24/pdfs/GRE-1814-60E.pdf#page=3","Abrir facsímil")</f>
        <v>Abrir facsímil</v>
      </c>
      <c r="K4665" s="3" t="s">
        <v>64</v>
      </c>
    </row>
    <row r="4666" spans="1:11" ht="42" customHeight="1">
      <c r="A4666" s="2" t="s">
        <v>10884</v>
      </c>
      <c r="B4666" s="2" t="s">
        <v>10884</v>
      </c>
      <c r="C4666" s="2" t="s">
        <v>38</v>
      </c>
      <c r="D4666" s="2" t="s">
        <v>39</v>
      </c>
      <c r="E4666" s="5">
        <v>-31217</v>
      </c>
      <c r="F4666" s="3" t="s">
        <v>506</v>
      </c>
      <c r="G4666" s="3" t="s">
        <v>82</v>
      </c>
      <c r="H4666" s="2" t="s">
        <v>62</v>
      </c>
      <c r="I4666" s="2" t="s">
        <v>10885</v>
      </c>
      <c r="J4666" s="3" t="str">
        <f>HYPERLINK("https://www.boe.es/gazeta/dias/1814/07/12/pdfs/GMD-1814-97.pdf#page=3","Abrir facsímil")</f>
        <v>Abrir facsímil</v>
      </c>
      <c r="K4666" s="3" t="s">
        <v>64</v>
      </c>
    </row>
    <row r="4667" spans="1:11" ht="42" customHeight="1">
      <c r="A4667" s="2" t="s">
        <v>10886</v>
      </c>
      <c r="B4667" s="2" t="s">
        <v>10887</v>
      </c>
      <c r="C4667" s="2" t="s">
        <v>38</v>
      </c>
      <c r="D4667" s="2" t="s">
        <v>39</v>
      </c>
      <c r="E4667" s="5">
        <v>-31292</v>
      </c>
      <c r="F4667" s="3" t="s">
        <v>557</v>
      </c>
      <c r="G4667" s="3" t="s">
        <v>20</v>
      </c>
      <c r="H4667" s="2" t="s">
        <v>62</v>
      </c>
      <c r="I4667" s="2" t="s">
        <v>10888</v>
      </c>
      <c r="J4667" s="3" t="str">
        <f>HYPERLINK("https://www.boe.es/gazeta/dias/1814/04/28/pdfs/GRE-1814-63.pdf#page=7","Abrir facsímil")</f>
        <v>Abrir facsímil</v>
      </c>
      <c r="K4667" s="3" t="s">
        <v>64</v>
      </c>
    </row>
    <row r="4668" spans="1:11" ht="42" customHeight="1">
      <c r="A4668" s="2" t="s">
        <v>10889</v>
      </c>
      <c r="B4668" s="2" t="s">
        <v>10890</v>
      </c>
      <c r="C4668" s="2" t="s">
        <v>38</v>
      </c>
      <c r="D4668" s="2" t="s">
        <v>39</v>
      </c>
      <c r="E4668" s="5">
        <v>-31047</v>
      </c>
      <c r="F4668" s="3" t="s">
        <v>815</v>
      </c>
      <c r="G4668" s="3" t="s">
        <v>52</v>
      </c>
      <c r="H4668" s="2" t="s">
        <v>62</v>
      </c>
      <c r="I4668" s="2" t="s">
        <v>10891</v>
      </c>
      <c r="J4668" s="3" t="str">
        <f>HYPERLINK("https://www.boe.es/gazeta/dias/1814/12/29/pdfs/GMD-1814-172.pdf#page=8","Abrir facsímil")</f>
        <v>Abrir facsímil</v>
      </c>
      <c r="K4668" s="3" t="s">
        <v>64</v>
      </c>
    </row>
    <row r="4669" spans="1:11" ht="42" customHeight="1">
      <c r="A4669" s="2" t="s">
        <v>10892</v>
      </c>
      <c r="B4669" s="2" t="s">
        <v>10893</v>
      </c>
      <c r="C4669" s="2" t="s">
        <v>26</v>
      </c>
      <c r="D4669" s="2" t="s">
        <v>27</v>
      </c>
      <c r="E4669" s="5">
        <v>-31126</v>
      </c>
      <c r="F4669" s="3" t="s">
        <v>56</v>
      </c>
      <c r="G4669" s="3" t="s">
        <v>2616</v>
      </c>
      <c r="H4669" s="2" t="s">
        <v>62</v>
      </c>
      <c r="I4669" s="2" t="s">
        <v>10894</v>
      </c>
      <c r="J4669" s="3" t="str">
        <f>HYPERLINK("https://www.boe.es/gazeta/dias/1814/10/11/pdfs/GMD-1814-137.pdf#page=7","Abrir facsímil")</f>
        <v>Abrir facsímil</v>
      </c>
      <c r="K4669" s="3" t="s">
        <v>64</v>
      </c>
    </row>
    <row r="4670" spans="1:11" ht="42" customHeight="1">
      <c r="A4670" s="2" t="s">
        <v>10895</v>
      </c>
      <c r="B4670" s="2" t="s">
        <v>10896</v>
      </c>
      <c r="C4670" s="2" t="s">
        <v>26</v>
      </c>
      <c r="D4670" s="2" t="s">
        <v>27</v>
      </c>
      <c r="E4670" s="5">
        <v>-31045</v>
      </c>
      <c r="F4670" s="3" t="s">
        <v>165</v>
      </c>
      <c r="G4670" s="3" t="s">
        <v>99</v>
      </c>
      <c r="H4670" s="2" t="s">
        <v>62</v>
      </c>
      <c r="I4670" s="2" t="s">
        <v>10897</v>
      </c>
      <c r="J4670" s="3" t="str">
        <f>HYPERLINK("https://www.boe.es/gazeta/dias/1814/12/31/pdfs/GMD-1814-173.pdf#page=5","Abrir facsímil")</f>
        <v>Abrir facsímil</v>
      </c>
      <c r="K4670" s="3" t="s">
        <v>64</v>
      </c>
    </row>
    <row r="4671" spans="1:11" ht="42" customHeight="1">
      <c r="A4671" s="2" t="s">
        <v>10898</v>
      </c>
      <c r="B4671" s="2" t="s">
        <v>10899</v>
      </c>
      <c r="C4671" s="2" t="s">
        <v>26</v>
      </c>
      <c r="D4671" s="2" t="s">
        <v>27</v>
      </c>
      <c r="E4671" s="5">
        <v>-31124</v>
      </c>
      <c r="F4671" s="3" t="s">
        <v>383</v>
      </c>
      <c r="G4671" s="3" t="s">
        <v>384</v>
      </c>
      <c r="H4671" s="2" t="s">
        <v>21</v>
      </c>
      <c r="I4671" s="2" t="s">
        <v>10900</v>
      </c>
      <c r="J4671" s="3" t="str">
        <f>HYPERLINK("https://www.boe.es/gazeta/dias/1814/10/13/pdfs/GMD-1814-138.pdf#page=11","Abrir facsímil")</f>
        <v>Abrir facsímil</v>
      </c>
      <c r="K4671" s="3" t="s">
        <v>23</v>
      </c>
    </row>
    <row r="4672" spans="1:11" ht="42" customHeight="1">
      <c r="A4672" s="2" t="s">
        <v>10901</v>
      </c>
      <c r="B4672" s="2" t="s">
        <v>10902</v>
      </c>
      <c r="C4672" s="2" t="s">
        <v>38</v>
      </c>
      <c r="D4672" s="2" t="s">
        <v>39</v>
      </c>
      <c r="E4672" s="5">
        <v>-31161</v>
      </c>
      <c r="F4672" s="3" t="s">
        <v>407</v>
      </c>
      <c r="G4672" s="3" t="s">
        <v>82</v>
      </c>
      <c r="H4672" s="2" t="s">
        <v>62</v>
      </c>
      <c r="I4672" s="2" t="s">
        <v>10903</v>
      </c>
      <c r="J4672" s="3" t="str">
        <f>HYPERLINK("https://www.boe.es/gazeta/dias/1814/09/06/pdfs/GMD-1814-122.pdf#page=3","Abrir facsímil")</f>
        <v>Abrir facsímil</v>
      </c>
      <c r="K4672" s="3" t="s">
        <v>64</v>
      </c>
    </row>
    <row r="4673" spans="1:11" ht="42" customHeight="1">
      <c r="A4673" s="2" t="s">
        <v>10904</v>
      </c>
      <c r="B4673" s="2" t="s">
        <v>10905</v>
      </c>
      <c r="C4673" s="2" t="s">
        <v>38</v>
      </c>
      <c r="D4673" s="2" t="s">
        <v>39</v>
      </c>
      <c r="E4673" s="5">
        <v>-31292</v>
      </c>
      <c r="F4673" s="3" t="s">
        <v>557</v>
      </c>
      <c r="G4673" s="3" t="s">
        <v>20</v>
      </c>
      <c r="H4673" s="2" t="s">
        <v>62</v>
      </c>
      <c r="I4673" s="2" t="s">
        <v>10906</v>
      </c>
      <c r="J4673" s="3" t="str">
        <f>HYPERLINK("https://www.boe.es/gazeta/dias/1814/04/28/pdfs/GRE-1814-63.pdf#page=7","Abrir facsímil")</f>
        <v>Abrir facsímil</v>
      </c>
      <c r="K4673" s="3" t="s">
        <v>64</v>
      </c>
    </row>
    <row r="4674" spans="1:11" ht="42" customHeight="1">
      <c r="A4674" s="2" t="s">
        <v>10907</v>
      </c>
      <c r="B4674" s="2" t="s">
        <v>10908</v>
      </c>
      <c r="C4674" s="2" t="s">
        <v>26</v>
      </c>
      <c r="D4674" s="2" t="s">
        <v>27</v>
      </c>
      <c r="E4674" s="5">
        <v>-31103</v>
      </c>
      <c r="F4674" s="3" t="s">
        <v>1260</v>
      </c>
      <c r="G4674" s="3" t="s">
        <v>10909</v>
      </c>
      <c r="H4674" s="2" t="s">
        <v>62</v>
      </c>
      <c r="I4674" s="2" t="s">
        <v>10910</v>
      </c>
      <c r="J4674" s="3" t="str">
        <f>HYPERLINK("https://www.boe.es/gazeta/dias/1814/11/03/pdfs/GMD-1814-147.pdf#page=4","Abrir facsímil")</f>
        <v>Abrir facsímil</v>
      </c>
      <c r="K4674" s="3" t="s">
        <v>64</v>
      </c>
    </row>
    <row r="4675" spans="1:11" ht="42" customHeight="1">
      <c r="A4675" s="2" t="s">
        <v>10911</v>
      </c>
      <c r="B4675" s="2" t="s">
        <v>10912</v>
      </c>
      <c r="C4675" s="2" t="s">
        <v>17</v>
      </c>
      <c r="D4675" s="2" t="s">
        <v>18</v>
      </c>
      <c r="E4675" s="5">
        <v>-31255</v>
      </c>
      <c r="F4675" s="3" t="s">
        <v>983</v>
      </c>
      <c r="G4675" s="3" t="s">
        <v>41</v>
      </c>
      <c r="H4675" s="2" t="s">
        <v>62</v>
      </c>
      <c r="I4675" s="2" t="s">
        <v>10913</v>
      </c>
      <c r="J4675" s="3" t="str">
        <f>HYPERLINK("https://www.boe.es/gazeta/dias/1814/06/04/pdfs/GMD-1814-81.pdf#page=4","Abrir facsímil")</f>
        <v>Abrir facsímil</v>
      </c>
      <c r="K4675" s="3" t="s">
        <v>64</v>
      </c>
    </row>
    <row r="4676" spans="1:11" ht="42" customHeight="1">
      <c r="A4676" s="2" t="s">
        <v>10914</v>
      </c>
      <c r="B4676" s="2" t="s">
        <v>10915</v>
      </c>
      <c r="C4676" s="2" t="s">
        <v>38</v>
      </c>
      <c r="D4676" s="2" t="s">
        <v>39</v>
      </c>
      <c r="E4676" s="5">
        <v>-31297</v>
      </c>
      <c r="F4676" s="3" t="s">
        <v>737</v>
      </c>
      <c r="G4676" s="3" t="s">
        <v>52</v>
      </c>
      <c r="H4676" s="2" t="s">
        <v>62</v>
      </c>
      <c r="I4676" s="2" t="s">
        <v>10916</v>
      </c>
      <c r="J4676" s="3" t="str">
        <f>HYPERLINK("https://www.boe.es/gazeta/dias/1814/04/23/pdfs/GRE-1814-59.pdf#page=8","Abrir facsímil")</f>
        <v>Abrir facsímil</v>
      </c>
      <c r="K4676" s="3" t="s">
        <v>64</v>
      </c>
    </row>
    <row r="4677" spans="1:11" ht="42" customHeight="1">
      <c r="A4677" s="2" t="s">
        <v>10917</v>
      </c>
      <c r="B4677" s="2" t="s">
        <v>10918</v>
      </c>
      <c r="C4677" s="2" t="s">
        <v>38</v>
      </c>
      <c r="D4677" s="2" t="s">
        <v>39</v>
      </c>
      <c r="E4677" s="5">
        <v>-31231</v>
      </c>
      <c r="F4677" s="3" t="s">
        <v>861</v>
      </c>
      <c r="G4677" s="3" t="s">
        <v>322</v>
      </c>
      <c r="H4677" s="2" t="s">
        <v>62</v>
      </c>
      <c r="I4677" s="2" t="s">
        <v>10919</v>
      </c>
      <c r="J4677" s="3" t="str">
        <f>HYPERLINK("https://www.boe.es/gazeta/dias/1814/06/28/pdfs/GMD-1814-91.pdf#page=12","Abrir facsímil")</f>
        <v>Abrir facsímil</v>
      </c>
      <c r="K4677" s="3" t="s">
        <v>64</v>
      </c>
    </row>
    <row r="4678" spans="1:11" ht="42" customHeight="1">
      <c r="A4678" s="2" t="s">
        <v>10920</v>
      </c>
      <c r="B4678" s="2" t="s">
        <v>10921</v>
      </c>
      <c r="C4678" s="2" t="s">
        <v>38</v>
      </c>
      <c r="D4678" s="2" t="s">
        <v>39</v>
      </c>
      <c r="E4678" s="5">
        <v>-31350</v>
      </c>
      <c r="F4678" s="3" t="s">
        <v>377</v>
      </c>
      <c r="G4678" s="3" t="s">
        <v>20</v>
      </c>
      <c r="H4678" s="2" t="s">
        <v>62</v>
      </c>
      <c r="I4678" s="2" t="s">
        <v>10922</v>
      </c>
      <c r="J4678" s="3" t="str">
        <f>HYPERLINK("https://www.boe.es/gazeta/dias/1814/03/01/pdfs/GRE-1814-28.pdf#page=7","Abrir facsímil")</f>
        <v>Abrir facsímil</v>
      </c>
      <c r="K4678" s="3" t="s">
        <v>64</v>
      </c>
    </row>
    <row r="4679" spans="1:11" ht="42" customHeight="1">
      <c r="A4679" s="2" t="s">
        <v>10923</v>
      </c>
      <c r="B4679" s="2" t="s">
        <v>10924</v>
      </c>
      <c r="C4679" s="2" t="s">
        <v>38</v>
      </c>
      <c r="D4679" s="2" t="s">
        <v>39</v>
      </c>
      <c r="E4679" s="5">
        <v>-31409</v>
      </c>
      <c r="F4679" s="3" t="s">
        <v>168</v>
      </c>
      <c r="G4679" s="3" t="s">
        <v>20</v>
      </c>
      <c r="H4679" s="2" t="s">
        <v>62</v>
      </c>
      <c r="I4679" s="2" t="s">
        <v>10925</v>
      </c>
      <c r="J4679" s="3" t="str">
        <f>HYPERLINK("https://www.boe.es/gazeta/dias/1814/01/01/pdfs/GRE-1814-1.pdf#page=7","Abrir facsímil")</f>
        <v>Abrir facsímil</v>
      </c>
      <c r="K4679" s="3" t="s">
        <v>64</v>
      </c>
    </row>
    <row r="4680" spans="1:11" ht="42" customHeight="1">
      <c r="A4680" s="2" t="s">
        <v>10923</v>
      </c>
      <c r="B4680" s="2" t="s">
        <v>10924</v>
      </c>
      <c r="C4680" s="2" t="s">
        <v>38</v>
      </c>
      <c r="D4680" s="2" t="s">
        <v>39</v>
      </c>
      <c r="E4680" s="5">
        <v>-31325</v>
      </c>
      <c r="F4680" s="3" t="s">
        <v>67</v>
      </c>
      <c r="G4680" s="3" t="s">
        <v>52</v>
      </c>
      <c r="H4680" s="2" t="s">
        <v>62</v>
      </c>
      <c r="I4680" s="2" t="s">
        <v>10926</v>
      </c>
      <c r="J4680" s="3" t="str">
        <f>HYPERLINK("https://www.boe.es/gazeta/dias/1814/03/26/pdfs/GRE-1814-43.pdf#page=8","Abrir facsímil")</f>
        <v>Abrir facsímil</v>
      </c>
      <c r="K4680" s="3" t="s">
        <v>64</v>
      </c>
    </row>
    <row r="4681" spans="1:11" ht="42" customHeight="1">
      <c r="A4681" s="2" t="s">
        <v>10923</v>
      </c>
      <c r="B4681" s="2" t="s">
        <v>10924</v>
      </c>
      <c r="C4681" s="2" t="s">
        <v>17</v>
      </c>
      <c r="D4681" s="2" t="s">
        <v>18</v>
      </c>
      <c r="E4681" s="5">
        <v>-31143</v>
      </c>
      <c r="F4681" s="3" t="s">
        <v>787</v>
      </c>
      <c r="G4681" s="3" t="s">
        <v>52</v>
      </c>
      <c r="H4681" s="2" t="s">
        <v>62</v>
      </c>
      <c r="I4681" s="2" t="s">
        <v>10927</v>
      </c>
      <c r="J4681" s="3" t="str">
        <f>HYPERLINK("https://www.boe.es/gazeta/dias/1814/09/24/pdfs/GMD-1814-130.pdf#page=8","Abrir facsímil")</f>
        <v>Abrir facsímil</v>
      </c>
      <c r="K4681" s="3" t="s">
        <v>64</v>
      </c>
    </row>
    <row r="4682" spans="1:11" ht="42" customHeight="1">
      <c r="A4682" s="2" t="s">
        <v>10928</v>
      </c>
      <c r="B4682" s="2" t="s">
        <v>10929</v>
      </c>
      <c r="C4682" s="2" t="s">
        <v>17</v>
      </c>
      <c r="D4682" s="2" t="s">
        <v>18</v>
      </c>
      <c r="E4682" s="5">
        <v>-31161</v>
      </c>
      <c r="F4682" s="3" t="s">
        <v>407</v>
      </c>
      <c r="G4682" s="3" t="s">
        <v>41</v>
      </c>
      <c r="H4682" s="2" t="s">
        <v>62</v>
      </c>
      <c r="I4682" s="2" t="s">
        <v>10930</v>
      </c>
      <c r="J4682" s="3" t="str">
        <f>HYPERLINK("https://www.boe.es/gazeta/dias/1814/09/06/pdfs/GMD-1814-122.pdf#page=4","Abrir facsímil")</f>
        <v>Abrir facsímil</v>
      </c>
      <c r="K4682" s="3" t="s">
        <v>64</v>
      </c>
    </row>
    <row r="4683" spans="1:11" ht="42" customHeight="1">
      <c r="A4683" s="2" t="s">
        <v>10931</v>
      </c>
      <c r="B4683" s="2" t="s">
        <v>10932</v>
      </c>
      <c r="C4683" s="2" t="s">
        <v>32</v>
      </c>
      <c r="D4683" s="2" t="s">
        <v>18</v>
      </c>
      <c r="E4683" s="5">
        <v>-31297</v>
      </c>
      <c r="F4683" s="3" t="s">
        <v>737</v>
      </c>
      <c r="G4683" s="3" t="s">
        <v>52</v>
      </c>
      <c r="H4683" s="2" t="s">
        <v>62</v>
      </c>
      <c r="I4683" s="2" t="s">
        <v>10933</v>
      </c>
      <c r="J4683" s="3" t="str">
        <f>HYPERLINK("https://www.boe.es/gazeta/dias/1814/04/23/pdfs/GRE-1814-59.pdf#page=8","Abrir facsímil")</f>
        <v>Abrir facsímil</v>
      </c>
      <c r="K4683" s="3" t="s">
        <v>64</v>
      </c>
    </row>
    <row r="4684" spans="1:11" ht="42" customHeight="1">
      <c r="A4684" s="2" t="s">
        <v>10934</v>
      </c>
      <c r="B4684" s="2" t="s">
        <v>10935</v>
      </c>
      <c r="C4684" s="2" t="s">
        <v>38</v>
      </c>
      <c r="D4684" s="2" t="s">
        <v>39</v>
      </c>
      <c r="E4684" s="5">
        <v>-31124</v>
      </c>
      <c r="F4684" s="3" t="s">
        <v>383</v>
      </c>
      <c r="G4684" s="3" t="s">
        <v>384</v>
      </c>
      <c r="H4684" s="2" t="s">
        <v>62</v>
      </c>
      <c r="I4684" s="2" t="s">
        <v>10936</v>
      </c>
      <c r="J4684" s="3" t="str">
        <f>HYPERLINK("https://www.boe.es/gazeta/dias/1814/10/13/pdfs/GMD-1814-138.pdf#page=11","Abrir facsímil")</f>
        <v>Abrir facsímil</v>
      </c>
      <c r="K4684" s="3" t="s">
        <v>64</v>
      </c>
    </row>
    <row r="4685" spans="1:11" ht="42" customHeight="1">
      <c r="A4685" s="2" t="s">
        <v>10937</v>
      </c>
      <c r="B4685" s="2" t="s">
        <v>10938</v>
      </c>
      <c r="C4685" s="2" t="s">
        <v>38</v>
      </c>
      <c r="D4685" s="2" t="s">
        <v>39</v>
      </c>
      <c r="E4685" s="5">
        <v>-31385</v>
      </c>
      <c r="F4685" s="3" t="s">
        <v>783</v>
      </c>
      <c r="G4685" s="3" t="s">
        <v>52</v>
      </c>
      <c r="H4685" s="2" t="s">
        <v>62</v>
      </c>
      <c r="I4685" s="2" t="s">
        <v>10939</v>
      </c>
      <c r="J4685" s="3" t="str">
        <f>HYPERLINK("https://www.boe.es/gazeta/dias/1814/01/25/pdfs/GRE-1814-12.pdf#page=8","Abrir facsímil")</f>
        <v>Abrir facsímil</v>
      </c>
      <c r="K4685" s="3" t="s">
        <v>64</v>
      </c>
    </row>
    <row r="4686" spans="1:11" ht="42" customHeight="1">
      <c r="A4686" s="2" t="s">
        <v>10940</v>
      </c>
      <c r="B4686" s="2" t="s">
        <v>10941</v>
      </c>
      <c r="C4686" s="2" t="s">
        <v>38</v>
      </c>
      <c r="D4686" s="2" t="s">
        <v>39</v>
      </c>
      <c r="E4686" s="5">
        <v>-31385</v>
      </c>
      <c r="F4686" s="3" t="s">
        <v>783</v>
      </c>
      <c r="G4686" s="3" t="s">
        <v>52</v>
      </c>
      <c r="H4686" s="2" t="s">
        <v>62</v>
      </c>
      <c r="I4686" s="2" t="s">
        <v>10942</v>
      </c>
      <c r="J4686" s="3" t="str">
        <f>HYPERLINK("https://www.boe.es/gazeta/dias/1814/01/25/pdfs/GRE-1814-12.pdf#page=8","Abrir facsímil")</f>
        <v>Abrir facsímil</v>
      </c>
      <c r="K4686" s="3" t="s">
        <v>64</v>
      </c>
    </row>
    <row r="4687" spans="1:11" ht="42" customHeight="1">
      <c r="A4687" s="2" t="s">
        <v>10943</v>
      </c>
      <c r="B4687" s="2" t="s">
        <v>10944</v>
      </c>
      <c r="C4687" s="2" t="s">
        <v>38</v>
      </c>
      <c r="D4687" s="2" t="s">
        <v>39</v>
      </c>
      <c r="E4687" s="5">
        <v>-31322</v>
      </c>
      <c r="F4687" s="3" t="s">
        <v>114</v>
      </c>
      <c r="G4687" s="3" t="s">
        <v>52</v>
      </c>
      <c r="H4687" s="2" t="s">
        <v>62</v>
      </c>
      <c r="I4687" s="2" t="s">
        <v>10945</v>
      </c>
      <c r="J4687" s="3" t="str">
        <f>HYPERLINK("https://www.boe.es/gazeta/dias/1814/03/29/pdfs/GRE-1814-44.pdf#page=8","Abrir facsímil")</f>
        <v>Abrir facsímil</v>
      </c>
      <c r="K4687" s="3" t="s">
        <v>64</v>
      </c>
    </row>
    <row r="4688" spans="1:11" ht="42" customHeight="1">
      <c r="A4688" s="2" t="s">
        <v>10946</v>
      </c>
      <c r="B4688" s="2" t="s">
        <v>10947</v>
      </c>
      <c r="C4688" s="2" t="s">
        <v>309</v>
      </c>
      <c r="D4688" s="2" t="s">
        <v>18</v>
      </c>
      <c r="E4688" s="5">
        <v>-31348</v>
      </c>
      <c r="F4688" s="3" t="s">
        <v>898</v>
      </c>
      <c r="G4688" s="3" t="s">
        <v>961</v>
      </c>
      <c r="H4688" s="2" t="s">
        <v>62</v>
      </c>
      <c r="I4688" s="2" t="s">
        <v>10948</v>
      </c>
      <c r="J4688" s="3" t="str">
        <f>HYPERLINK("https://www.boe.es/gazeta/dias/1814/03/03/pdfs/GRE-1814-29.pdf#page=7","Abrir facsímil")</f>
        <v>Abrir facsímil</v>
      </c>
      <c r="K4688" s="3" t="s">
        <v>64</v>
      </c>
    </row>
    <row r="4689" spans="1:11" ht="42" customHeight="1">
      <c r="A4689" s="2" t="s">
        <v>10949</v>
      </c>
      <c r="B4689" s="2" t="s">
        <v>10950</v>
      </c>
      <c r="C4689" s="2" t="s">
        <v>309</v>
      </c>
      <c r="D4689" s="2" t="s">
        <v>18</v>
      </c>
      <c r="E4689" s="5">
        <v>-31348</v>
      </c>
      <c r="F4689" s="3" t="s">
        <v>898</v>
      </c>
      <c r="G4689" s="3" t="s">
        <v>961</v>
      </c>
      <c r="H4689" s="2" t="s">
        <v>62</v>
      </c>
      <c r="I4689" s="2" t="s">
        <v>10951</v>
      </c>
      <c r="J4689" s="3" t="str">
        <f>HYPERLINK("https://www.boe.es/gazeta/dias/1814/03/03/pdfs/GRE-1814-29.pdf#page=7","Abrir facsímil")</f>
        <v>Abrir facsímil</v>
      </c>
      <c r="K4689" s="3" t="s">
        <v>64</v>
      </c>
    </row>
    <row r="4690" spans="1:11" ht="42" customHeight="1">
      <c r="A4690" s="2" t="s">
        <v>10952</v>
      </c>
      <c r="B4690" s="2" t="s">
        <v>10953</v>
      </c>
      <c r="C4690" s="2" t="s">
        <v>45</v>
      </c>
      <c r="D4690" s="2" t="s">
        <v>18</v>
      </c>
      <c r="E4690" s="5">
        <v>-31138</v>
      </c>
      <c r="F4690" s="3" t="s">
        <v>1363</v>
      </c>
      <c r="G4690" s="3" t="s">
        <v>1364</v>
      </c>
      <c r="H4690" s="2" t="s">
        <v>62</v>
      </c>
      <c r="I4690" s="2" t="s">
        <v>10954</v>
      </c>
      <c r="J4690" s="3" t="str">
        <f>HYPERLINK("https://www.boe.es/gazeta/dias/1814/09/29/pdfs/GMD-1814-132.pdf#page=7","Abrir facsímil")</f>
        <v>Abrir facsímil</v>
      </c>
      <c r="K4690" s="3" t="s">
        <v>64</v>
      </c>
    </row>
    <row r="4691" spans="1:11" ht="42" customHeight="1">
      <c r="A4691" s="2" t="s">
        <v>10955</v>
      </c>
      <c r="B4691" s="2" t="s">
        <v>10956</v>
      </c>
      <c r="C4691" s="2" t="s">
        <v>38</v>
      </c>
      <c r="D4691" s="2" t="s">
        <v>39</v>
      </c>
      <c r="E4691" s="5">
        <v>-31315</v>
      </c>
      <c r="F4691" s="3" t="s">
        <v>645</v>
      </c>
      <c r="G4691" s="3" t="s">
        <v>57</v>
      </c>
      <c r="H4691" s="2" t="s">
        <v>62</v>
      </c>
      <c r="I4691" s="2" t="s">
        <v>10957</v>
      </c>
      <c r="J4691" s="3" t="str">
        <f>HYPERLINK("https://www.boe.es/gazeta/dias/1814/04/05/pdfs/GRE-1814-49.pdf#page=6","Abrir facsímil")</f>
        <v>Abrir facsímil</v>
      </c>
      <c r="K4691" s="3" t="s">
        <v>64</v>
      </c>
    </row>
    <row r="4692" spans="1:11" ht="42" customHeight="1">
      <c r="A4692" s="2" t="s">
        <v>10958</v>
      </c>
      <c r="B4692" s="2" t="s">
        <v>10959</v>
      </c>
      <c r="C4692" s="2" t="s">
        <v>45</v>
      </c>
      <c r="D4692" s="2" t="s">
        <v>18</v>
      </c>
      <c r="E4692" s="5">
        <v>-31369</v>
      </c>
      <c r="F4692" s="3" t="s">
        <v>695</v>
      </c>
      <c r="G4692" s="3" t="s">
        <v>1872</v>
      </c>
      <c r="H4692" s="2" t="s">
        <v>62</v>
      </c>
      <c r="I4692" s="2" t="s">
        <v>10960</v>
      </c>
      <c r="J4692" s="3" t="str">
        <f>HYPERLINK("https://www.boe.es/gazeta/dias/1814/02/10/pdfs/GRE-1814-19.pdf#page=8","Abrir facsímil")</f>
        <v>Abrir facsímil</v>
      </c>
      <c r="K4692" s="3" t="s">
        <v>64</v>
      </c>
    </row>
    <row r="4693" spans="1:11" ht="42" customHeight="1">
      <c r="A4693" s="2" t="s">
        <v>10961</v>
      </c>
      <c r="B4693" s="2" t="s">
        <v>10962</v>
      </c>
      <c r="C4693" s="2" t="s">
        <v>38</v>
      </c>
      <c r="D4693" s="2" t="s">
        <v>39</v>
      </c>
      <c r="E4693" s="5">
        <v>-31143</v>
      </c>
      <c r="F4693" s="3" t="s">
        <v>787</v>
      </c>
      <c r="G4693" s="3" t="s">
        <v>20</v>
      </c>
      <c r="H4693" s="2" t="s">
        <v>62</v>
      </c>
      <c r="I4693" s="2" t="s">
        <v>10963</v>
      </c>
      <c r="J4693" s="3" t="str">
        <f>HYPERLINK("https://www.boe.es/gazeta/dias/1814/09/24/pdfs/GMD-1814-130.pdf#page=7","Abrir facsímil")</f>
        <v>Abrir facsímil</v>
      </c>
      <c r="K4693" s="3" t="s">
        <v>64</v>
      </c>
    </row>
    <row r="4694" spans="1:11" ht="42" customHeight="1">
      <c r="A4694" s="2" t="s">
        <v>10964</v>
      </c>
      <c r="B4694" s="2" t="s">
        <v>10965</v>
      </c>
      <c r="C4694" s="2" t="s">
        <v>38</v>
      </c>
      <c r="D4694" s="2" t="s">
        <v>39</v>
      </c>
      <c r="E4694" s="5">
        <v>-31252</v>
      </c>
      <c r="F4694" s="3" t="s">
        <v>364</v>
      </c>
      <c r="G4694" s="3" t="s">
        <v>82</v>
      </c>
      <c r="H4694" s="2" t="s">
        <v>62</v>
      </c>
      <c r="I4694" s="2" t="s">
        <v>10966</v>
      </c>
      <c r="J4694" s="3" t="str">
        <f>HYPERLINK("https://www.boe.es/gazeta/dias/1814/06/07/pdfs/GMD-1814-82.pdf#page=3","Abrir facsímil")</f>
        <v>Abrir facsímil</v>
      </c>
      <c r="K4694" s="3" t="s">
        <v>64</v>
      </c>
    </row>
    <row r="4695" spans="1:11" ht="42" customHeight="1">
      <c r="A4695" s="2" t="s">
        <v>10967</v>
      </c>
      <c r="B4695" s="2" t="s">
        <v>10967</v>
      </c>
      <c r="C4695" s="2" t="s">
        <v>45</v>
      </c>
      <c r="D4695" s="2" t="s">
        <v>18</v>
      </c>
      <c r="E4695" s="5">
        <v>-31378</v>
      </c>
      <c r="F4695" s="3" t="s">
        <v>98</v>
      </c>
      <c r="G4695" s="3" t="s">
        <v>52</v>
      </c>
      <c r="H4695" s="2" t="s">
        <v>62</v>
      </c>
      <c r="I4695" s="2" t="s">
        <v>10968</v>
      </c>
      <c r="J4695" s="3" t="str">
        <f>HYPERLINK("https://www.boe.es/gazeta/dias/1814/02/01/pdfs/GRE-1814-15.pdf#page=8","Abrir facsímil")</f>
        <v>Abrir facsímil</v>
      </c>
      <c r="K4695" s="3" t="s">
        <v>64</v>
      </c>
    </row>
    <row r="4696" spans="1:11" ht="42" customHeight="1">
      <c r="A4696" s="2" t="s">
        <v>10969</v>
      </c>
      <c r="B4696" s="2" t="s">
        <v>10969</v>
      </c>
      <c r="C4696" s="2" t="s">
        <v>17</v>
      </c>
      <c r="D4696" s="2" t="s">
        <v>18</v>
      </c>
      <c r="E4696" s="5">
        <v>-31243</v>
      </c>
      <c r="F4696" s="3" t="s">
        <v>500</v>
      </c>
      <c r="G4696" s="3" t="s">
        <v>20</v>
      </c>
      <c r="H4696" s="2" t="s">
        <v>62</v>
      </c>
      <c r="I4696" s="2" t="s">
        <v>10970</v>
      </c>
      <c r="J4696" s="3" t="str">
        <f>HYPERLINK("https://www.boe.es/gazeta/dias/1814/06/16/pdfs/GMD-1814-86.pdf#page=7","Abrir facsímil")</f>
        <v>Abrir facsímil</v>
      </c>
      <c r="K4696" s="3" t="s">
        <v>64</v>
      </c>
    </row>
    <row r="4697" spans="1:11" ht="42" customHeight="1">
      <c r="A4697" s="2" t="s">
        <v>10971</v>
      </c>
      <c r="B4697" s="2" t="s">
        <v>10972</v>
      </c>
      <c r="C4697" s="2" t="s">
        <v>38</v>
      </c>
      <c r="D4697" s="2" t="s">
        <v>39</v>
      </c>
      <c r="E4697" s="5">
        <v>-31080</v>
      </c>
      <c r="F4697" s="3" t="s">
        <v>286</v>
      </c>
      <c r="G4697" s="3" t="s">
        <v>57</v>
      </c>
      <c r="H4697" s="2" t="s">
        <v>62</v>
      </c>
      <c r="I4697" s="2" t="s">
        <v>10973</v>
      </c>
      <c r="J4697" s="3" t="str">
        <f>HYPERLINK("https://www.boe.es/gazeta/dias/1814/11/26/pdfs/GMD-1814-157.pdf#page=6","Abrir facsímil")</f>
        <v>Abrir facsímil</v>
      </c>
      <c r="K4697" s="3" t="s">
        <v>64</v>
      </c>
    </row>
    <row r="4698" spans="1:11" ht="42" customHeight="1">
      <c r="A4698" s="2" t="s">
        <v>10974</v>
      </c>
      <c r="B4698" s="2" t="s">
        <v>10975</v>
      </c>
      <c r="C4698" s="2" t="s">
        <v>17</v>
      </c>
      <c r="D4698" s="2" t="s">
        <v>18</v>
      </c>
      <c r="E4698" s="5">
        <v>-31140</v>
      </c>
      <c r="F4698" s="3" t="s">
        <v>525</v>
      </c>
      <c r="G4698" s="3" t="s">
        <v>52</v>
      </c>
      <c r="H4698" s="2" t="s">
        <v>62</v>
      </c>
      <c r="I4698" s="2" t="s">
        <v>10976</v>
      </c>
      <c r="J4698" s="3" t="str">
        <f>HYPERLINK("https://www.boe.es/gazeta/dias/1814/09/27/pdfs/GMD-1814-131.pdf#page=8","Abrir facsímil")</f>
        <v>Abrir facsímil</v>
      </c>
      <c r="K4698" s="3" t="s">
        <v>64</v>
      </c>
    </row>
    <row r="4699" spans="1:11" ht="42" customHeight="1">
      <c r="A4699" s="2" t="s">
        <v>10977</v>
      </c>
      <c r="B4699" s="2" t="s">
        <v>10978</v>
      </c>
      <c r="C4699" s="2" t="s">
        <v>17</v>
      </c>
      <c r="D4699" s="2" t="s">
        <v>18</v>
      </c>
      <c r="E4699" s="5">
        <v>-31248</v>
      </c>
      <c r="F4699" s="3" t="s">
        <v>1123</v>
      </c>
      <c r="G4699" s="3" t="s">
        <v>20</v>
      </c>
      <c r="H4699" s="2" t="s">
        <v>62</v>
      </c>
      <c r="I4699" s="2" t="s">
        <v>10979</v>
      </c>
      <c r="J4699" s="3" t="str">
        <f>HYPERLINK("https://www.boe.es/gazeta/dias/1814/06/11/pdfs/GMD-1814-84.pdf#page=7","Abrir facsímil")</f>
        <v>Abrir facsímil</v>
      </c>
      <c r="K4699" s="3" t="s">
        <v>64</v>
      </c>
    </row>
    <row r="4700" spans="1:11" ht="42" customHeight="1">
      <c r="A4700" s="2" t="s">
        <v>10980</v>
      </c>
      <c r="B4700" s="2" t="s">
        <v>10981</v>
      </c>
      <c r="C4700" s="2" t="s">
        <v>38</v>
      </c>
      <c r="D4700" s="2" t="s">
        <v>39</v>
      </c>
      <c r="E4700" s="5">
        <v>-31194</v>
      </c>
      <c r="F4700" s="3" t="s">
        <v>333</v>
      </c>
      <c r="G4700" s="3" t="s">
        <v>57</v>
      </c>
      <c r="H4700" s="2" t="s">
        <v>62</v>
      </c>
      <c r="I4700" s="2" t="s">
        <v>10982</v>
      </c>
      <c r="J4700" s="3" t="str">
        <f>HYPERLINK("https://www.boe.es/gazeta/dias/1814/08/04/pdfs/GMD-1814-107.pdf#page=6","Abrir facsímil")</f>
        <v>Abrir facsímil</v>
      </c>
      <c r="K4700" s="3" t="s">
        <v>64</v>
      </c>
    </row>
    <row r="4701" spans="1:11" ht="42" customHeight="1">
      <c r="A4701" s="2" t="s">
        <v>10983</v>
      </c>
      <c r="B4701" s="2" t="s">
        <v>10984</v>
      </c>
      <c r="C4701" s="2" t="s">
        <v>26</v>
      </c>
      <c r="D4701" s="2" t="s">
        <v>27</v>
      </c>
      <c r="E4701" s="5">
        <v>-31371</v>
      </c>
      <c r="F4701" s="3" t="s">
        <v>476</v>
      </c>
      <c r="G4701" s="3" t="s">
        <v>5855</v>
      </c>
      <c r="H4701" s="2" t="s">
        <v>62</v>
      </c>
      <c r="I4701" s="2" t="s">
        <v>10985</v>
      </c>
      <c r="J4701" s="3" t="str">
        <f>HYPERLINK("https://www.boe.es/gazeta/dias/1814/02/08/pdfs/GRE-1814-31.pdf#page=7","Abrir facsímil")</f>
        <v>Abrir facsímil</v>
      </c>
      <c r="K4701" s="3" t="s">
        <v>64</v>
      </c>
    </row>
    <row r="4702" spans="1:11" ht="42" customHeight="1">
      <c r="A4702" s="2" t="s">
        <v>10983</v>
      </c>
      <c r="B4702" s="2" t="s">
        <v>10984</v>
      </c>
      <c r="C4702" s="2" t="s">
        <v>26</v>
      </c>
      <c r="D4702" s="2" t="s">
        <v>27</v>
      </c>
      <c r="E4702" s="5">
        <v>-31343</v>
      </c>
      <c r="F4702" s="3" t="s">
        <v>476</v>
      </c>
      <c r="G4702" s="3" t="s">
        <v>5855</v>
      </c>
      <c r="H4702" s="2" t="s">
        <v>62</v>
      </c>
      <c r="I4702" s="2" t="s">
        <v>10985</v>
      </c>
      <c r="J4702" s="3" t="str">
        <f>HYPERLINK("https://www.boe.es/gazeta/dias/1814/03/08/pdfs/GRE-1814-31.pdf#page=7","Abrir facsímil")</f>
        <v>Abrir facsímil</v>
      </c>
      <c r="K4702" s="3" t="s">
        <v>64</v>
      </c>
    </row>
    <row r="4703" spans="1:11" ht="42" customHeight="1">
      <c r="A4703" s="2" t="s">
        <v>10983</v>
      </c>
      <c r="B4703" s="2" t="s">
        <v>10984</v>
      </c>
      <c r="C4703" s="2" t="s">
        <v>38</v>
      </c>
      <c r="D4703" s="2" t="s">
        <v>39</v>
      </c>
      <c r="E4703" s="5">
        <v>-31124</v>
      </c>
      <c r="F4703" s="3" t="s">
        <v>383</v>
      </c>
      <c r="G4703" s="3" t="s">
        <v>384</v>
      </c>
      <c r="H4703" s="2" t="s">
        <v>62</v>
      </c>
      <c r="I4703" s="2" t="s">
        <v>10986</v>
      </c>
      <c r="J4703" s="3" t="str">
        <f>HYPERLINK("https://www.boe.es/gazeta/dias/1814/10/13/pdfs/GMD-1814-138.pdf#page=11","Abrir facsímil")</f>
        <v>Abrir facsímil</v>
      </c>
      <c r="K4703" s="3" t="s">
        <v>64</v>
      </c>
    </row>
    <row r="4704" spans="1:11" ht="42" customHeight="1">
      <c r="A4704" s="2" t="s">
        <v>10987</v>
      </c>
      <c r="B4704" s="2" t="s">
        <v>10988</v>
      </c>
      <c r="C4704" s="2" t="s">
        <v>26</v>
      </c>
      <c r="D4704" s="2" t="s">
        <v>27</v>
      </c>
      <c r="E4704" s="5">
        <v>-31080</v>
      </c>
      <c r="F4704" s="3" t="s">
        <v>286</v>
      </c>
      <c r="G4704" s="3" t="s">
        <v>677</v>
      </c>
      <c r="H4704" s="2" t="s">
        <v>62</v>
      </c>
      <c r="I4704" s="2" t="s">
        <v>10989</v>
      </c>
      <c r="J4704" s="3" t="str">
        <f>HYPERLINK("https://www.boe.es/gazeta/dias/1814/11/26/pdfs/GMD-1814-157.pdf#page=7","Abrir facsímil")</f>
        <v>Abrir facsímil</v>
      </c>
      <c r="K4704" s="3" t="s">
        <v>64</v>
      </c>
    </row>
    <row r="4705" spans="1:11" ht="42" customHeight="1">
      <c r="A4705" s="2" t="s">
        <v>10990</v>
      </c>
      <c r="B4705" s="2" t="s">
        <v>10991</v>
      </c>
      <c r="C4705" s="2" t="s">
        <v>26</v>
      </c>
      <c r="D4705" s="2" t="s">
        <v>27</v>
      </c>
      <c r="E4705" s="5">
        <v>-31087</v>
      </c>
      <c r="F4705" s="3" t="s">
        <v>118</v>
      </c>
      <c r="G4705" s="3" t="s">
        <v>3730</v>
      </c>
      <c r="H4705" s="2" t="s">
        <v>62</v>
      </c>
      <c r="I4705" s="2" t="s">
        <v>10992</v>
      </c>
      <c r="J4705" s="3" t="str">
        <f>HYPERLINK("https://www.boe.es/gazeta/dias/1814/11/19/pdfs/GMD-1814-154.pdf#page=7","Abrir facsímil")</f>
        <v>Abrir facsímil</v>
      </c>
      <c r="K4705" s="3" t="s">
        <v>64</v>
      </c>
    </row>
    <row r="4706" spans="1:11" ht="42" customHeight="1">
      <c r="A4706" s="2" t="s">
        <v>10993</v>
      </c>
      <c r="B4706" s="2" t="s">
        <v>10994</v>
      </c>
      <c r="C4706" s="2" t="s">
        <v>17</v>
      </c>
      <c r="D4706" s="2" t="s">
        <v>18</v>
      </c>
      <c r="E4706" s="5">
        <v>-31122</v>
      </c>
      <c r="F4706" s="3" t="s">
        <v>28</v>
      </c>
      <c r="G4706" s="3" t="s">
        <v>20</v>
      </c>
      <c r="H4706" s="2" t="s">
        <v>62</v>
      </c>
      <c r="I4706" s="2" t="s">
        <v>10995</v>
      </c>
      <c r="J4706" s="3" t="str">
        <f>HYPERLINK("https://www.boe.es/gazeta/dias/1814/10/15/pdfs/GMD-1814-139.pdf#page=7","Abrir facsímil")</f>
        <v>Abrir facsímil</v>
      </c>
      <c r="K4706" s="3" t="s">
        <v>64</v>
      </c>
    </row>
    <row r="4707" spans="1:11" ht="42" customHeight="1">
      <c r="A4707" s="2" t="s">
        <v>10996</v>
      </c>
      <c r="B4707" s="2" t="s">
        <v>10997</v>
      </c>
      <c r="C4707" s="2" t="s">
        <v>26</v>
      </c>
      <c r="D4707" s="2" t="s">
        <v>27</v>
      </c>
      <c r="E4707" s="5">
        <v>-31182</v>
      </c>
      <c r="F4707" s="3" t="s">
        <v>19</v>
      </c>
      <c r="G4707" s="3" t="s">
        <v>82</v>
      </c>
      <c r="H4707" s="2" t="s">
        <v>62</v>
      </c>
      <c r="I4707" s="2" t="s">
        <v>10998</v>
      </c>
      <c r="J4707" s="3" t="str">
        <f>HYPERLINK("https://www.boe.es/gazeta/dias/1814/08/16/pdfs/GMD-1814-112.pdf#page=3","Abrir facsímil")</f>
        <v>Abrir facsímil</v>
      </c>
      <c r="K4707" s="3" t="s">
        <v>64</v>
      </c>
    </row>
    <row r="4708" spans="1:11" ht="42" customHeight="1">
      <c r="A4708" s="2" t="s">
        <v>10999</v>
      </c>
      <c r="B4708" s="2" t="s">
        <v>11000</v>
      </c>
      <c r="C4708" s="2" t="s">
        <v>38</v>
      </c>
      <c r="D4708" s="2" t="s">
        <v>39</v>
      </c>
      <c r="E4708" s="5">
        <v>-31339</v>
      </c>
      <c r="F4708" s="3" t="s">
        <v>641</v>
      </c>
      <c r="G4708" s="3" t="s">
        <v>57</v>
      </c>
      <c r="H4708" s="2" t="s">
        <v>62</v>
      </c>
      <c r="I4708" s="2" t="s">
        <v>11001</v>
      </c>
      <c r="J4708" s="3" t="str">
        <f>HYPERLINK("https://www.boe.es/gazeta/dias/1814/03/12/pdfs/GRE-1814-35.pdf#page=6","Abrir facsímil")</f>
        <v>Abrir facsímil</v>
      </c>
      <c r="K4708" s="3" t="s">
        <v>64</v>
      </c>
    </row>
    <row r="4709" spans="1:11" ht="42" customHeight="1">
      <c r="A4709" s="2" t="s">
        <v>11002</v>
      </c>
      <c r="B4709" s="2" t="s">
        <v>11003</v>
      </c>
      <c r="C4709" s="2" t="s">
        <v>45</v>
      </c>
      <c r="D4709" s="2" t="s">
        <v>18</v>
      </c>
      <c r="E4709" s="5">
        <v>-31133</v>
      </c>
      <c r="F4709" s="3" t="s">
        <v>184</v>
      </c>
      <c r="G4709" s="3" t="s">
        <v>1243</v>
      </c>
      <c r="H4709" s="2" t="s">
        <v>62</v>
      </c>
      <c r="I4709" s="2" t="s">
        <v>11004</v>
      </c>
      <c r="J4709" s="3" t="str">
        <f>HYPERLINK("https://www.boe.es/gazeta/dias/1814/10/04/pdfs/GMD-1814-134.pdf#page=8","Abrir facsímil")</f>
        <v>Abrir facsímil</v>
      </c>
      <c r="K4709" s="3" t="s">
        <v>64</v>
      </c>
    </row>
    <row r="4710" spans="1:11" ht="42" customHeight="1">
      <c r="A4710" s="2" t="s">
        <v>11005</v>
      </c>
      <c r="B4710" s="2" t="s">
        <v>11006</v>
      </c>
      <c r="C4710" s="2" t="s">
        <v>32</v>
      </c>
      <c r="D4710" s="2" t="s">
        <v>18</v>
      </c>
      <c r="E4710" s="5">
        <v>-31236</v>
      </c>
      <c r="F4710" s="3" t="s">
        <v>33</v>
      </c>
      <c r="G4710" s="3" t="s">
        <v>322</v>
      </c>
      <c r="H4710" s="2" t="s">
        <v>62</v>
      </c>
      <c r="I4710" s="2" t="s">
        <v>11007</v>
      </c>
      <c r="J4710" s="3" t="str">
        <f>HYPERLINK("https://www.boe.es/gazeta/dias/1814/06/23/pdfs/GMD-1814-89.pdf#page=12","Abrir facsímil")</f>
        <v>Abrir facsímil</v>
      </c>
      <c r="K4710" s="3" t="s">
        <v>64</v>
      </c>
    </row>
    <row r="4711" spans="1:11" ht="42" customHeight="1">
      <c r="A4711" s="2" t="s">
        <v>11008</v>
      </c>
      <c r="B4711" s="2" t="s">
        <v>11009</v>
      </c>
      <c r="C4711" s="2" t="s">
        <v>38</v>
      </c>
      <c r="D4711" s="2" t="s">
        <v>39</v>
      </c>
      <c r="E4711" s="5">
        <v>-31355</v>
      </c>
      <c r="F4711" s="3" t="s">
        <v>50</v>
      </c>
      <c r="G4711" s="3" t="s">
        <v>20</v>
      </c>
      <c r="H4711" s="2" t="s">
        <v>62</v>
      </c>
      <c r="I4711" s="2" t="s">
        <v>11010</v>
      </c>
      <c r="J4711" s="3" t="str">
        <f>HYPERLINK("https://www.boe.es/gazeta/dias/1814/02/24/pdfs/GRE-1814-26.pdf#page=7","Abrir facsímil")</f>
        <v>Abrir facsímil</v>
      </c>
      <c r="K4711" s="3" t="s">
        <v>64</v>
      </c>
    </row>
    <row r="4712" spans="1:11" ht="42" customHeight="1">
      <c r="A4712" s="2" t="s">
        <v>11011</v>
      </c>
      <c r="B4712" s="2" t="s">
        <v>11011</v>
      </c>
      <c r="C4712" s="2" t="s">
        <v>38</v>
      </c>
      <c r="D4712" s="2" t="s">
        <v>39</v>
      </c>
      <c r="E4712" s="5">
        <v>-31346</v>
      </c>
      <c r="F4712" s="3" t="s">
        <v>78</v>
      </c>
      <c r="G4712" s="3" t="s">
        <v>521</v>
      </c>
      <c r="H4712" s="2" t="s">
        <v>62</v>
      </c>
      <c r="I4712" s="2" t="s">
        <v>11012</v>
      </c>
      <c r="J4712" s="3" t="str">
        <f>HYPERLINK("https://www.boe.es/gazeta/dias/1814/03/05/pdfs/GRE-1814-30.pdf#page=3","Abrir facsímil")</f>
        <v>Abrir facsímil</v>
      </c>
      <c r="K4712" s="3" t="s">
        <v>64</v>
      </c>
    </row>
    <row r="4713" spans="1:11" ht="42" customHeight="1">
      <c r="A4713" s="2" t="s">
        <v>11013</v>
      </c>
      <c r="B4713" s="2" t="s">
        <v>11014</v>
      </c>
      <c r="C4713" s="2" t="s">
        <v>17</v>
      </c>
      <c r="D4713" s="2" t="s">
        <v>18</v>
      </c>
      <c r="E4713" s="5">
        <v>-31098</v>
      </c>
      <c r="F4713" s="3" t="s">
        <v>290</v>
      </c>
      <c r="G4713" s="3" t="s">
        <v>310</v>
      </c>
      <c r="H4713" s="2" t="s">
        <v>62</v>
      </c>
      <c r="I4713" s="2" t="s">
        <v>11015</v>
      </c>
      <c r="J4713" s="3" t="str">
        <f>HYPERLINK("https://www.boe.es/gazeta/dias/1814/11/08/pdfs/GMD-1814-149.pdf#page=8","Abrir facsímil")</f>
        <v>Abrir facsímil</v>
      </c>
      <c r="K4713" s="3" t="s">
        <v>64</v>
      </c>
    </row>
    <row r="4714" spans="1:11" ht="42" customHeight="1">
      <c r="A4714" s="2" t="s">
        <v>11016</v>
      </c>
      <c r="B4714" s="2" t="s">
        <v>11017</v>
      </c>
      <c r="C4714" s="2" t="s">
        <v>45</v>
      </c>
      <c r="D4714" s="2" t="s">
        <v>18</v>
      </c>
      <c r="E4714" s="5">
        <v>-31182</v>
      </c>
      <c r="F4714" s="3" t="s">
        <v>19</v>
      </c>
      <c r="G4714" s="3" t="s">
        <v>3827</v>
      </c>
      <c r="H4714" s="2" t="s">
        <v>62</v>
      </c>
      <c r="I4714" s="2" t="s">
        <v>11018</v>
      </c>
      <c r="J4714" s="3" t="str">
        <f>HYPERLINK("https://www.boe.es/gazeta/dias/1814/08/16/pdfs/GMD-1814-112.pdf#page=8","Abrir facsímil")</f>
        <v>Abrir facsímil</v>
      </c>
      <c r="K4714" s="3" t="s">
        <v>64</v>
      </c>
    </row>
    <row r="4715" spans="1:11" ht="42" customHeight="1">
      <c r="A4715" s="2" t="s">
        <v>11019</v>
      </c>
      <c r="B4715" s="2" t="s">
        <v>11020</v>
      </c>
      <c r="C4715" s="2" t="s">
        <v>45</v>
      </c>
      <c r="D4715" s="2" t="s">
        <v>18</v>
      </c>
      <c r="E4715" s="5">
        <v>-31182</v>
      </c>
      <c r="F4715" s="3" t="s">
        <v>19</v>
      </c>
      <c r="G4715" s="3" t="s">
        <v>3827</v>
      </c>
      <c r="H4715" s="2" t="s">
        <v>62</v>
      </c>
      <c r="I4715" s="2" t="s">
        <v>11021</v>
      </c>
      <c r="J4715" s="3" t="str">
        <f>HYPERLINK("https://www.boe.es/gazeta/dias/1814/08/16/pdfs/GMD-1814-112.pdf#page=8","Abrir facsímil")</f>
        <v>Abrir facsímil</v>
      </c>
      <c r="K4715" s="3" t="s">
        <v>64</v>
      </c>
    </row>
    <row r="4716" spans="1:11" ht="42" customHeight="1">
      <c r="A4716" s="2" t="s">
        <v>11022</v>
      </c>
      <c r="B4716" s="2" t="s">
        <v>11023</v>
      </c>
      <c r="C4716" s="2" t="s">
        <v>309</v>
      </c>
      <c r="D4716" s="2" t="s">
        <v>18</v>
      </c>
      <c r="E4716" s="5">
        <v>-31371</v>
      </c>
      <c r="F4716" s="3" t="s">
        <v>1017</v>
      </c>
      <c r="G4716" s="3" t="s">
        <v>8664</v>
      </c>
      <c r="H4716" s="2" t="s">
        <v>62</v>
      </c>
      <c r="I4716" s="2" t="s">
        <v>11024</v>
      </c>
      <c r="J4716" s="3" t="str">
        <f>HYPERLINK("https://www.boe.es/gazeta/dias/1814/02/08/pdfs/GRE-1814-18.pdf#page=6","Abrir facsímil")</f>
        <v>Abrir facsímil</v>
      </c>
      <c r="K4716" s="3" t="s">
        <v>64</v>
      </c>
    </row>
    <row r="4717" spans="1:11" ht="42" customHeight="1">
      <c r="A4717" s="2" t="s">
        <v>11025</v>
      </c>
      <c r="B4717" s="2" t="s">
        <v>11026</v>
      </c>
      <c r="C4717" s="2" t="s">
        <v>26</v>
      </c>
      <c r="D4717" s="2" t="s">
        <v>27</v>
      </c>
      <c r="E4717" s="5">
        <v>-31087</v>
      </c>
      <c r="F4717" s="3" t="s">
        <v>118</v>
      </c>
      <c r="G4717" s="3" t="s">
        <v>3730</v>
      </c>
      <c r="H4717" s="2" t="s">
        <v>21</v>
      </c>
      <c r="I4717" s="2" t="s">
        <v>11027</v>
      </c>
      <c r="J4717" s="3" t="str">
        <f>HYPERLINK("https://www.boe.es/gazeta/dias/1814/11/19/pdfs/GMD-1814-154.pdf#page=7","Abrir facsímil")</f>
        <v>Abrir facsímil</v>
      </c>
      <c r="K4717" s="3" t="s">
        <v>23</v>
      </c>
    </row>
    <row r="4718" spans="1:11" ht="42" customHeight="1">
      <c r="A4718" s="2" t="s">
        <v>11028</v>
      </c>
      <c r="B4718" s="2" t="s">
        <v>11029</v>
      </c>
      <c r="C4718" s="2" t="s">
        <v>26</v>
      </c>
      <c r="D4718" s="2" t="s">
        <v>27</v>
      </c>
      <c r="E4718" s="5">
        <v>-31094</v>
      </c>
      <c r="F4718" s="3" t="s">
        <v>761</v>
      </c>
      <c r="G4718" s="3" t="s">
        <v>20</v>
      </c>
      <c r="H4718" s="2" t="s">
        <v>62</v>
      </c>
      <c r="I4718" s="2" t="s">
        <v>11030</v>
      </c>
      <c r="J4718" s="3" t="str">
        <f>HYPERLINK("https://www.boe.es/gazeta/dias/1814/11/12/pdfs/GMD-1814-151.pdf#page=7","Abrir facsímil")</f>
        <v>Abrir facsímil</v>
      </c>
      <c r="K4718" s="3" t="s">
        <v>64</v>
      </c>
    </row>
    <row r="4719" spans="1:11" ht="42" customHeight="1">
      <c r="A4719" s="2" t="s">
        <v>11031</v>
      </c>
      <c r="B4719" s="2" t="s">
        <v>11032</v>
      </c>
      <c r="C4719" s="2" t="s">
        <v>38</v>
      </c>
      <c r="D4719" s="2" t="s">
        <v>39</v>
      </c>
      <c r="E4719" s="5">
        <v>-31290</v>
      </c>
      <c r="F4719" s="3" t="s">
        <v>488</v>
      </c>
      <c r="G4719" s="3" t="s">
        <v>57</v>
      </c>
      <c r="H4719" s="2" t="s">
        <v>62</v>
      </c>
      <c r="I4719" s="2" t="s">
        <v>11033</v>
      </c>
      <c r="J4719" s="3" t="str">
        <f>HYPERLINK("https://www.boe.es/gazeta/dias/1814/04/30/pdfs/GRE-1814-64.pdf#page=6","Abrir facsímil")</f>
        <v>Abrir facsímil</v>
      </c>
      <c r="K4719" s="3" t="s">
        <v>64</v>
      </c>
    </row>
    <row r="4720" spans="1:11" ht="42" customHeight="1">
      <c r="A4720" s="2" t="s">
        <v>11034</v>
      </c>
      <c r="B4720" s="2" t="s">
        <v>11035</v>
      </c>
      <c r="C4720" s="2" t="s">
        <v>38</v>
      </c>
      <c r="D4720" s="2" t="s">
        <v>39</v>
      </c>
      <c r="E4720" s="5">
        <v>-31381</v>
      </c>
      <c r="F4720" s="3" t="s">
        <v>989</v>
      </c>
      <c r="G4720" s="3" t="s">
        <v>57</v>
      </c>
      <c r="H4720" s="2" t="s">
        <v>62</v>
      </c>
      <c r="I4720" s="2" t="s">
        <v>11036</v>
      </c>
      <c r="J4720" s="3" t="str">
        <f>HYPERLINK("https://www.boe.es/gazeta/dias/1814/01/29/pdfs/GRE-1814-14.pdf#page=6","Abrir facsímil")</f>
        <v>Abrir facsímil</v>
      </c>
      <c r="K4720" s="3" t="s">
        <v>64</v>
      </c>
    </row>
    <row r="4721" spans="1:11" ht="42" customHeight="1">
      <c r="A4721" s="2" t="s">
        <v>11037</v>
      </c>
      <c r="B4721" s="2" t="s">
        <v>11037</v>
      </c>
      <c r="C4721" s="2" t="s">
        <v>38</v>
      </c>
      <c r="D4721" s="2" t="s">
        <v>39</v>
      </c>
      <c r="E4721" s="5">
        <v>-31381</v>
      </c>
      <c r="F4721" s="3" t="s">
        <v>989</v>
      </c>
      <c r="G4721" s="3" t="s">
        <v>57</v>
      </c>
      <c r="H4721" s="2" t="s">
        <v>62</v>
      </c>
      <c r="I4721" s="2" t="s">
        <v>11038</v>
      </c>
      <c r="J4721" s="3" t="str">
        <f>HYPERLINK("https://www.boe.es/gazeta/dias/1814/01/29/pdfs/GRE-1814-14.pdf#page=6","Abrir facsímil")</f>
        <v>Abrir facsímil</v>
      </c>
      <c r="K4721" s="3" t="s">
        <v>64</v>
      </c>
    </row>
    <row r="4722" spans="1:11" ht="42" customHeight="1">
      <c r="A4722" s="2" t="s">
        <v>11037</v>
      </c>
      <c r="B4722" s="2" t="s">
        <v>11037</v>
      </c>
      <c r="C4722" s="2" t="s">
        <v>38</v>
      </c>
      <c r="D4722" s="2" t="s">
        <v>39</v>
      </c>
      <c r="E4722" s="5">
        <v>-31376</v>
      </c>
      <c r="F4722" s="3" t="s">
        <v>1954</v>
      </c>
      <c r="G4722" s="3" t="s">
        <v>2778</v>
      </c>
      <c r="H4722" s="2" t="s">
        <v>62</v>
      </c>
      <c r="I4722" s="2" t="s">
        <v>11039</v>
      </c>
      <c r="J4722" s="3" t="str">
        <f>HYPERLINK("https://www.boe.es/gazeta/dias/1814/02/03/pdfs/GRE-1814-16.pdf#page=7","Abrir facsímil")</f>
        <v>Abrir facsímil</v>
      </c>
      <c r="K4722" s="3" t="s">
        <v>64</v>
      </c>
    </row>
    <row r="4723" spans="1:11" ht="42" customHeight="1">
      <c r="A4723" s="2" t="s">
        <v>11037</v>
      </c>
      <c r="B4723" s="2" t="s">
        <v>11037</v>
      </c>
      <c r="C4723" s="2" t="s">
        <v>38</v>
      </c>
      <c r="D4723" s="2" t="s">
        <v>39</v>
      </c>
      <c r="E4723" s="5">
        <v>-31357</v>
      </c>
      <c r="F4723" s="3" t="s">
        <v>1460</v>
      </c>
      <c r="G4723" s="3" t="s">
        <v>99</v>
      </c>
      <c r="H4723" s="2" t="s">
        <v>62</v>
      </c>
      <c r="I4723" s="2" t="s">
        <v>11040</v>
      </c>
      <c r="J4723" s="3" t="str">
        <f>HYPERLINK("https://www.boe.es/gazeta/dias/1814/02/22/pdfs/GRE-1814-25.pdf#page=5","Abrir facsímil")</f>
        <v>Abrir facsímil</v>
      </c>
      <c r="K4723" s="3" t="s">
        <v>64</v>
      </c>
    </row>
    <row r="4724" spans="1:11" ht="42" customHeight="1">
      <c r="A4724" s="2" t="s">
        <v>11037</v>
      </c>
      <c r="B4724" s="2" t="s">
        <v>11037</v>
      </c>
      <c r="C4724" s="2" t="s">
        <v>38</v>
      </c>
      <c r="D4724" s="2" t="s">
        <v>39</v>
      </c>
      <c r="E4724" s="5">
        <v>-31243</v>
      </c>
      <c r="F4724" s="3" t="s">
        <v>500</v>
      </c>
      <c r="G4724" s="3" t="s">
        <v>20</v>
      </c>
      <c r="H4724" s="2" t="s">
        <v>62</v>
      </c>
      <c r="I4724" s="2" t="s">
        <v>11041</v>
      </c>
      <c r="J4724" s="3" t="str">
        <f>HYPERLINK("https://www.boe.es/gazeta/dias/1814/06/16/pdfs/GMD-1814-86.pdf#page=7","Abrir facsímil")</f>
        <v>Abrir facsímil</v>
      </c>
      <c r="K4724" s="3" t="s">
        <v>64</v>
      </c>
    </row>
    <row r="4725" spans="1:11" ht="42" customHeight="1">
      <c r="A4725" s="2" t="s">
        <v>11042</v>
      </c>
      <c r="B4725" s="2" t="s">
        <v>11042</v>
      </c>
      <c r="C4725" s="2" t="s">
        <v>38</v>
      </c>
      <c r="D4725" s="2" t="s">
        <v>39</v>
      </c>
      <c r="E4725" s="5">
        <v>-31348</v>
      </c>
      <c r="F4725" s="3" t="s">
        <v>898</v>
      </c>
      <c r="G4725" s="3" t="s">
        <v>82</v>
      </c>
      <c r="H4725" s="2" t="s">
        <v>62</v>
      </c>
      <c r="I4725" s="2" t="s">
        <v>11043</v>
      </c>
      <c r="J4725" s="3" t="str">
        <f>HYPERLINK("https://www.boe.es/gazeta/dias/1814/03/03/pdfs/GRE-1814-29.pdf#page=3","Abrir facsímil")</f>
        <v>Abrir facsímil</v>
      </c>
      <c r="K4725" s="3" t="s">
        <v>64</v>
      </c>
    </row>
    <row r="4726" spans="1:11" ht="42" customHeight="1">
      <c r="A4726" s="2" t="s">
        <v>11044</v>
      </c>
      <c r="B4726" s="2" t="s">
        <v>11045</v>
      </c>
      <c r="C4726" s="2" t="s">
        <v>17</v>
      </c>
      <c r="D4726" s="2" t="s">
        <v>18</v>
      </c>
      <c r="E4726" s="5">
        <v>-31119</v>
      </c>
      <c r="F4726" s="3" t="s">
        <v>136</v>
      </c>
      <c r="G4726" s="3" t="s">
        <v>137</v>
      </c>
      <c r="H4726" s="2" t="s">
        <v>62</v>
      </c>
      <c r="I4726" s="2" t="s">
        <v>11046</v>
      </c>
      <c r="J4726" s="3" t="str">
        <f>HYPERLINK("https://www.boe.es/gazeta/dias/1814/10/18/pdfs/GMD-1814-140.pdf#page=9","Abrir facsímil")</f>
        <v>Abrir facsímil</v>
      </c>
      <c r="K4726" s="3" t="s">
        <v>64</v>
      </c>
    </row>
    <row r="4727" spans="1:11" ht="42" customHeight="1">
      <c r="A4727" s="2" t="s">
        <v>11047</v>
      </c>
      <c r="B4727" s="2" t="s">
        <v>11048</v>
      </c>
      <c r="C4727" s="2" t="s">
        <v>38</v>
      </c>
      <c r="D4727" s="2" t="s">
        <v>39</v>
      </c>
      <c r="E4727" s="5">
        <v>-31129</v>
      </c>
      <c r="F4727" s="3" t="s">
        <v>418</v>
      </c>
      <c r="G4727" s="3" t="s">
        <v>20</v>
      </c>
      <c r="H4727" s="2" t="s">
        <v>62</v>
      </c>
      <c r="I4727" s="2" t="s">
        <v>11049</v>
      </c>
      <c r="J4727" s="3" t="str">
        <f>HYPERLINK("https://www.boe.es/gazeta/dias/1814/10/08/pdfs/GMD-1814-136.pdf#page=7","Abrir facsímil")</f>
        <v>Abrir facsímil</v>
      </c>
      <c r="K4727" s="3" t="s">
        <v>64</v>
      </c>
    </row>
    <row r="4728" spans="1:11" ht="42" customHeight="1">
      <c r="A4728" s="2" t="s">
        <v>11050</v>
      </c>
      <c r="B4728" s="2" t="s">
        <v>11050</v>
      </c>
      <c r="C4728" s="2" t="s">
        <v>38</v>
      </c>
      <c r="D4728" s="2" t="s">
        <v>39</v>
      </c>
      <c r="E4728" s="5">
        <v>-31381</v>
      </c>
      <c r="F4728" s="3" t="s">
        <v>989</v>
      </c>
      <c r="G4728" s="3" t="s">
        <v>20</v>
      </c>
      <c r="H4728" s="2" t="s">
        <v>62</v>
      </c>
      <c r="I4728" s="2" t="s">
        <v>11051</v>
      </c>
      <c r="J4728" s="3" t="str">
        <f>HYPERLINK("https://www.boe.es/gazeta/dias/1814/01/29/pdfs/GRE-1814-14.pdf#page=7","Abrir facsímil")</f>
        <v>Abrir facsímil</v>
      </c>
      <c r="K4728" s="3" t="s">
        <v>64</v>
      </c>
    </row>
    <row r="4729" spans="1:11" ht="42" customHeight="1">
      <c r="A4729" s="2" t="s">
        <v>11052</v>
      </c>
      <c r="B4729" s="2" t="s">
        <v>11053</v>
      </c>
      <c r="C4729" s="2" t="s">
        <v>26</v>
      </c>
      <c r="D4729" s="2" t="s">
        <v>27</v>
      </c>
      <c r="E4729" s="5">
        <v>-31273</v>
      </c>
      <c r="F4729" s="3" t="s">
        <v>2108</v>
      </c>
      <c r="G4729" s="3" t="s">
        <v>57</v>
      </c>
      <c r="H4729" s="2" t="s">
        <v>62</v>
      </c>
      <c r="I4729" s="2" t="s">
        <v>11054</v>
      </c>
      <c r="J4729" s="3" t="str">
        <f>HYPERLINK("https://www.boe.es/gazeta/dias/1814/05/17/pdfs/GMD-1814-72.pdf#page=6","Abrir facsímil")</f>
        <v>Abrir facsímil</v>
      </c>
      <c r="K4729" s="3" t="s">
        <v>64</v>
      </c>
    </row>
    <row r="4730" spans="1:11" ht="42" customHeight="1">
      <c r="A4730" s="2" t="s">
        <v>11055</v>
      </c>
      <c r="B4730" s="2" t="s">
        <v>11056</v>
      </c>
      <c r="C4730" s="2" t="s">
        <v>26</v>
      </c>
      <c r="D4730" s="2" t="s">
        <v>27</v>
      </c>
      <c r="E4730" s="5">
        <v>-31140</v>
      </c>
      <c r="F4730" s="3" t="s">
        <v>525</v>
      </c>
      <c r="G4730" s="3" t="s">
        <v>99</v>
      </c>
      <c r="H4730" s="2" t="s">
        <v>62</v>
      </c>
      <c r="I4730" s="2" t="s">
        <v>11057</v>
      </c>
      <c r="J4730" s="3" t="str">
        <f>HYPERLINK("https://www.boe.es/gazeta/dias/1814/09/27/pdfs/GMD-1814-131.pdf#page=5","Abrir facsímil")</f>
        <v>Abrir facsímil</v>
      </c>
      <c r="K4730" s="3" t="s">
        <v>64</v>
      </c>
    </row>
    <row r="4731" spans="1:11" ht="42" customHeight="1">
      <c r="A4731" s="2" t="s">
        <v>11052</v>
      </c>
      <c r="B4731" s="2" t="s">
        <v>11053</v>
      </c>
      <c r="C4731" s="2" t="s">
        <v>26</v>
      </c>
      <c r="D4731" s="2" t="s">
        <v>27</v>
      </c>
      <c r="E4731" s="5">
        <v>-31124</v>
      </c>
      <c r="F4731" s="3" t="s">
        <v>383</v>
      </c>
      <c r="G4731" s="3" t="s">
        <v>384</v>
      </c>
      <c r="H4731" s="2" t="s">
        <v>62</v>
      </c>
      <c r="I4731" s="2" t="s">
        <v>11058</v>
      </c>
      <c r="J4731" s="3" t="str">
        <f>HYPERLINK("https://www.boe.es/gazeta/dias/1814/10/13/pdfs/GMD-1814-138.pdf#page=11","Abrir facsímil")</f>
        <v>Abrir facsímil</v>
      </c>
      <c r="K4731" s="3" t="s">
        <v>64</v>
      </c>
    </row>
    <row r="4732" spans="1:11" ht="42" customHeight="1">
      <c r="A4732" s="2" t="s">
        <v>11059</v>
      </c>
      <c r="B4732" s="2" t="s">
        <v>11060</v>
      </c>
      <c r="C4732" s="2" t="s">
        <v>38</v>
      </c>
      <c r="D4732" s="2" t="s">
        <v>39</v>
      </c>
      <c r="E4732" s="5">
        <v>-31112</v>
      </c>
      <c r="F4732" s="3" t="s">
        <v>707</v>
      </c>
      <c r="G4732" s="3" t="s">
        <v>20</v>
      </c>
      <c r="H4732" s="2" t="s">
        <v>62</v>
      </c>
      <c r="I4732" s="2" t="s">
        <v>11061</v>
      </c>
      <c r="J4732" s="3" t="str">
        <f>HYPERLINK("https://www.boe.es/gazeta/dias/1814/10/25/pdfs/GMD-1814-143.pdf#page=7","Abrir facsímil")</f>
        <v>Abrir facsímil</v>
      </c>
      <c r="K4732" s="3" t="s">
        <v>64</v>
      </c>
    </row>
    <row r="4733" spans="1:11" ht="42" customHeight="1">
      <c r="A4733" s="2" t="s">
        <v>11059</v>
      </c>
      <c r="B4733" s="2" t="s">
        <v>11060</v>
      </c>
      <c r="C4733" s="2" t="s">
        <v>38</v>
      </c>
      <c r="D4733" s="2" t="s">
        <v>39</v>
      </c>
      <c r="E4733" s="5">
        <v>-31080</v>
      </c>
      <c r="F4733" s="3" t="s">
        <v>286</v>
      </c>
      <c r="G4733" s="3" t="s">
        <v>677</v>
      </c>
      <c r="H4733" s="2" t="s">
        <v>62</v>
      </c>
      <c r="I4733" s="2" t="s">
        <v>11062</v>
      </c>
      <c r="J4733" s="3" t="str">
        <f>HYPERLINK("https://www.boe.es/gazeta/dias/1814/11/26/pdfs/GMD-1814-157.pdf#page=7","Abrir facsímil")</f>
        <v>Abrir facsímil</v>
      </c>
      <c r="K4733" s="3" t="s">
        <v>64</v>
      </c>
    </row>
    <row r="4734" spans="1:11" ht="42" customHeight="1">
      <c r="A4734" s="2" t="s">
        <v>11063</v>
      </c>
      <c r="B4734" s="2" t="s">
        <v>11064</v>
      </c>
      <c r="C4734" s="2" t="s">
        <v>38</v>
      </c>
      <c r="D4734" s="2" t="s">
        <v>39</v>
      </c>
      <c r="E4734" s="5">
        <v>-31383</v>
      </c>
      <c r="F4734" s="3" t="s">
        <v>715</v>
      </c>
      <c r="G4734" s="3" t="s">
        <v>52</v>
      </c>
      <c r="H4734" s="2" t="s">
        <v>62</v>
      </c>
      <c r="I4734" s="2" t="s">
        <v>11065</v>
      </c>
      <c r="J4734" s="3" t="str">
        <f>HYPERLINK("https://www.boe.es/gazeta/dias/1814/01/27/pdfs/GRE-1814-13.pdf#page=8","Abrir facsímil")</f>
        <v>Abrir facsímil</v>
      </c>
      <c r="K4734" s="3" t="s">
        <v>64</v>
      </c>
    </row>
    <row r="4735" spans="1:11" ht="42" customHeight="1">
      <c r="A4735" s="2" t="s">
        <v>11066</v>
      </c>
      <c r="B4735" s="2" t="s">
        <v>11067</v>
      </c>
      <c r="C4735" s="2" t="s">
        <v>38</v>
      </c>
      <c r="D4735" s="2" t="s">
        <v>39</v>
      </c>
      <c r="E4735" s="5">
        <v>-31381</v>
      </c>
      <c r="F4735" s="3" t="s">
        <v>989</v>
      </c>
      <c r="G4735" s="3" t="s">
        <v>20</v>
      </c>
      <c r="H4735" s="2" t="s">
        <v>62</v>
      </c>
      <c r="I4735" s="2" t="s">
        <v>11068</v>
      </c>
      <c r="J4735" s="3" t="str">
        <f>HYPERLINK("https://www.boe.es/gazeta/dias/1814/01/29/pdfs/GRE-1814-14.pdf#page=7","Abrir facsímil")</f>
        <v>Abrir facsímil</v>
      </c>
      <c r="K4735" s="3" t="s">
        <v>64</v>
      </c>
    </row>
    <row r="4736" spans="1:11" ht="42" customHeight="1">
      <c r="A4736" s="2" t="s">
        <v>11069</v>
      </c>
      <c r="B4736" s="2" t="s">
        <v>11069</v>
      </c>
      <c r="C4736" s="2" t="s">
        <v>38</v>
      </c>
      <c r="D4736" s="2" t="s">
        <v>39</v>
      </c>
      <c r="E4736" s="5">
        <v>-31290</v>
      </c>
      <c r="F4736" s="3" t="s">
        <v>488</v>
      </c>
      <c r="G4736" s="3" t="s">
        <v>107</v>
      </c>
      <c r="H4736" s="2" t="s">
        <v>62</v>
      </c>
      <c r="I4736" s="2" t="s">
        <v>11070</v>
      </c>
      <c r="J4736" s="3" t="str">
        <f>HYPERLINK("https://www.boe.es/gazeta/dias/1814/04/30/pdfs/GRE-1814-64.pdf#page=1","Abrir facsímil")</f>
        <v>Abrir facsímil</v>
      </c>
      <c r="K4736" s="3" t="s">
        <v>64</v>
      </c>
    </row>
    <row r="4737" spans="1:11" ht="42" customHeight="1">
      <c r="A4737" s="2" t="s">
        <v>11071</v>
      </c>
      <c r="B4737" s="2" t="s">
        <v>11072</v>
      </c>
      <c r="C4737" s="2" t="s">
        <v>144</v>
      </c>
      <c r="D4737" s="2" t="s">
        <v>18</v>
      </c>
      <c r="E4737" s="5">
        <v>-31138</v>
      </c>
      <c r="F4737" s="3" t="s">
        <v>1363</v>
      </c>
      <c r="G4737" s="3" t="s">
        <v>107</v>
      </c>
      <c r="H4737" s="2" t="s">
        <v>62</v>
      </c>
      <c r="I4737" s="2" t="s">
        <v>11073</v>
      </c>
      <c r="J4737" s="3" t="str">
        <f>HYPERLINK("https://www.boe.es/gazeta/dias/1814/09/29/pdfs/GMD-1814-132.pdf#page=1","Abrir facsímil")</f>
        <v>Abrir facsímil</v>
      </c>
      <c r="K4737" s="3" t="s">
        <v>64</v>
      </c>
    </row>
    <row r="4738" spans="1:11" ht="42" customHeight="1">
      <c r="A4738" s="2" t="s">
        <v>11074</v>
      </c>
      <c r="B4738" s="2" t="s">
        <v>11074</v>
      </c>
      <c r="C4738" s="2" t="s">
        <v>32</v>
      </c>
      <c r="D4738" s="2" t="s">
        <v>18</v>
      </c>
      <c r="E4738" s="5">
        <v>-31336</v>
      </c>
      <c r="F4738" s="3" t="s">
        <v>1789</v>
      </c>
      <c r="G4738" s="3" t="s">
        <v>52</v>
      </c>
      <c r="H4738" s="2" t="s">
        <v>62</v>
      </c>
      <c r="I4738" s="2" t="s">
        <v>11075</v>
      </c>
      <c r="J4738" s="3" t="str">
        <f>HYPERLINK("https://www.boe.es/gazeta/dias/1814/03/15/pdfs/GRE-1814-36.pdf#page=8","Abrir facsímil")</f>
        <v>Abrir facsímil</v>
      </c>
      <c r="K4738" s="3" t="s">
        <v>64</v>
      </c>
    </row>
    <row r="4739" spans="1:11" ht="42" customHeight="1">
      <c r="A4739" s="2" t="s">
        <v>11076</v>
      </c>
      <c r="B4739" s="2" t="s">
        <v>11076</v>
      </c>
      <c r="C4739" s="2" t="s">
        <v>38</v>
      </c>
      <c r="D4739" s="2" t="s">
        <v>39</v>
      </c>
      <c r="E4739" s="5">
        <v>-31063</v>
      </c>
      <c r="F4739" s="3" t="s">
        <v>649</v>
      </c>
      <c r="G4739" s="3" t="s">
        <v>87</v>
      </c>
      <c r="H4739" s="2" t="s">
        <v>62</v>
      </c>
      <c r="I4739" s="2" t="s">
        <v>11077</v>
      </c>
      <c r="J4739" s="3" t="str">
        <f>HYPERLINK("https://www.boe.es/gazeta/dias/1814/12/13/pdfs/GMD-1814-164.pdf#page=2","Abrir facsímil")</f>
        <v>Abrir facsímil</v>
      </c>
      <c r="K4739" s="3" t="s">
        <v>64</v>
      </c>
    </row>
    <row r="4740" spans="1:11" ht="42" customHeight="1">
      <c r="A4740" s="2" t="s">
        <v>11078</v>
      </c>
      <c r="B4740" s="2" t="s">
        <v>11078</v>
      </c>
      <c r="C4740" s="2" t="s">
        <v>38</v>
      </c>
      <c r="D4740" s="2" t="s">
        <v>39</v>
      </c>
      <c r="E4740" s="5">
        <v>-31329</v>
      </c>
      <c r="F4740" s="3" t="s">
        <v>621</v>
      </c>
      <c r="G4740" s="3" t="s">
        <v>99</v>
      </c>
      <c r="H4740" s="2" t="s">
        <v>62</v>
      </c>
      <c r="I4740" s="2" t="s">
        <v>11079</v>
      </c>
      <c r="J4740" s="3" t="str">
        <f>HYPERLINK("https://www.boe.es/gazeta/dias/1814/03/22/pdfs/GRE-1814-39.pdf#page=5","Abrir facsímil")</f>
        <v>Abrir facsímil</v>
      </c>
      <c r="K4740" s="3" t="s">
        <v>64</v>
      </c>
    </row>
    <row r="4741" spans="1:11" ht="42" customHeight="1">
      <c r="A4741" s="2" t="s">
        <v>11080</v>
      </c>
      <c r="B4741" s="2" t="s">
        <v>11080</v>
      </c>
      <c r="C4741" s="2" t="s">
        <v>38</v>
      </c>
      <c r="D4741" s="2" t="s">
        <v>39</v>
      </c>
      <c r="E4741" s="5">
        <v>-31115</v>
      </c>
      <c r="F4741" s="3" t="s">
        <v>805</v>
      </c>
      <c r="G4741" s="3" t="s">
        <v>107</v>
      </c>
      <c r="H4741" s="2" t="s">
        <v>62</v>
      </c>
      <c r="I4741" s="2" t="s">
        <v>11081</v>
      </c>
      <c r="J4741" s="3" t="str">
        <f>HYPERLINK("https://www.boe.es/gazeta/dias/1814/10/22/pdfs/GMD-1814-142.pdf#page=1","Abrir facsímil")</f>
        <v>Abrir facsímil</v>
      </c>
      <c r="K4741" s="3" t="s">
        <v>64</v>
      </c>
    </row>
    <row r="4742" spans="1:11" ht="42" customHeight="1">
      <c r="A4742" s="2" t="s">
        <v>11082</v>
      </c>
      <c r="B4742" s="2" t="s">
        <v>11082</v>
      </c>
      <c r="C4742" s="2" t="s">
        <v>38</v>
      </c>
      <c r="D4742" s="2" t="s">
        <v>39</v>
      </c>
      <c r="E4742" s="5">
        <v>-31376</v>
      </c>
      <c r="F4742" s="3" t="s">
        <v>1954</v>
      </c>
      <c r="G4742" s="3" t="s">
        <v>1955</v>
      </c>
      <c r="H4742" s="2" t="s">
        <v>62</v>
      </c>
      <c r="I4742" s="2" t="s">
        <v>11083</v>
      </c>
      <c r="J4742" s="3" t="str">
        <f>HYPERLINK("https://www.boe.es/gazeta/dias/1814/02/03/pdfs/GRE-1814-16.pdf#page=8","Abrir facsímil")</f>
        <v>Abrir facsímil</v>
      </c>
      <c r="K4742" s="3" t="s">
        <v>64</v>
      </c>
    </row>
    <row r="4743" spans="1:11" ht="42" customHeight="1">
      <c r="A4743" s="2" t="s">
        <v>11082</v>
      </c>
      <c r="B4743" s="2" t="s">
        <v>11082</v>
      </c>
      <c r="C4743" s="2" t="s">
        <v>38</v>
      </c>
      <c r="D4743" s="2" t="s">
        <v>39</v>
      </c>
      <c r="E4743" s="5">
        <v>-31362</v>
      </c>
      <c r="F4743" s="3" t="s">
        <v>302</v>
      </c>
      <c r="G4743" s="3" t="s">
        <v>41</v>
      </c>
      <c r="H4743" s="2" t="s">
        <v>62</v>
      </c>
      <c r="I4743" s="2" t="s">
        <v>11084</v>
      </c>
      <c r="J4743" s="3" t="str">
        <f>HYPERLINK("https://www.boe.es/gazeta/dias/1814/02/17/pdfs/GRE-1814-22.pdf#page=4","Abrir facsímil")</f>
        <v>Abrir facsímil</v>
      </c>
      <c r="K4743" s="3" t="s">
        <v>64</v>
      </c>
    </row>
    <row r="4744" spans="1:11" ht="42" customHeight="1">
      <c r="A4744" s="2" t="s">
        <v>11082</v>
      </c>
      <c r="B4744" s="2" t="s">
        <v>11082</v>
      </c>
      <c r="C4744" s="2" t="s">
        <v>38</v>
      </c>
      <c r="D4744" s="2" t="s">
        <v>39</v>
      </c>
      <c r="E4744" s="5">
        <v>-31318</v>
      </c>
      <c r="F4744" s="3" t="s">
        <v>400</v>
      </c>
      <c r="G4744" s="3" t="s">
        <v>107</v>
      </c>
      <c r="H4744" s="2" t="s">
        <v>62</v>
      </c>
      <c r="I4744" s="2" t="s">
        <v>11085</v>
      </c>
      <c r="J4744" s="3" t="str">
        <f>HYPERLINK("https://www.boe.es/gazeta/dias/1814/04/02/pdfs/GRE-1814-47.pdf#page=1","Abrir facsímil")</f>
        <v>Abrir facsímil</v>
      </c>
      <c r="K4744" s="3" t="s">
        <v>64</v>
      </c>
    </row>
    <row r="4745" spans="1:11" ht="42" customHeight="1">
      <c r="A4745" s="2" t="s">
        <v>11082</v>
      </c>
      <c r="B4745" s="2" t="s">
        <v>11082</v>
      </c>
      <c r="C4745" s="2" t="s">
        <v>38</v>
      </c>
      <c r="D4745" s="2" t="s">
        <v>39</v>
      </c>
      <c r="E4745" s="5">
        <v>-31318</v>
      </c>
      <c r="F4745" s="3" t="s">
        <v>400</v>
      </c>
      <c r="G4745" s="3" t="s">
        <v>82</v>
      </c>
      <c r="H4745" s="2" t="s">
        <v>62</v>
      </c>
      <c r="I4745" s="2" t="s">
        <v>11086</v>
      </c>
      <c r="J4745" s="3" t="str">
        <f>HYPERLINK("https://www.boe.es/gazeta/dias/1814/04/02/pdfs/GRE-1814-47.pdf#page=3","Abrir facsímil")</f>
        <v>Abrir facsímil</v>
      </c>
      <c r="K4745" s="3" t="s">
        <v>64</v>
      </c>
    </row>
    <row r="4746" spans="1:11" ht="42" customHeight="1">
      <c r="A4746" s="2" t="s">
        <v>11082</v>
      </c>
      <c r="B4746" s="2" t="s">
        <v>11082</v>
      </c>
      <c r="C4746" s="2" t="s">
        <v>38</v>
      </c>
      <c r="D4746" s="2" t="s">
        <v>39</v>
      </c>
      <c r="E4746" s="5">
        <v>-31315</v>
      </c>
      <c r="F4746" s="3" t="s">
        <v>645</v>
      </c>
      <c r="G4746" s="3" t="s">
        <v>107</v>
      </c>
      <c r="H4746" s="2" t="s">
        <v>62</v>
      </c>
      <c r="I4746" s="2" t="s">
        <v>11087</v>
      </c>
      <c r="J4746" s="3" t="str">
        <f>HYPERLINK("https://www.boe.es/gazeta/dias/1814/04/05/pdfs/GRE-1814-49.pdf#page=1","Abrir facsímil")</f>
        <v>Abrir facsímil</v>
      </c>
      <c r="K4746" s="3" t="s">
        <v>64</v>
      </c>
    </row>
    <row r="4747" spans="1:11" ht="42" customHeight="1">
      <c r="A4747" s="2" t="s">
        <v>11082</v>
      </c>
      <c r="B4747" s="2" t="s">
        <v>11082</v>
      </c>
      <c r="C4747" s="2" t="s">
        <v>38</v>
      </c>
      <c r="D4747" s="2" t="s">
        <v>39</v>
      </c>
      <c r="E4747" s="5">
        <v>-31315</v>
      </c>
      <c r="F4747" s="3" t="s">
        <v>645</v>
      </c>
      <c r="G4747" s="3" t="s">
        <v>87</v>
      </c>
      <c r="H4747" s="2" t="s">
        <v>62</v>
      </c>
      <c r="I4747" s="2" t="s">
        <v>11088</v>
      </c>
      <c r="J4747" s="3" t="str">
        <f>HYPERLINK("https://www.boe.es/gazeta/dias/1814/04/05/pdfs/GRE-1814-49.pdf#page=2","Abrir facsímil")</f>
        <v>Abrir facsímil</v>
      </c>
      <c r="K4747" s="3" t="s">
        <v>64</v>
      </c>
    </row>
    <row r="4748" spans="1:11" ht="42" customHeight="1">
      <c r="A4748" s="2" t="s">
        <v>11082</v>
      </c>
      <c r="B4748" s="2" t="s">
        <v>11082</v>
      </c>
      <c r="C4748" s="2" t="s">
        <v>32</v>
      </c>
      <c r="D4748" s="2" t="s">
        <v>18</v>
      </c>
      <c r="E4748" s="5">
        <v>-31297</v>
      </c>
      <c r="F4748" s="3" t="s">
        <v>737</v>
      </c>
      <c r="G4748" s="3" t="s">
        <v>107</v>
      </c>
      <c r="H4748" s="2" t="s">
        <v>62</v>
      </c>
      <c r="I4748" s="2" t="s">
        <v>11089</v>
      </c>
      <c r="J4748" s="3" t="str">
        <f>HYPERLINK("https://www.boe.es/gazeta/dias/1814/04/23/pdfs/GRE-1814-59.pdf#page=1","Abrir facsímil")</f>
        <v>Abrir facsímil</v>
      </c>
      <c r="K4748" s="3" t="s">
        <v>64</v>
      </c>
    </row>
    <row r="4749" spans="1:11" ht="42" customHeight="1">
      <c r="A4749" s="2" t="s">
        <v>11082</v>
      </c>
      <c r="B4749" s="2" t="s">
        <v>11082</v>
      </c>
      <c r="C4749" s="2" t="s">
        <v>38</v>
      </c>
      <c r="D4749" s="2" t="s">
        <v>39</v>
      </c>
      <c r="E4749" s="5">
        <v>-31287</v>
      </c>
      <c r="F4749" s="3" t="s">
        <v>491</v>
      </c>
      <c r="G4749" s="3" t="s">
        <v>99</v>
      </c>
      <c r="H4749" s="2" t="s">
        <v>62</v>
      </c>
      <c r="I4749" s="2" t="s">
        <v>11090</v>
      </c>
      <c r="J4749" s="3" t="str">
        <f>HYPERLINK("https://www.boe.es/gazeta/dias/1814/05/03/pdfs/GRE-1814-65.pdf#page=5","Abrir facsímil")</f>
        <v>Abrir facsímil</v>
      </c>
      <c r="K4749" s="3" t="s">
        <v>64</v>
      </c>
    </row>
    <row r="4750" spans="1:11" ht="42" customHeight="1">
      <c r="A4750" s="2" t="s">
        <v>11091</v>
      </c>
      <c r="B4750" s="2" t="s">
        <v>11091</v>
      </c>
      <c r="C4750" s="2" t="s">
        <v>38</v>
      </c>
      <c r="D4750" s="2" t="s">
        <v>39</v>
      </c>
      <c r="E4750" s="5">
        <v>-31371</v>
      </c>
      <c r="F4750" s="3" t="s">
        <v>476</v>
      </c>
      <c r="G4750" s="3" t="s">
        <v>477</v>
      </c>
      <c r="H4750" s="2" t="s">
        <v>62</v>
      </c>
      <c r="I4750" s="2" t="s">
        <v>11092</v>
      </c>
      <c r="J4750" s="3" t="str">
        <f>HYPERLINK("https://www.boe.es/gazeta/dias/1814/02/08/pdfs/GRE-1814-31.pdf#page=6","Abrir facsímil")</f>
        <v>Abrir facsímil</v>
      </c>
      <c r="K4750" s="3" t="s">
        <v>64</v>
      </c>
    </row>
    <row r="4751" spans="1:11" ht="42" customHeight="1">
      <c r="A4751" s="2" t="s">
        <v>11091</v>
      </c>
      <c r="B4751" s="2" t="s">
        <v>11091</v>
      </c>
      <c r="C4751" s="2" t="s">
        <v>38</v>
      </c>
      <c r="D4751" s="2" t="s">
        <v>39</v>
      </c>
      <c r="E4751" s="5">
        <v>-31346</v>
      </c>
      <c r="F4751" s="3" t="s">
        <v>78</v>
      </c>
      <c r="G4751" s="3" t="s">
        <v>521</v>
      </c>
      <c r="H4751" s="2" t="s">
        <v>62</v>
      </c>
      <c r="I4751" s="2" t="s">
        <v>11093</v>
      </c>
      <c r="J4751" s="3" t="str">
        <f>HYPERLINK("https://www.boe.es/gazeta/dias/1814/03/05/pdfs/GRE-1814-30.pdf#page=3","Abrir facsímil")</f>
        <v>Abrir facsímil</v>
      </c>
      <c r="K4751" s="3" t="s">
        <v>64</v>
      </c>
    </row>
    <row r="4752" spans="1:11" ht="42" customHeight="1">
      <c r="A4752" s="2" t="s">
        <v>11091</v>
      </c>
      <c r="B4752" s="2" t="s">
        <v>11091</v>
      </c>
      <c r="C4752" s="2" t="s">
        <v>38</v>
      </c>
      <c r="D4752" s="2" t="s">
        <v>39</v>
      </c>
      <c r="E4752" s="5">
        <v>-31343</v>
      </c>
      <c r="F4752" s="3" t="s">
        <v>476</v>
      </c>
      <c r="G4752" s="3" t="s">
        <v>477</v>
      </c>
      <c r="H4752" s="2" t="s">
        <v>62</v>
      </c>
      <c r="I4752" s="2" t="s">
        <v>11092</v>
      </c>
      <c r="J4752" s="3" t="str">
        <f>HYPERLINK("https://www.boe.es/gazeta/dias/1814/03/08/pdfs/GRE-1814-31.pdf#page=6","Abrir facsímil")</f>
        <v>Abrir facsímil</v>
      </c>
      <c r="K4752" s="3" t="s">
        <v>64</v>
      </c>
    </row>
    <row r="4753" spans="1:11" ht="42" customHeight="1">
      <c r="A4753" s="2" t="s">
        <v>11091</v>
      </c>
      <c r="B4753" s="2" t="s">
        <v>11091</v>
      </c>
      <c r="C4753" s="2" t="s">
        <v>38</v>
      </c>
      <c r="D4753" s="2" t="s">
        <v>39</v>
      </c>
      <c r="E4753" s="5">
        <v>-31334</v>
      </c>
      <c r="F4753" s="3" t="s">
        <v>482</v>
      </c>
      <c r="G4753" s="3" t="s">
        <v>99</v>
      </c>
      <c r="H4753" s="2" t="s">
        <v>62</v>
      </c>
      <c r="I4753" s="2" t="s">
        <v>11094</v>
      </c>
      <c r="J4753" s="3" t="str">
        <f>HYPERLINK("https://www.boe.es/gazeta/dias/1814/03/17/pdfs/GRE-1814-37.pdf#page=5","Abrir facsímil")</f>
        <v>Abrir facsímil</v>
      </c>
      <c r="K4753" s="3" t="s">
        <v>64</v>
      </c>
    </row>
    <row r="4754" spans="1:11" ht="42" customHeight="1">
      <c r="A4754" s="2" t="s">
        <v>11091</v>
      </c>
      <c r="B4754" s="2" t="s">
        <v>11091</v>
      </c>
      <c r="C4754" s="2" t="s">
        <v>38</v>
      </c>
      <c r="D4754" s="2" t="s">
        <v>39</v>
      </c>
      <c r="E4754" s="5">
        <v>-31329</v>
      </c>
      <c r="F4754" s="3" t="s">
        <v>621</v>
      </c>
      <c r="G4754" s="3" t="s">
        <v>2115</v>
      </c>
      <c r="H4754" s="2" t="s">
        <v>62</v>
      </c>
      <c r="I4754" s="2" t="s">
        <v>11095</v>
      </c>
      <c r="J4754" s="3" t="str">
        <f>HYPERLINK("https://www.boe.es/gazeta/dias/1814/03/22/pdfs/GRE-1814-39.pdf#page=4","Abrir facsímil")</f>
        <v>Abrir facsímil</v>
      </c>
      <c r="K4754" s="3" t="s">
        <v>64</v>
      </c>
    </row>
    <row r="4755" spans="1:11" ht="42" customHeight="1">
      <c r="A4755" s="2" t="s">
        <v>11091</v>
      </c>
      <c r="B4755" s="2" t="s">
        <v>11091</v>
      </c>
      <c r="C4755" s="2" t="s">
        <v>38</v>
      </c>
      <c r="D4755" s="2" t="s">
        <v>39</v>
      </c>
      <c r="E4755" s="5">
        <v>-31327</v>
      </c>
      <c r="F4755" s="3" t="s">
        <v>180</v>
      </c>
      <c r="G4755" s="3" t="s">
        <v>99</v>
      </c>
      <c r="H4755" s="2" t="s">
        <v>62</v>
      </c>
      <c r="I4755" s="2" t="s">
        <v>11096</v>
      </c>
      <c r="J4755" s="3" t="str">
        <f>HYPERLINK("https://www.boe.es/gazeta/dias/1814/03/24/pdfs/GRE-1814-41.pdf#page=5","Abrir facsímil")</f>
        <v>Abrir facsímil</v>
      </c>
      <c r="K4755" s="3" t="s">
        <v>64</v>
      </c>
    </row>
    <row r="4756" spans="1:11" ht="42" customHeight="1">
      <c r="A4756" s="2" t="s">
        <v>11091</v>
      </c>
      <c r="B4756" s="2" t="s">
        <v>11091</v>
      </c>
      <c r="C4756" s="2" t="s">
        <v>38</v>
      </c>
      <c r="D4756" s="2" t="s">
        <v>39</v>
      </c>
      <c r="E4756" s="5">
        <v>-31320</v>
      </c>
      <c r="F4756" s="3" t="s">
        <v>40</v>
      </c>
      <c r="G4756" s="3" t="s">
        <v>87</v>
      </c>
      <c r="H4756" s="2" t="s">
        <v>62</v>
      </c>
      <c r="I4756" s="2" t="s">
        <v>11097</v>
      </c>
      <c r="J4756" s="3" t="str">
        <f>HYPERLINK("https://www.boe.es/gazeta/dias/1814/03/31/pdfs/GRE-1814-46.pdf#page=2","Abrir facsímil")</f>
        <v>Abrir facsímil</v>
      </c>
      <c r="K4756" s="3" t="s">
        <v>64</v>
      </c>
    </row>
    <row r="4757" spans="1:11" ht="42" customHeight="1">
      <c r="A4757" s="2" t="s">
        <v>11091</v>
      </c>
      <c r="B4757" s="2" t="s">
        <v>11091</v>
      </c>
      <c r="C4757" s="2" t="s">
        <v>38</v>
      </c>
      <c r="D4757" s="2" t="s">
        <v>39</v>
      </c>
      <c r="E4757" s="5">
        <v>-31320</v>
      </c>
      <c r="F4757" s="3" t="s">
        <v>40</v>
      </c>
      <c r="G4757" s="3" t="s">
        <v>82</v>
      </c>
      <c r="H4757" s="2" t="s">
        <v>62</v>
      </c>
      <c r="I4757" s="2" t="s">
        <v>11098</v>
      </c>
      <c r="J4757" s="3" t="str">
        <f>HYPERLINK("https://www.boe.es/gazeta/dias/1814/03/31/pdfs/GRE-1814-46.pdf#page=3","Abrir facsímil")</f>
        <v>Abrir facsímil</v>
      </c>
      <c r="K4757" s="3" t="s">
        <v>64</v>
      </c>
    </row>
    <row r="4758" spans="1:11" ht="42" customHeight="1">
      <c r="A4758" s="2" t="s">
        <v>11099</v>
      </c>
      <c r="B4758" s="2" t="s">
        <v>11099</v>
      </c>
      <c r="C4758" s="2" t="s">
        <v>17</v>
      </c>
      <c r="D4758" s="2" t="s">
        <v>18</v>
      </c>
      <c r="E4758" s="5">
        <v>-31360</v>
      </c>
      <c r="F4758" s="3" t="s">
        <v>480</v>
      </c>
      <c r="G4758" s="3" t="s">
        <v>20</v>
      </c>
      <c r="H4758" s="2" t="s">
        <v>62</v>
      </c>
      <c r="I4758" s="2" t="s">
        <v>11100</v>
      </c>
      <c r="J4758" s="3" t="str">
        <f>HYPERLINK("https://www.boe.es/gazeta/dias/1814/02/19/pdfs/GRE-1814-23.pdf#page=7","Abrir facsímil")</f>
        <v>Abrir facsímil</v>
      </c>
      <c r="K4758" s="3" t="s">
        <v>64</v>
      </c>
    </row>
    <row r="4759" spans="1:11" ht="42" customHeight="1">
      <c r="A4759" s="2" t="s">
        <v>11101</v>
      </c>
      <c r="B4759" s="2" t="s">
        <v>11101</v>
      </c>
      <c r="C4759" s="2" t="s">
        <v>38</v>
      </c>
      <c r="D4759" s="2" t="s">
        <v>39</v>
      </c>
      <c r="E4759" s="5">
        <v>-31325</v>
      </c>
      <c r="F4759" s="3" t="s">
        <v>67</v>
      </c>
      <c r="G4759" s="3" t="s">
        <v>2060</v>
      </c>
      <c r="H4759" s="2" t="s">
        <v>62</v>
      </c>
      <c r="I4759" s="2" t="s">
        <v>11102</v>
      </c>
      <c r="J4759" s="3" t="str">
        <f>HYPERLINK("https://www.boe.es/gazeta/dias/1814/03/26/pdfs/GRE-1814-43.pdf#page=4","Abrir facsímil")</f>
        <v>Abrir facsímil</v>
      </c>
      <c r="K4759" s="3" t="s">
        <v>64</v>
      </c>
    </row>
    <row r="4760" spans="1:11" ht="42" customHeight="1">
      <c r="A4760" s="2" t="s">
        <v>11103</v>
      </c>
      <c r="B4760" s="2" t="s">
        <v>11104</v>
      </c>
      <c r="C4760" s="2" t="s">
        <v>45</v>
      </c>
      <c r="D4760" s="2" t="s">
        <v>18</v>
      </c>
      <c r="E4760" s="5">
        <v>-31059</v>
      </c>
      <c r="F4760" s="3" t="s">
        <v>263</v>
      </c>
      <c r="G4760" s="3" t="s">
        <v>264</v>
      </c>
      <c r="H4760" s="2" t="s">
        <v>62</v>
      </c>
      <c r="I4760" s="2" t="s">
        <v>11105</v>
      </c>
      <c r="J4760" s="3" t="str">
        <f>HYPERLINK("https://www.boe.es/gazeta/dias/1814/12/17/pdfs/GMD-1814-167.pdf#page=7","Abrir facsímil")</f>
        <v>Abrir facsímil</v>
      </c>
      <c r="K4760" s="3" t="s">
        <v>64</v>
      </c>
    </row>
    <row r="4761" spans="1:11" ht="42" customHeight="1">
      <c r="A4761" s="2" t="s">
        <v>11106</v>
      </c>
      <c r="B4761" s="2" t="s">
        <v>11107</v>
      </c>
      <c r="C4761" s="2" t="s">
        <v>26</v>
      </c>
      <c r="D4761" s="2" t="s">
        <v>27</v>
      </c>
      <c r="E4761" s="5">
        <v>-31147</v>
      </c>
      <c r="F4761" s="3" t="s">
        <v>86</v>
      </c>
      <c r="G4761" s="3" t="s">
        <v>57</v>
      </c>
      <c r="H4761" s="2" t="s">
        <v>62</v>
      </c>
      <c r="I4761" s="2" t="s">
        <v>11108</v>
      </c>
      <c r="J4761" s="3" t="str">
        <f>HYPERLINK("https://www.boe.es/gazeta/dias/1814/09/20/pdfs/GMD-1814-128.pdf#page=6","Abrir facsímil")</f>
        <v>Abrir facsímil</v>
      </c>
      <c r="K4761" s="3" t="s">
        <v>64</v>
      </c>
    </row>
    <row r="4762" spans="1:11" ht="42" customHeight="1">
      <c r="A4762" s="2" t="s">
        <v>11109</v>
      </c>
      <c r="B4762" s="2" t="s">
        <v>11110</v>
      </c>
      <c r="C4762" s="2" t="s">
        <v>38</v>
      </c>
      <c r="D4762" s="2" t="s">
        <v>39</v>
      </c>
      <c r="E4762" s="5">
        <v>-31129</v>
      </c>
      <c r="F4762" s="3" t="s">
        <v>418</v>
      </c>
      <c r="G4762" s="3" t="s">
        <v>20</v>
      </c>
      <c r="H4762" s="2" t="s">
        <v>62</v>
      </c>
      <c r="I4762" s="2" t="s">
        <v>11111</v>
      </c>
      <c r="J4762" s="3" t="str">
        <f>HYPERLINK("https://www.boe.es/gazeta/dias/1814/10/08/pdfs/GMD-1814-136.pdf#page=7","Abrir facsímil")</f>
        <v>Abrir facsímil</v>
      </c>
      <c r="K4762" s="3" t="s">
        <v>64</v>
      </c>
    </row>
    <row r="4763" spans="1:11" ht="42" customHeight="1">
      <c r="A4763" s="2" t="s">
        <v>11112</v>
      </c>
      <c r="B4763" s="2" t="s">
        <v>11113</v>
      </c>
      <c r="C4763" s="2" t="s">
        <v>38</v>
      </c>
      <c r="D4763" s="2" t="s">
        <v>39</v>
      </c>
      <c r="E4763" s="5">
        <v>-31073</v>
      </c>
      <c r="F4763" s="3" t="s">
        <v>3052</v>
      </c>
      <c r="G4763" s="3" t="s">
        <v>82</v>
      </c>
      <c r="H4763" s="2" t="s">
        <v>62</v>
      </c>
      <c r="I4763" s="2" t="s">
        <v>11114</v>
      </c>
      <c r="J4763" s="3" t="str">
        <f>HYPERLINK("https://www.boe.es/gazeta/dias/1814/12/03/pdfs/GMD-1814-160.pdf#page=3","Abrir facsímil")</f>
        <v>Abrir facsímil</v>
      </c>
      <c r="K4763" s="3" t="s">
        <v>64</v>
      </c>
    </row>
    <row r="4764" spans="1:11" ht="42" customHeight="1">
      <c r="A4764" s="2" t="s">
        <v>11115</v>
      </c>
      <c r="B4764" s="2" t="s">
        <v>11116</v>
      </c>
      <c r="C4764" s="2" t="s">
        <v>26</v>
      </c>
      <c r="D4764" s="2" t="s">
        <v>27</v>
      </c>
      <c r="E4764" s="5">
        <v>-31306</v>
      </c>
      <c r="F4764" s="3" t="s">
        <v>670</v>
      </c>
      <c r="G4764" s="3" t="s">
        <v>52</v>
      </c>
      <c r="H4764" s="2" t="s">
        <v>21</v>
      </c>
      <c r="I4764" s="2" t="s">
        <v>11117</v>
      </c>
      <c r="J4764" s="3" t="str">
        <f>HYPERLINK("https://www.boe.es/gazeta/dias/1814/04/14/pdfs/GRE-1814-53.pdf#page=8","Abrir facsímil")</f>
        <v>Abrir facsímil</v>
      </c>
      <c r="K4764" s="3" t="s">
        <v>23</v>
      </c>
    </row>
    <row r="4765" spans="1:11" ht="42" customHeight="1">
      <c r="A4765" s="2" t="s">
        <v>11118</v>
      </c>
      <c r="B4765" s="2" t="s">
        <v>11118</v>
      </c>
      <c r="C4765" s="2" t="s">
        <v>38</v>
      </c>
      <c r="D4765" s="2" t="s">
        <v>39</v>
      </c>
      <c r="E4765" s="5">
        <v>-31369</v>
      </c>
      <c r="F4765" s="3" t="s">
        <v>695</v>
      </c>
      <c r="G4765" s="3" t="s">
        <v>87</v>
      </c>
      <c r="H4765" s="2" t="s">
        <v>62</v>
      </c>
      <c r="I4765" s="2" t="s">
        <v>11119</v>
      </c>
      <c r="J4765" s="3" t="str">
        <f>HYPERLINK("https://www.boe.es/gazeta/dias/1814/02/10/pdfs/GRE-1814-19.pdf#page=2","Abrir facsímil")</f>
        <v>Abrir facsímil</v>
      </c>
      <c r="K4765" s="3" t="s">
        <v>64</v>
      </c>
    </row>
    <row r="4766" spans="1:11" ht="42" customHeight="1">
      <c r="A4766" s="2" t="s">
        <v>11120</v>
      </c>
      <c r="B4766" s="2" t="s">
        <v>11121</v>
      </c>
      <c r="C4766" s="2" t="s">
        <v>17</v>
      </c>
      <c r="D4766" s="2" t="s">
        <v>18</v>
      </c>
      <c r="E4766" s="5">
        <v>-31110</v>
      </c>
      <c r="F4766" s="3" t="s">
        <v>149</v>
      </c>
      <c r="G4766" s="3" t="s">
        <v>20</v>
      </c>
      <c r="H4766" s="2" t="s">
        <v>62</v>
      </c>
      <c r="I4766" s="2" t="s">
        <v>11122</v>
      </c>
      <c r="J4766" s="3" t="str">
        <f>HYPERLINK("https://www.boe.es/gazeta/dias/1814/10/27/pdfs/GMD-1814-144.pdf#page=7","Abrir facsímil")</f>
        <v>Abrir facsímil</v>
      </c>
      <c r="K4766" s="3" t="s">
        <v>64</v>
      </c>
    </row>
    <row r="4767" spans="1:11" ht="42" customHeight="1">
      <c r="A4767" s="2" t="s">
        <v>11123</v>
      </c>
      <c r="B4767" s="2" t="s">
        <v>11123</v>
      </c>
      <c r="C4767" s="2" t="s">
        <v>38</v>
      </c>
      <c r="D4767" s="2" t="s">
        <v>314</v>
      </c>
      <c r="E4767" s="5">
        <v>-31328</v>
      </c>
      <c r="F4767" s="3" t="s">
        <v>442</v>
      </c>
      <c r="G4767" s="3" t="s">
        <v>107</v>
      </c>
      <c r="H4767" s="2" t="s">
        <v>62</v>
      </c>
      <c r="I4767" s="2" t="s">
        <v>11124</v>
      </c>
      <c r="J4767" s="3" t="str">
        <f>HYPERLINK("https://www.boe.es/gazeta/dias/1814/03/23/pdfs/GRE-1814-40E.pdf#page=1","Abrir facsímil")</f>
        <v>Abrir facsímil</v>
      </c>
      <c r="K4767" s="3" t="s">
        <v>64</v>
      </c>
    </row>
    <row r="4768" spans="1:11" ht="42" customHeight="1">
      <c r="A4768" s="2" t="s">
        <v>11123</v>
      </c>
      <c r="B4768" s="2" t="s">
        <v>11123</v>
      </c>
      <c r="C4768" s="2" t="s">
        <v>26</v>
      </c>
      <c r="D4768" s="2" t="s">
        <v>27</v>
      </c>
      <c r="E4768" s="5">
        <v>-31320</v>
      </c>
      <c r="F4768" s="3" t="s">
        <v>40</v>
      </c>
      <c r="G4768" s="3" t="s">
        <v>57</v>
      </c>
      <c r="H4768" s="2" t="s">
        <v>62</v>
      </c>
      <c r="I4768" s="2" t="s">
        <v>11125</v>
      </c>
      <c r="J4768" s="3" t="str">
        <f>HYPERLINK("https://www.boe.es/gazeta/dias/1814/03/31/pdfs/GRE-1814-46.pdf#page=6","Abrir facsímil")</f>
        <v>Abrir facsímil</v>
      </c>
      <c r="K4768" s="3" t="s">
        <v>64</v>
      </c>
    </row>
    <row r="4769" spans="1:11" ht="42" customHeight="1">
      <c r="A4769" s="2" t="s">
        <v>11123</v>
      </c>
      <c r="B4769" s="2" t="s">
        <v>11123</v>
      </c>
      <c r="C4769" s="2" t="s">
        <v>26</v>
      </c>
      <c r="D4769" s="2" t="s">
        <v>27</v>
      </c>
      <c r="E4769" s="5">
        <v>-31152</v>
      </c>
      <c r="F4769" s="3" t="s">
        <v>199</v>
      </c>
      <c r="G4769" s="3" t="s">
        <v>99</v>
      </c>
      <c r="H4769" s="2" t="s">
        <v>62</v>
      </c>
      <c r="I4769" s="2" t="s">
        <v>11126</v>
      </c>
      <c r="J4769" s="3" t="str">
        <f>HYPERLINK("https://www.boe.es/gazeta/dias/1814/09/15/pdfs/GMD-1814-126.pdf#page=5","Abrir facsímil")</f>
        <v>Abrir facsímil</v>
      </c>
      <c r="K4769" s="3" t="s">
        <v>64</v>
      </c>
    </row>
    <row r="4770" spans="1:11" ht="42" customHeight="1">
      <c r="A4770" s="2" t="s">
        <v>11123</v>
      </c>
      <c r="B4770" s="2" t="s">
        <v>11123</v>
      </c>
      <c r="C4770" s="2" t="s">
        <v>38</v>
      </c>
      <c r="D4770" s="2" t="s">
        <v>39</v>
      </c>
      <c r="E4770" s="5">
        <v>-31117</v>
      </c>
      <c r="F4770" s="3" t="s">
        <v>172</v>
      </c>
      <c r="G4770" s="3" t="s">
        <v>173</v>
      </c>
      <c r="H4770" s="2" t="s">
        <v>62</v>
      </c>
      <c r="I4770" s="2" t="s">
        <v>11127</v>
      </c>
      <c r="J4770" s="3" t="str">
        <f>HYPERLINK("https://www.boe.es/gazeta/dias/1814/10/20/pdfs/GMD-1814-141.pdf#page=7","Abrir facsímil")</f>
        <v>Abrir facsímil</v>
      </c>
      <c r="K4770" s="3" t="s">
        <v>64</v>
      </c>
    </row>
    <row r="4771" spans="1:11" ht="42" customHeight="1">
      <c r="A4771" s="2" t="s">
        <v>11123</v>
      </c>
      <c r="B4771" s="2" t="s">
        <v>11123</v>
      </c>
      <c r="C4771" s="2" t="s">
        <v>38</v>
      </c>
      <c r="D4771" s="2" t="s">
        <v>39</v>
      </c>
      <c r="E4771" s="5">
        <v>-31115</v>
      </c>
      <c r="F4771" s="3" t="s">
        <v>805</v>
      </c>
      <c r="G4771" s="3" t="s">
        <v>41</v>
      </c>
      <c r="H4771" s="2" t="s">
        <v>62</v>
      </c>
      <c r="I4771" s="2" t="s">
        <v>11128</v>
      </c>
      <c r="J4771" s="3" t="str">
        <f>HYPERLINK("https://www.boe.es/gazeta/dias/1814/10/22/pdfs/GMD-1814-142.pdf#page=4","Abrir facsímil")</f>
        <v>Abrir facsímil</v>
      </c>
      <c r="K4771" s="3" t="s">
        <v>64</v>
      </c>
    </row>
    <row r="4772" spans="1:11" ht="42" customHeight="1">
      <c r="A4772" s="2" t="s">
        <v>11123</v>
      </c>
      <c r="B4772" s="2" t="s">
        <v>11123</v>
      </c>
      <c r="C4772" s="2" t="s">
        <v>38</v>
      </c>
      <c r="D4772" s="2" t="s">
        <v>39</v>
      </c>
      <c r="E4772" s="5">
        <v>-31112</v>
      </c>
      <c r="F4772" s="3" t="s">
        <v>707</v>
      </c>
      <c r="G4772" s="3" t="s">
        <v>4335</v>
      </c>
      <c r="H4772" s="2" t="s">
        <v>62</v>
      </c>
      <c r="I4772" s="2" t="s">
        <v>11129</v>
      </c>
      <c r="J4772" s="3" t="str">
        <f>HYPERLINK("https://www.boe.es/gazeta/dias/1814/10/25/pdfs/GMD-1814-143.pdf#page=6","Abrir facsímil")</f>
        <v>Abrir facsímil</v>
      </c>
      <c r="K4772" s="3" t="s">
        <v>64</v>
      </c>
    </row>
    <row r="4773" spans="1:11" ht="42" customHeight="1">
      <c r="A4773" s="2" t="s">
        <v>11123</v>
      </c>
      <c r="B4773" s="2" t="s">
        <v>11123</v>
      </c>
      <c r="C4773" s="2" t="s">
        <v>26</v>
      </c>
      <c r="D4773" s="2" t="s">
        <v>27</v>
      </c>
      <c r="E4773" s="5">
        <v>-31110</v>
      </c>
      <c r="F4773" s="3" t="s">
        <v>149</v>
      </c>
      <c r="G4773" s="3" t="s">
        <v>99</v>
      </c>
      <c r="H4773" s="2" t="s">
        <v>62</v>
      </c>
      <c r="I4773" s="2" t="s">
        <v>11130</v>
      </c>
      <c r="J4773" s="3" t="str">
        <f>HYPERLINK("https://www.boe.es/gazeta/dias/1814/10/27/pdfs/GMD-1814-144.pdf#page=5","Abrir facsímil")</f>
        <v>Abrir facsímil</v>
      </c>
      <c r="K4773" s="3" t="s">
        <v>64</v>
      </c>
    </row>
    <row r="4774" spans="1:11" ht="42" customHeight="1">
      <c r="A4774" s="2" t="s">
        <v>11123</v>
      </c>
      <c r="B4774" s="2" t="s">
        <v>11123</v>
      </c>
      <c r="C4774" s="2" t="s">
        <v>26</v>
      </c>
      <c r="D4774" s="2" t="s">
        <v>27</v>
      </c>
      <c r="E4774" s="5">
        <v>-31084</v>
      </c>
      <c r="F4774" s="3" t="s">
        <v>282</v>
      </c>
      <c r="G4774" s="3" t="s">
        <v>20</v>
      </c>
      <c r="H4774" s="2" t="s">
        <v>62</v>
      </c>
      <c r="I4774" s="2" t="s">
        <v>11131</v>
      </c>
      <c r="J4774" s="3" t="str">
        <f>HYPERLINK("https://www.boe.es/gazeta/dias/1814/11/22/pdfs/GMD-1814-155.pdf#page=7","Abrir facsímil")</f>
        <v>Abrir facsímil</v>
      </c>
      <c r="K4774" s="3" t="s">
        <v>64</v>
      </c>
    </row>
    <row r="4775" spans="1:11" ht="42" customHeight="1">
      <c r="A4775" s="2" t="s">
        <v>11123</v>
      </c>
      <c r="B4775" s="2" t="s">
        <v>11123</v>
      </c>
      <c r="C4775" s="2" t="s">
        <v>38</v>
      </c>
      <c r="D4775" s="2" t="s">
        <v>314</v>
      </c>
      <c r="E4775" s="5">
        <v>-31060</v>
      </c>
      <c r="F4775" s="3" t="s">
        <v>4339</v>
      </c>
      <c r="G4775" s="3" t="s">
        <v>87</v>
      </c>
      <c r="H4775" s="2" t="s">
        <v>62</v>
      </c>
      <c r="I4775" s="2" t="s">
        <v>11132</v>
      </c>
      <c r="J4775" s="3" t="str">
        <f>HYPERLINK("https://www.boe.es/gazeta/dias/1814/12/16/pdfs/GMD-1814-166E.pdf#page=2","Abrir facsímil")</f>
        <v>Abrir facsímil</v>
      </c>
      <c r="K4775" s="3" t="s">
        <v>64</v>
      </c>
    </row>
    <row r="4776" spans="1:11" ht="42" customHeight="1">
      <c r="A4776" s="2" t="s">
        <v>11133</v>
      </c>
      <c r="B4776" s="2" t="s">
        <v>11134</v>
      </c>
      <c r="C4776" s="2" t="s">
        <v>38</v>
      </c>
      <c r="D4776" s="2" t="s">
        <v>39</v>
      </c>
      <c r="E4776" s="5">
        <v>-31355</v>
      </c>
      <c r="F4776" s="3" t="s">
        <v>50</v>
      </c>
      <c r="G4776" s="3" t="s">
        <v>20</v>
      </c>
      <c r="H4776" s="2" t="s">
        <v>62</v>
      </c>
      <c r="I4776" s="2" t="s">
        <v>11135</v>
      </c>
      <c r="J4776" s="3" t="str">
        <f>HYPERLINK("https://www.boe.es/gazeta/dias/1814/02/24/pdfs/GRE-1814-26.pdf#page=7","Abrir facsímil")</f>
        <v>Abrir facsímil</v>
      </c>
      <c r="K4776" s="3" t="s">
        <v>64</v>
      </c>
    </row>
    <row r="4777" spans="1:11" ht="42" customHeight="1">
      <c r="A4777" s="2" t="s">
        <v>11136</v>
      </c>
      <c r="B4777" s="2" t="s">
        <v>11137</v>
      </c>
      <c r="C4777" s="2" t="s">
        <v>17</v>
      </c>
      <c r="D4777" s="2" t="s">
        <v>18</v>
      </c>
      <c r="E4777" s="5">
        <v>-31259</v>
      </c>
      <c r="F4777" s="3" t="s">
        <v>853</v>
      </c>
      <c r="G4777" s="3" t="s">
        <v>20</v>
      </c>
      <c r="H4777" s="2" t="s">
        <v>21</v>
      </c>
      <c r="I4777" s="2" t="s">
        <v>11138</v>
      </c>
      <c r="J4777" s="3" t="str">
        <f>HYPERLINK("https://www.boe.es/gazeta/dias/1814/05/31/pdfs/GMD-1814-79.pdf#page=7","Abrir facsímil")</f>
        <v>Abrir facsímil</v>
      </c>
      <c r="K4777" s="3" t="s">
        <v>23</v>
      </c>
    </row>
    <row r="4778" spans="1:11" ht="42" customHeight="1">
      <c r="A4778" s="2" t="s">
        <v>11139</v>
      </c>
      <c r="B4778" s="2" t="s">
        <v>11139</v>
      </c>
      <c r="C4778" s="2" t="s">
        <v>38</v>
      </c>
      <c r="D4778" s="2" t="s">
        <v>39</v>
      </c>
      <c r="E4778" s="5">
        <v>-31381</v>
      </c>
      <c r="F4778" s="3" t="s">
        <v>989</v>
      </c>
      <c r="G4778" s="3" t="s">
        <v>52</v>
      </c>
      <c r="H4778" s="2" t="s">
        <v>62</v>
      </c>
      <c r="I4778" s="2" t="s">
        <v>11140</v>
      </c>
      <c r="J4778" s="3" t="str">
        <f>HYPERLINK("https://www.boe.es/gazeta/dias/1814/01/29/pdfs/GRE-1814-14.pdf#page=8","Abrir facsímil")</f>
        <v>Abrir facsímil</v>
      </c>
      <c r="K4778" s="3" t="s">
        <v>64</v>
      </c>
    </row>
    <row r="4779" spans="1:11" ht="42" customHeight="1">
      <c r="A4779" s="2" t="s">
        <v>11141</v>
      </c>
      <c r="B4779" s="2" t="s">
        <v>11141</v>
      </c>
      <c r="C4779" s="2" t="s">
        <v>38</v>
      </c>
      <c r="D4779" s="2" t="s">
        <v>39</v>
      </c>
      <c r="E4779" s="5">
        <v>-31327</v>
      </c>
      <c r="F4779" s="3" t="s">
        <v>180</v>
      </c>
      <c r="G4779" s="3" t="s">
        <v>99</v>
      </c>
      <c r="H4779" s="2" t="s">
        <v>62</v>
      </c>
      <c r="I4779" s="2" t="s">
        <v>11142</v>
      </c>
      <c r="J4779" s="3" t="str">
        <f>HYPERLINK("https://www.boe.es/gazeta/dias/1814/03/24/pdfs/GRE-1814-41.pdf#page=5","Abrir facsímil")</f>
        <v>Abrir facsímil</v>
      </c>
      <c r="K4779" s="3" t="s">
        <v>64</v>
      </c>
    </row>
    <row r="4780" spans="1:11" ht="42" customHeight="1">
      <c r="A4780" s="2" t="s">
        <v>11143</v>
      </c>
      <c r="B4780" s="2" t="s">
        <v>11144</v>
      </c>
      <c r="C4780" s="2" t="s">
        <v>38</v>
      </c>
      <c r="D4780" s="2" t="s">
        <v>39</v>
      </c>
      <c r="E4780" s="5">
        <v>-31390</v>
      </c>
      <c r="F4780" s="3" t="s">
        <v>349</v>
      </c>
      <c r="G4780" s="3" t="s">
        <v>52</v>
      </c>
      <c r="H4780" s="2" t="s">
        <v>62</v>
      </c>
      <c r="I4780" s="2" t="s">
        <v>11145</v>
      </c>
      <c r="J4780" s="3" t="str">
        <f>HYPERLINK("https://www.boe.es/gazeta/dias/1814/01/20/pdfs/GRE-1814-10.pdf#page=8","Abrir facsímil")</f>
        <v>Abrir facsímil</v>
      </c>
      <c r="K4780" s="3" t="s">
        <v>64</v>
      </c>
    </row>
    <row r="4781" spans="1:11" ht="42" customHeight="1">
      <c r="A4781" s="2" t="s">
        <v>11146</v>
      </c>
      <c r="B4781" s="2" t="s">
        <v>11147</v>
      </c>
      <c r="C4781" s="2" t="s">
        <v>38</v>
      </c>
      <c r="D4781" s="2" t="s">
        <v>39</v>
      </c>
      <c r="E4781" s="5">
        <v>-31129</v>
      </c>
      <c r="F4781" s="3" t="s">
        <v>418</v>
      </c>
      <c r="G4781" s="3" t="s">
        <v>20</v>
      </c>
      <c r="H4781" s="2" t="s">
        <v>62</v>
      </c>
      <c r="I4781" s="2" t="s">
        <v>11148</v>
      </c>
      <c r="J4781" s="3" t="str">
        <f>HYPERLINK("https://www.boe.es/gazeta/dias/1814/10/08/pdfs/GMD-1814-136.pdf#page=7","Abrir facsímil")</f>
        <v>Abrir facsímil</v>
      </c>
      <c r="K4781" s="3" t="s">
        <v>64</v>
      </c>
    </row>
    <row r="4782" spans="1:11" ht="42" customHeight="1">
      <c r="A4782" s="2" t="s">
        <v>11149</v>
      </c>
      <c r="B4782" s="2" t="s">
        <v>11150</v>
      </c>
      <c r="C4782" s="2" t="s">
        <v>38</v>
      </c>
      <c r="D4782" s="2" t="s">
        <v>39</v>
      </c>
      <c r="E4782" s="5">
        <v>-31122</v>
      </c>
      <c r="F4782" s="3" t="s">
        <v>28</v>
      </c>
      <c r="G4782" s="3" t="s">
        <v>20</v>
      </c>
      <c r="H4782" s="2" t="s">
        <v>21</v>
      </c>
      <c r="I4782" s="2" t="s">
        <v>11151</v>
      </c>
      <c r="J4782" s="3" t="str">
        <f>HYPERLINK("https://www.boe.es/gazeta/dias/1814/10/15/pdfs/GMD-1814-139.pdf#page=7","Abrir facsímil")</f>
        <v>Abrir facsímil</v>
      </c>
      <c r="K4782" s="3" t="s">
        <v>23</v>
      </c>
    </row>
    <row r="4783" spans="1:11" ht="42" customHeight="1">
      <c r="A4783" s="2" t="s">
        <v>11152</v>
      </c>
      <c r="B4783" s="2" t="s">
        <v>11152</v>
      </c>
      <c r="C4783" s="2" t="s">
        <v>38</v>
      </c>
      <c r="D4783" s="2" t="s">
        <v>39</v>
      </c>
      <c r="E4783" s="5">
        <v>-31047</v>
      </c>
      <c r="F4783" s="3" t="s">
        <v>815</v>
      </c>
      <c r="G4783" s="3" t="s">
        <v>57</v>
      </c>
      <c r="H4783" s="2" t="s">
        <v>62</v>
      </c>
      <c r="I4783" s="2" t="s">
        <v>11153</v>
      </c>
      <c r="J4783" s="3" t="str">
        <f>HYPERLINK("https://www.boe.es/gazeta/dias/1814/12/29/pdfs/GMD-1814-172.pdf#page=6","Abrir facsímil")</f>
        <v>Abrir facsímil</v>
      </c>
      <c r="K4783" s="3" t="s">
        <v>64</v>
      </c>
    </row>
    <row r="4784" spans="1:11" ht="42" customHeight="1">
      <c r="A4784" s="2" t="s">
        <v>11154</v>
      </c>
      <c r="B4784" s="2" t="s">
        <v>11155</v>
      </c>
      <c r="C4784" s="2" t="s">
        <v>17</v>
      </c>
      <c r="D4784" s="2" t="s">
        <v>18</v>
      </c>
      <c r="E4784" s="5">
        <v>-31119</v>
      </c>
      <c r="F4784" s="3" t="s">
        <v>136</v>
      </c>
      <c r="G4784" s="3" t="s">
        <v>384</v>
      </c>
      <c r="H4784" s="2" t="s">
        <v>21</v>
      </c>
      <c r="I4784" s="2" t="s">
        <v>11156</v>
      </c>
      <c r="J4784" s="3" t="str">
        <f>HYPERLINK("https://www.boe.es/gazeta/dias/1814/10/18/pdfs/GMD-1814-140.pdf#page=11","Abrir facsímil")</f>
        <v>Abrir facsímil</v>
      </c>
      <c r="K4784" s="3" t="s">
        <v>23</v>
      </c>
    </row>
    <row r="4785" spans="1:11" ht="42" customHeight="1">
      <c r="A4785" s="2" t="s">
        <v>11154</v>
      </c>
      <c r="B4785" s="2" t="s">
        <v>11155</v>
      </c>
      <c r="C4785" s="2" t="s">
        <v>17</v>
      </c>
      <c r="D4785" s="2" t="s">
        <v>18</v>
      </c>
      <c r="E4785" s="5">
        <v>-31115</v>
      </c>
      <c r="F4785" s="3" t="s">
        <v>805</v>
      </c>
      <c r="G4785" s="3" t="s">
        <v>20</v>
      </c>
      <c r="H4785" s="2" t="s">
        <v>21</v>
      </c>
      <c r="I4785" s="2" t="s">
        <v>11157</v>
      </c>
      <c r="J4785" s="3" t="str">
        <f>HYPERLINK("https://www.boe.es/gazeta/dias/1814/10/22/pdfs/GMD-1814-142.pdf#page=7","Abrir facsímil")</f>
        <v>Abrir facsímil</v>
      </c>
      <c r="K4785" s="3" t="s">
        <v>23</v>
      </c>
    </row>
    <row r="4786" spans="1:11" ht="42" customHeight="1">
      <c r="A4786" s="2" t="s">
        <v>11154</v>
      </c>
      <c r="B4786" s="2" t="s">
        <v>11155</v>
      </c>
      <c r="C4786" s="2" t="s">
        <v>17</v>
      </c>
      <c r="D4786" s="2" t="s">
        <v>18</v>
      </c>
      <c r="E4786" s="5">
        <v>-31110</v>
      </c>
      <c r="F4786" s="3" t="s">
        <v>149</v>
      </c>
      <c r="G4786" s="3" t="s">
        <v>20</v>
      </c>
      <c r="H4786" s="2" t="s">
        <v>21</v>
      </c>
      <c r="I4786" s="2" t="s">
        <v>11158</v>
      </c>
      <c r="J4786" s="3" t="str">
        <f>HYPERLINK("https://www.boe.es/gazeta/dias/1814/10/27/pdfs/GMD-1814-144.pdf#page=7","Abrir facsímil")</f>
        <v>Abrir facsímil</v>
      </c>
      <c r="K4786" s="3" t="s">
        <v>23</v>
      </c>
    </row>
    <row r="4787" spans="1:11" ht="42" customHeight="1">
      <c r="A4787" s="2" t="s">
        <v>11159</v>
      </c>
      <c r="B4787" s="2" t="s">
        <v>11160</v>
      </c>
      <c r="C4787" s="2" t="s">
        <v>26</v>
      </c>
      <c r="D4787" s="2" t="s">
        <v>27</v>
      </c>
      <c r="E4787" s="5">
        <v>-31213</v>
      </c>
      <c r="F4787" s="3" t="s">
        <v>276</v>
      </c>
      <c r="G4787" s="3" t="s">
        <v>20</v>
      </c>
      <c r="H4787" s="2" t="s">
        <v>62</v>
      </c>
      <c r="I4787" s="2" t="s">
        <v>11161</v>
      </c>
      <c r="J4787" s="3" t="str">
        <f>HYPERLINK("https://www.boe.es/gazeta/dias/1814/07/16/pdfs/GMD-1814-99.pdf#page=7","Abrir facsímil")</f>
        <v>Abrir facsímil</v>
      </c>
      <c r="K4787" s="3" t="s">
        <v>64</v>
      </c>
    </row>
    <row r="4788" spans="1:11" ht="42" customHeight="1">
      <c r="A4788" s="2" t="s">
        <v>11162</v>
      </c>
      <c r="B4788" s="2" t="s">
        <v>11163</v>
      </c>
      <c r="C4788" s="2" t="s">
        <v>45</v>
      </c>
      <c r="D4788" s="2" t="s">
        <v>18</v>
      </c>
      <c r="E4788" s="5">
        <v>-31173</v>
      </c>
      <c r="F4788" s="3" t="s">
        <v>46</v>
      </c>
      <c r="G4788" s="3" t="s">
        <v>20</v>
      </c>
      <c r="H4788" s="2" t="s">
        <v>62</v>
      </c>
      <c r="I4788" s="2" t="s">
        <v>11164</v>
      </c>
      <c r="J4788" s="3" t="str">
        <f>HYPERLINK("https://www.boe.es/gazeta/dias/1814/08/25/pdfs/GMD-1814-116.pdf#page=7","Abrir facsímil")</f>
        <v>Abrir facsímil</v>
      </c>
      <c r="K4788" s="3" t="s">
        <v>64</v>
      </c>
    </row>
    <row r="4789" spans="1:11" ht="42" customHeight="1">
      <c r="A4789" s="2" t="s">
        <v>11162</v>
      </c>
      <c r="B4789" s="2" t="s">
        <v>11163</v>
      </c>
      <c r="C4789" s="2" t="s">
        <v>45</v>
      </c>
      <c r="D4789" s="2" t="s">
        <v>18</v>
      </c>
      <c r="E4789" s="5">
        <v>-31131</v>
      </c>
      <c r="F4789" s="3" t="s">
        <v>132</v>
      </c>
      <c r="G4789" s="3" t="s">
        <v>2188</v>
      </c>
      <c r="H4789" s="2" t="s">
        <v>62</v>
      </c>
      <c r="I4789" s="2" t="s">
        <v>11165</v>
      </c>
      <c r="J4789" s="3" t="str">
        <f>HYPERLINK("https://www.boe.es/gazeta/dias/1814/10/06/pdfs/GMD-1814-135.pdf#page=6","Abrir facsímil")</f>
        <v>Abrir facsímil</v>
      </c>
      <c r="K4789" s="3" t="s">
        <v>64</v>
      </c>
    </row>
    <row r="4790" spans="1:11" ht="42" customHeight="1">
      <c r="A4790" s="2" t="s">
        <v>11166</v>
      </c>
      <c r="B4790" s="2" t="s">
        <v>11167</v>
      </c>
      <c r="C4790" s="2" t="s">
        <v>105</v>
      </c>
      <c r="D4790" s="2" t="s">
        <v>18</v>
      </c>
      <c r="E4790" s="5">
        <v>-31383</v>
      </c>
      <c r="F4790" s="3" t="s">
        <v>715</v>
      </c>
      <c r="G4790" s="3" t="s">
        <v>57</v>
      </c>
      <c r="H4790" s="2" t="s">
        <v>62</v>
      </c>
      <c r="I4790" s="2" t="s">
        <v>11168</v>
      </c>
      <c r="J4790" s="3" t="str">
        <f>HYPERLINK("https://www.boe.es/gazeta/dias/1814/01/27/pdfs/GRE-1814-13.pdf#page=6","Abrir facsímil")</f>
        <v>Abrir facsímil</v>
      </c>
      <c r="K4790" s="3" t="s">
        <v>64</v>
      </c>
    </row>
    <row r="4791" spans="1:11" ht="42" customHeight="1">
      <c r="A4791" s="2" t="s">
        <v>11169</v>
      </c>
      <c r="B4791" s="2" t="s">
        <v>11170</v>
      </c>
      <c r="C4791" s="2" t="s">
        <v>17</v>
      </c>
      <c r="D4791" s="2" t="s">
        <v>18</v>
      </c>
      <c r="E4791" s="5">
        <v>-31115</v>
      </c>
      <c r="F4791" s="3" t="s">
        <v>805</v>
      </c>
      <c r="G4791" s="3" t="s">
        <v>20</v>
      </c>
      <c r="H4791" s="2" t="s">
        <v>62</v>
      </c>
      <c r="I4791" s="2" t="s">
        <v>11171</v>
      </c>
      <c r="J4791" s="3" t="str">
        <f>HYPERLINK("https://www.boe.es/gazeta/dias/1814/10/22/pdfs/GMD-1814-142.pdf#page=7","Abrir facsímil")</f>
        <v>Abrir facsímil</v>
      </c>
      <c r="K4791" s="3" t="s">
        <v>64</v>
      </c>
    </row>
    <row r="4792" spans="1:11" ht="42" customHeight="1">
      <c r="A4792" s="2" t="s">
        <v>11172</v>
      </c>
      <c r="B4792" s="2" t="s">
        <v>11173</v>
      </c>
      <c r="C4792" s="2" t="s">
        <v>17</v>
      </c>
      <c r="D4792" s="2" t="s">
        <v>18</v>
      </c>
      <c r="E4792" s="5">
        <v>-31110</v>
      </c>
      <c r="F4792" s="3" t="s">
        <v>149</v>
      </c>
      <c r="G4792" s="3" t="s">
        <v>20</v>
      </c>
      <c r="H4792" s="2" t="s">
        <v>62</v>
      </c>
      <c r="I4792" s="2" t="s">
        <v>11174</v>
      </c>
      <c r="J4792" s="3" t="str">
        <f>HYPERLINK("https://www.boe.es/gazeta/dias/1814/10/27/pdfs/GMD-1814-144.pdf#page=7","Abrir facsímil")</f>
        <v>Abrir facsímil</v>
      </c>
      <c r="K4792" s="3" t="s">
        <v>64</v>
      </c>
    </row>
    <row r="4793" spans="1:11" ht="42" customHeight="1">
      <c r="A4793" s="2" t="s">
        <v>11175</v>
      </c>
      <c r="B4793" s="2" t="s">
        <v>11176</v>
      </c>
      <c r="C4793" s="2" t="s">
        <v>32</v>
      </c>
      <c r="D4793" s="2" t="s">
        <v>18</v>
      </c>
      <c r="E4793" s="5">
        <v>-31245</v>
      </c>
      <c r="F4793" s="3" t="s">
        <v>908</v>
      </c>
      <c r="G4793" s="3" t="s">
        <v>4652</v>
      </c>
      <c r="H4793" s="2" t="s">
        <v>62</v>
      </c>
      <c r="I4793" s="2" t="s">
        <v>11177</v>
      </c>
      <c r="J4793" s="3" t="str">
        <f>HYPERLINK("https://www.boe.es/gazeta/dias/1814/06/14/pdfs/GMD-1814-85.pdf#page=4","Abrir facsímil")</f>
        <v>Abrir facsímil</v>
      </c>
      <c r="K4793" s="3" t="s">
        <v>64</v>
      </c>
    </row>
    <row r="4794" spans="1:11" ht="42" customHeight="1">
      <c r="A4794" s="2" t="s">
        <v>11178</v>
      </c>
      <c r="B4794" s="2" t="s">
        <v>11179</v>
      </c>
      <c r="C4794" s="2" t="s">
        <v>17</v>
      </c>
      <c r="D4794" s="2" t="s">
        <v>18</v>
      </c>
      <c r="E4794" s="5">
        <v>-31119</v>
      </c>
      <c r="F4794" s="3" t="s">
        <v>136</v>
      </c>
      <c r="G4794" s="3" t="s">
        <v>704</v>
      </c>
      <c r="H4794" s="2" t="s">
        <v>62</v>
      </c>
      <c r="I4794" s="2" t="s">
        <v>11180</v>
      </c>
      <c r="J4794" s="3" t="str">
        <f>HYPERLINK("https://www.boe.es/gazeta/dias/1814/10/18/pdfs/GMD-1814-140.pdf#page=10","Abrir facsímil")</f>
        <v>Abrir facsímil</v>
      </c>
      <c r="K4794" s="3" t="s">
        <v>64</v>
      </c>
    </row>
    <row r="4795" spans="1:11" ht="42" customHeight="1">
      <c r="A4795" s="2" t="s">
        <v>11181</v>
      </c>
      <c r="B4795" s="2" t="s">
        <v>11182</v>
      </c>
      <c r="C4795" s="2" t="s">
        <v>144</v>
      </c>
      <c r="D4795" s="2" t="s">
        <v>18</v>
      </c>
      <c r="E4795" s="5">
        <v>-31364</v>
      </c>
      <c r="F4795" s="3" t="s">
        <v>594</v>
      </c>
      <c r="G4795" s="3" t="s">
        <v>52</v>
      </c>
      <c r="H4795" s="2" t="s">
        <v>62</v>
      </c>
      <c r="I4795" s="2" t="s">
        <v>11183</v>
      </c>
      <c r="J4795" s="3" t="str">
        <f>HYPERLINK("https://www.boe.es/gazeta/dias/1814/02/15/pdfs/GRE-1814-21.pdf#page=8","Abrir facsímil")</f>
        <v>Abrir facsímil</v>
      </c>
      <c r="K4795" s="3" t="s">
        <v>64</v>
      </c>
    </row>
    <row r="4796" spans="1:11" ht="42" customHeight="1">
      <c r="A4796" s="2" t="s">
        <v>11184</v>
      </c>
      <c r="B4796" s="2" t="s">
        <v>11185</v>
      </c>
      <c r="C4796" s="2" t="s">
        <v>26</v>
      </c>
      <c r="D4796" s="2" t="s">
        <v>27</v>
      </c>
      <c r="E4796" s="5">
        <v>-31119</v>
      </c>
      <c r="F4796" s="3" t="s">
        <v>136</v>
      </c>
      <c r="G4796" s="3" t="s">
        <v>4129</v>
      </c>
      <c r="H4796" s="2" t="s">
        <v>62</v>
      </c>
      <c r="I4796" s="2" t="s">
        <v>11186</v>
      </c>
      <c r="J4796" s="3" t="str">
        <f>HYPERLINK("https://www.boe.es/gazeta/dias/1814/10/18/pdfs/GMD-1814-140.pdf#page=8","Abrir facsímil")</f>
        <v>Abrir facsímil</v>
      </c>
      <c r="K4796" s="3" t="s">
        <v>64</v>
      </c>
    </row>
    <row r="4797" spans="1:11" ht="42" customHeight="1">
      <c r="A4797" s="2" t="s">
        <v>11187</v>
      </c>
      <c r="B4797" s="2" t="s">
        <v>11188</v>
      </c>
      <c r="C4797" s="2" t="s">
        <v>38</v>
      </c>
      <c r="D4797" s="2" t="s">
        <v>39</v>
      </c>
      <c r="E4797" s="5">
        <v>-31119</v>
      </c>
      <c r="F4797" s="3" t="s">
        <v>136</v>
      </c>
      <c r="G4797" s="3" t="s">
        <v>4129</v>
      </c>
      <c r="H4797" s="2" t="s">
        <v>62</v>
      </c>
      <c r="I4797" s="2" t="s">
        <v>11189</v>
      </c>
      <c r="J4797" s="3" t="str">
        <f>HYPERLINK("https://www.boe.es/gazeta/dias/1814/10/18/pdfs/GMD-1814-140.pdf#page=8","Abrir facsímil")</f>
        <v>Abrir facsímil</v>
      </c>
      <c r="K4797" s="3" t="s">
        <v>64</v>
      </c>
    </row>
    <row r="4798" spans="1:11" ht="42" customHeight="1">
      <c r="A4798" s="2" t="s">
        <v>11190</v>
      </c>
      <c r="B4798" s="2" t="s">
        <v>11191</v>
      </c>
      <c r="C4798" s="2" t="s">
        <v>26</v>
      </c>
      <c r="D4798" s="2" t="s">
        <v>27</v>
      </c>
      <c r="E4798" s="5">
        <v>-31215</v>
      </c>
      <c r="F4798" s="3" t="s">
        <v>372</v>
      </c>
      <c r="G4798" s="3" t="s">
        <v>322</v>
      </c>
      <c r="H4798" s="2" t="s">
        <v>62</v>
      </c>
      <c r="I4798" s="2" t="s">
        <v>11192</v>
      </c>
      <c r="J4798" s="3" t="str">
        <f>HYPERLINK("https://www.boe.es/gazeta/dias/1814/07/14/pdfs/GMD-1814-98.pdf#page=12","Abrir facsímil")</f>
        <v>Abrir facsímil</v>
      </c>
      <c r="K4798" s="3" t="s">
        <v>64</v>
      </c>
    </row>
    <row r="4799" spans="1:11" ht="42" customHeight="1">
      <c r="A4799" s="2" t="s">
        <v>11193</v>
      </c>
      <c r="B4799" s="2" t="s">
        <v>11194</v>
      </c>
      <c r="C4799" s="2" t="s">
        <v>26</v>
      </c>
      <c r="D4799" s="2" t="s">
        <v>27</v>
      </c>
      <c r="E4799" s="5">
        <v>-31056</v>
      </c>
      <c r="F4799" s="3" t="s">
        <v>540</v>
      </c>
      <c r="G4799" s="3" t="s">
        <v>41</v>
      </c>
      <c r="H4799" s="2" t="s">
        <v>62</v>
      </c>
      <c r="I4799" s="2" t="s">
        <v>11195</v>
      </c>
      <c r="J4799" s="3" t="str">
        <f>HYPERLINK("https://www.boe.es/gazeta/dias/1814/12/20/pdfs/GMD-1814-168.pdf#page=4","Abrir facsímil")</f>
        <v>Abrir facsímil</v>
      </c>
      <c r="K4799" s="3" t="s">
        <v>64</v>
      </c>
    </row>
    <row r="4800" spans="1:11" ht="42" customHeight="1">
      <c r="A4800" s="2" t="s">
        <v>11196</v>
      </c>
      <c r="B4800" s="2" t="s">
        <v>11197</v>
      </c>
      <c r="C4800" s="2" t="s">
        <v>38</v>
      </c>
      <c r="D4800" s="2" t="s">
        <v>39</v>
      </c>
      <c r="E4800" s="5">
        <v>-31322</v>
      </c>
      <c r="F4800" s="3" t="s">
        <v>114</v>
      </c>
      <c r="G4800" s="3" t="s">
        <v>41</v>
      </c>
      <c r="H4800" s="2" t="s">
        <v>62</v>
      </c>
      <c r="I4800" s="2" t="s">
        <v>11198</v>
      </c>
      <c r="J4800" s="3" t="str">
        <f>HYPERLINK("https://www.boe.es/gazeta/dias/1814/03/29/pdfs/GRE-1814-44.pdf#page=4","Abrir facsímil")</f>
        <v>Abrir facsímil</v>
      </c>
      <c r="K4800" s="3" t="s">
        <v>64</v>
      </c>
    </row>
    <row r="4801" spans="1:11" ht="42" customHeight="1">
      <c r="A4801" s="2" t="s">
        <v>11199</v>
      </c>
      <c r="B4801" s="2" t="s">
        <v>11200</v>
      </c>
      <c r="C4801" s="2" t="s">
        <v>38</v>
      </c>
      <c r="D4801" s="2" t="s">
        <v>314</v>
      </c>
      <c r="E4801" s="5">
        <v>-31296</v>
      </c>
      <c r="F4801" s="3" t="s">
        <v>315</v>
      </c>
      <c r="G4801" s="3" t="s">
        <v>57</v>
      </c>
      <c r="H4801" s="2" t="s">
        <v>62</v>
      </c>
      <c r="I4801" s="2" t="s">
        <v>11201</v>
      </c>
      <c r="J4801" s="3" t="str">
        <f>HYPERLINK("https://www.boe.es/gazeta/dias/1814/04/24/pdfs/GRE-1814-60E.pdf#page=6","Abrir facsímil")</f>
        <v>Abrir facsímil</v>
      </c>
      <c r="K4801" s="3" t="s">
        <v>64</v>
      </c>
    </row>
    <row r="4802" spans="1:11" ht="42" customHeight="1">
      <c r="A4802" s="2" t="s">
        <v>11199</v>
      </c>
      <c r="B4802" s="2" t="s">
        <v>11200</v>
      </c>
      <c r="C4802" s="2" t="s">
        <v>38</v>
      </c>
      <c r="D4802" s="2" t="s">
        <v>314</v>
      </c>
      <c r="E4802" s="5">
        <v>-31296</v>
      </c>
      <c r="F4802" s="3" t="s">
        <v>315</v>
      </c>
      <c r="G4802" s="3" t="s">
        <v>20</v>
      </c>
      <c r="H4802" s="2" t="s">
        <v>62</v>
      </c>
      <c r="I4802" s="2" t="s">
        <v>11202</v>
      </c>
      <c r="J4802" s="3" t="str">
        <f>HYPERLINK("https://www.boe.es/gazeta/dias/1814/04/24/pdfs/GRE-1814-60E.pdf#page=7","Abrir facsímil")</f>
        <v>Abrir facsímil</v>
      </c>
      <c r="K4802" s="3" t="s">
        <v>64</v>
      </c>
    </row>
    <row r="4803" spans="1:11" ht="42" customHeight="1">
      <c r="A4803" s="2" t="s">
        <v>11203</v>
      </c>
      <c r="B4803" s="2" t="s">
        <v>11204</v>
      </c>
      <c r="C4803" s="2" t="s">
        <v>38</v>
      </c>
      <c r="D4803" s="2" t="s">
        <v>39</v>
      </c>
      <c r="E4803" s="5">
        <v>-31322</v>
      </c>
      <c r="F4803" s="3" t="s">
        <v>114</v>
      </c>
      <c r="G4803" s="3" t="s">
        <v>20</v>
      </c>
      <c r="H4803" s="2" t="s">
        <v>62</v>
      </c>
      <c r="I4803" s="2" t="s">
        <v>11205</v>
      </c>
      <c r="J4803" s="3" t="str">
        <f>HYPERLINK("https://www.boe.es/gazeta/dias/1814/03/29/pdfs/GRE-1814-44.pdf#page=7","Abrir facsímil")</f>
        <v>Abrir facsímil</v>
      </c>
      <c r="K4803" s="3" t="s">
        <v>64</v>
      </c>
    </row>
    <row r="4804" spans="1:11" ht="42" customHeight="1">
      <c r="A4804" s="2" t="s">
        <v>11206</v>
      </c>
      <c r="B4804" s="2" t="s">
        <v>11207</v>
      </c>
      <c r="C4804" s="2" t="s">
        <v>38</v>
      </c>
      <c r="D4804" s="2" t="s">
        <v>39</v>
      </c>
      <c r="E4804" s="5">
        <v>-31087</v>
      </c>
      <c r="F4804" s="3" t="s">
        <v>118</v>
      </c>
      <c r="G4804" s="3" t="s">
        <v>3730</v>
      </c>
      <c r="H4804" s="2" t="s">
        <v>62</v>
      </c>
      <c r="I4804" s="2" t="s">
        <v>11208</v>
      </c>
      <c r="J4804" s="3" t="str">
        <f>HYPERLINK("https://www.boe.es/gazeta/dias/1814/11/19/pdfs/GMD-1814-154.pdf#page=7","Abrir facsímil")</f>
        <v>Abrir facsímil</v>
      </c>
      <c r="K4804" s="3" t="s">
        <v>64</v>
      </c>
    </row>
    <row r="4805" spans="1:11" ht="42" customHeight="1">
      <c r="A4805" s="2" t="s">
        <v>11209</v>
      </c>
      <c r="B4805" s="2" t="s">
        <v>11210</v>
      </c>
      <c r="C4805" s="2" t="s">
        <v>17</v>
      </c>
      <c r="D4805" s="2" t="s">
        <v>18</v>
      </c>
      <c r="E4805" s="5">
        <v>-31084</v>
      </c>
      <c r="F4805" s="3" t="s">
        <v>282</v>
      </c>
      <c r="G4805" s="3" t="s">
        <v>52</v>
      </c>
      <c r="H4805" s="2" t="s">
        <v>62</v>
      </c>
      <c r="I4805" s="2" t="s">
        <v>11211</v>
      </c>
      <c r="J4805" s="3" t="str">
        <f>HYPERLINK("https://www.boe.es/gazeta/dias/1814/11/22/pdfs/GMD-1814-155.pdf#page=8","Abrir facsímil")</f>
        <v>Abrir facsímil</v>
      </c>
      <c r="K4805" s="3" t="s">
        <v>64</v>
      </c>
    </row>
    <row r="4806" spans="1:11" ht="42" customHeight="1">
      <c r="A4806" s="2" t="s">
        <v>11212</v>
      </c>
      <c r="B4806" s="2" t="s">
        <v>11213</v>
      </c>
      <c r="C4806" s="2" t="s">
        <v>26</v>
      </c>
      <c r="D4806" s="2" t="s">
        <v>27</v>
      </c>
      <c r="E4806" s="5">
        <v>-31136</v>
      </c>
      <c r="F4806" s="3" t="s">
        <v>956</v>
      </c>
      <c r="G4806" s="3" t="s">
        <v>957</v>
      </c>
      <c r="H4806" s="2" t="s">
        <v>62</v>
      </c>
      <c r="I4806" s="2" t="s">
        <v>11214</v>
      </c>
      <c r="J4806" s="3" t="str">
        <f>HYPERLINK("https://www.boe.es/gazeta/dias/1814/10/01/pdfs/GMD-1814-133.pdf#page=8","Abrir facsímil")</f>
        <v>Abrir facsímil</v>
      </c>
      <c r="K4806" s="3" t="s">
        <v>64</v>
      </c>
    </row>
    <row r="4807" spans="1:11" ht="42" customHeight="1">
      <c r="A4807" s="2" t="s">
        <v>11215</v>
      </c>
      <c r="B4807" s="2" t="s">
        <v>11216</v>
      </c>
      <c r="C4807" s="2" t="s">
        <v>26</v>
      </c>
      <c r="D4807" s="2" t="s">
        <v>27</v>
      </c>
      <c r="E4807" s="5">
        <v>-31250</v>
      </c>
      <c r="F4807" s="3" t="s">
        <v>177</v>
      </c>
      <c r="G4807" s="3" t="s">
        <v>52</v>
      </c>
      <c r="H4807" s="2" t="s">
        <v>62</v>
      </c>
      <c r="I4807" s="2" t="s">
        <v>11217</v>
      </c>
      <c r="J4807" s="3" t="str">
        <f>HYPERLINK("https://www.boe.es/gazeta/dias/1814/06/09/pdfs/GMD-1814-83.pdf#page=8","Abrir facsímil")</f>
        <v>Abrir facsímil</v>
      </c>
      <c r="K4807" s="3" t="s">
        <v>64</v>
      </c>
    </row>
    <row r="4808" spans="1:11" ht="42" customHeight="1">
      <c r="A4808" s="2" t="s">
        <v>11218</v>
      </c>
      <c r="B4808" s="2" t="s">
        <v>11219</v>
      </c>
      <c r="C4808" s="2" t="s">
        <v>26</v>
      </c>
      <c r="D4808" s="2" t="s">
        <v>314</v>
      </c>
      <c r="E4808" s="5">
        <v>-31278</v>
      </c>
      <c r="F4808" s="3" t="s">
        <v>11220</v>
      </c>
      <c r="G4808" s="3" t="s">
        <v>87</v>
      </c>
      <c r="H4808" s="2" t="s">
        <v>62</v>
      </c>
      <c r="I4808" s="2" t="s">
        <v>11221</v>
      </c>
      <c r="J4808" s="3" t="str">
        <f>HYPERLINK("https://www.boe.es/gazeta/dias/1814/05/12/pdfs/GMD-1814-70E.pdf#page=2","Abrir facsímil")</f>
        <v>Abrir facsímil</v>
      </c>
      <c r="K4808" s="3" t="s">
        <v>64</v>
      </c>
    </row>
    <row r="4809" spans="1:11" ht="42" customHeight="1">
      <c r="A4809" s="2" t="s">
        <v>11218</v>
      </c>
      <c r="B4809" s="2" t="s">
        <v>11219</v>
      </c>
      <c r="C4809" s="2" t="s">
        <v>26</v>
      </c>
      <c r="D4809" s="2" t="s">
        <v>27</v>
      </c>
      <c r="E4809" s="5">
        <v>-31245</v>
      </c>
      <c r="F4809" s="3" t="s">
        <v>908</v>
      </c>
      <c r="G4809" s="3" t="s">
        <v>99</v>
      </c>
      <c r="H4809" s="2" t="s">
        <v>62</v>
      </c>
      <c r="I4809" s="2" t="s">
        <v>11222</v>
      </c>
      <c r="J4809" s="3" t="str">
        <f>HYPERLINK("https://www.boe.es/gazeta/dias/1814/06/14/pdfs/GMD-1814-85.pdf#page=5","Abrir facsímil")</f>
        <v>Abrir facsímil</v>
      </c>
      <c r="K4809" s="3" t="s">
        <v>64</v>
      </c>
    </row>
    <row r="4810" spans="1:11" ht="42" customHeight="1">
      <c r="A4810" s="2" t="s">
        <v>11218</v>
      </c>
      <c r="B4810" s="2" t="s">
        <v>11219</v>
      </c>
      <c r="C4810" s="2" t="s">
        <v>17</v>
      </c>
      <c r="D4810" s="2" t="s">
        <v>18</v>
      </c>
      <c r="E4810" s="5">
        <v>-31224</v>
      </c>
      <c r="F4810" s="3" t="s">
        <v>609</v>
      </c>
      <c r="G4810" s="3" t="s">
        <v>322</v>
      </c>
      <c r="H4810" s="2" t="s">
        <v>62</v>
      </c>
      <c r="I4810" s="2" t="s">
        <v>11223</v>
      </c>
      <c r="J4810" s="3" t="str">
        <f>HYPERLINK("https://www.boe.es/gazeta/dias/1814/07/05/pdfs/GMD-1814-94.pdf#page=12","Abrir facsímil")</f>
        <v>Abrir facsímil</v>
      </c>
      <c r="K4810" s="3" t="s">
        <v>64</v>
      </c>
    </row>
    <row r="4811" spans="1:11" ht="42" customHeight="1">
      <c r="A4811" s="2" t="s">
        <v>11218</v>
      </c>
      <c r="B4811" s="2" t="s">
        <v>11219</v>
      </c>
      <c r="C4811" s="2" t="s">
        <v>26</v>
      </c>
      <c r="D4811" s="2" t="s">
        <v>27</v>
      </c>
      <c r="E4811" s="5">
        <v>-31206</v>
      </c>
      <c r="F4811" s="3" t="s">
        <v>1196</v>
      </c>
      <c r="G4811" s="3" t="s">
        <v>99</v>
      </c>
      <c r="H4811" s="2" t="s">
        <v>62</v>
      </c>
      <c r="I4811" s="2" t="s">
        <v>11224</v>
      </c>
      <c r="J4811" s="3" t="str">
        <f>HYPERLINK("https://www.boe.es/gazeta/dias/1814/07/23/pdfs/GMD-1814-102.pdf#page=5","Abrir facsímil")</f>
        <v>Abrir facsímil</v>
      </c>
      <c r="K4811" s="3" t="s">
        <v>64</v>
      </c>
    </row>
    <row r="4812" spans="1:11" ht="42" customHeight="1">
      <c r="A4812" s="2" t="s">
        <v>11218</v>
      </c>
      <c r="B4812" s="2" t="s">
        <v>11219</v>
      </c>
      <c r="C4812" s="2" t="s">
        <v>26</v>
      </c>
      <c r="D4812" s="2" t="s">
        <v>27</v>
      </c>
      <c r="E4812" s="5">
        <v>-31192</v>
      </c>
      <c r="F4812" s="3" t="s">
        <v>388</v>
      </c>
      <c r="G4812" s="3" t="s">
        <v>57</v>
      </c>
      <c r="H4812" s="2" t="s">
        <v>62</v>
      </c>
      <c r="I4812" s="2" t="s">
        <v>11225</v>
      </c>
      <c r="J4812" s="3" t="str">
        <f>HYPERLINK("https://www.boe.es/gazeta/dias/1814/08/06/pdfs/GMD-1814-108.pdf#page=6","Abrir facsímil")</f>
        <v>Abrir facsímil</v>
      </c>
      <c r="K4812" s="3" t="s">
        <v>64</v>
      </c>
    </row>
    <row r="4813" spans="1:11" ht="42" customHeight="1">
      <c r="A4813" s="2" t="s">
        <v>11226</v>
      </c>
      <c r="B4813" s="2" t="s">
        <v>11227</v>
      </c>
      <c r="C4813" s="2" t="s">
        <v>38</v>
      </c>
      <c r="D4813" s="2" t="s">
        <v>314</v>
      </c>
      <c r="E4813" s="5">
        <v>-31296</v>
      </c>
      <c r="F4813" s="3" t="s">
        <v>315</v>
      </c>
      <c r="G4813" s="3" t="s">
        <v>57</v>
      </c>
      <c r="H4813" s="2" t="s">
        <v>62</v>
      </c>
      <c r="I4813" s="2" t="s">
        <v>11228</v>
      </c>
      <c r="J4813" s="3" t="str">
        <f>HYPERLINK("https://www.boe.es/gazeta/dias/1814/04/24/pdfs/GRE-1814-60E.pdf#page=6","Abrir facsímil")</f>
        <v>Abrir facsímil</v>
      </c>
      <c r="K4813" s="3" t="s">
        <v>64</v>
      </c>
    </row>
    <row r="4814" spans="1:11" ht="42" customHeight="1">
      <c r="A4814" s="2" t="s">
        <v>11229</v>
      </c>
      <c r="B4814" s="2" t="s">
        <v>11230</v>
      </c>
      <c r="C4814" s="2" t="s">
        <v>17</v>
      </c>
      <c r="D4814" s="2" t="s">
        <v>18</v>
      </c>
      <c r="E4814" s="5">
        <v>-31322</v>
      </c>
      <c r="F4814" s="3" t="s">
        <v>114</v>
      </c>
      <c r="G4814" s="3" t="s">
        <v>52</v>
      </c>
      <c r="H4814" s="2" t="s">
        <v>62</v>
      </c>
      <c r="I4814" s="2" t="s">
        <v>11231</v>
      </c>
      <c r="J4814" s="3" t="str">
        <f>HYPERLINK("https://www.boe.es/gazeta/dias/1814/03/29/pdfs/GRE-1814-44.pdf#page=8","Abrir facsímil")</f>
        <v>Abrir facsímil</v>
      </c>
      <c r="K4814" s="3" t="s">
        <v>64</v>
      </c>
    </row>
    <row r="4815" spans="1:11" ht="42" customHeight="1">
      <c r="A4815" s="2" t="s">
        <v>11232</v>
      </c>
      <c r="B4815" s="2" t="s">
        <v>11233</v>
      </c>
      <c r="C4815" s="2" t="s">
        <v>17</v>
      </c>
      <c r="D4815" s="2" t="s">
        <v>18</v>
      </c>
      <c r="E4815" s="5">
        <v>-31154</v>
      </c>
      <c r="F4815" s="3" t="s">
        <v>688</v>
      </c>
      <c r="G4815" s="3" t="s">
        <v>831</v>
      </c>
      <c r="H4815" s="2" t="s">
        <v>62</v>
      </c>
      <c r="I4815" s="2" t="s">
        <v>11234</v>
      </c>
      <c r="J4815" s="3" t="str">
        <f>HYPERLINK("https://www.boe.es/gazeta/dias/1814/09/13/pdfs/GMD-1814-125.pdf#page=3","Abrir facsímil")</f>
        <v>Abrir facsímil</v>
      </c>
      <c r="K4815" s="3" t="s">
        <v>64</v>
      </c>
    </row>
    <row r="4816" spans="1:11" ht="42" customHeight="1">
      <c r="A4816" s="2" t="s">
        <v>11235</v>
      </c>
      <c r="B4816" s="2" t="s">
        <v>11236</v>
      </c>
      <c r="C4816" s="2" t="s">
        <v>38</v>
      </c>
      <c r="D4816" s="2" t="s">
        <v>39</v>
      </c>
      <c r="E4816" s="5">
        <v>-31124</v>
      </c>
      <c r="F4816" s="3" t="s">
        <v>383</v>
      </c>
      <c r="G4816" s="3" t="s">
        <v>384</v>
      </c>
      <c r="H4816" s="2" t="s">
        <v>62</v>
      </c>
      <c r="I4816" s="2" t="s">
        <v>11237</v>
      </c>
      <c r="J4816" s="3" t="str">
        <f>HYPERLINK("https://www.boe.es/gazeta/dias/1814/10/13/pdfs/GMD-1814-138.pdf#page=11","Abrir facsímil")</f>
        <v>Abrir facsímil</v>
      </c>
      <c r="K4816" s="3" t="s">
        <v>64</v>
      </c>
    </row>
    <row r="4817" spans="1:11" ht="42" customHeight="1">
      <c r="A4817" s="2" t="s">
        <v>11238</v>
      </c>
      <c r="B4817" s="2" t="s">
        <v>11238</v>
      </c>
      <c r="C4817" s="2" t="s">
        <v>38</v>
      </c>
      <c r="D4817" s="2" t="s">
        <v>39</v>
      </c>
      <c r="E4817" s="5">
        <v>-31339</v>
      </c>
      <c r="F4817" s="3" t="s">
        <v>641</v>
      </c>
      <c r="G4817" s="3" t="s">
        <v>11239</v>
      </c>
      <c r="H4817" s="2" t="s">
        <v>62</v>
      </c>
      <c r="I4817" s="2" t="s">
        <v>11240</v>
      </c>
      <c r="J4817" s="3" t="str">
        <f>HYPERLINK("https://www.boe.es/gazeta/dias/1814/03/12/pdfs/GRE-1814-35.pdf#page=2","Abrir facsímil")</f>
        <v>Abrir facsímil</v>
      </c>
      <c r="K4817" s="3" t="s">
        <v>64</v>
      </c>
    </row>
    <row r="4818" spans="1:11" ht="42" customHeight="1">
      <c r="A4818" s="2" t="s">
        <v>11238</v>
      </c>
      <c r="B4818" s="2" t="s">
        <v>11238</v>
      </c>
      <c r="C4818" s="2" t="s">
        <v>38</v>
      </c>
      <c r="D4818" s="2" t="s">
        <v>39</v>
      </c>
      <c r="E4818" s="5">
        <v>-31339</v>
      </c>
      <c r="F4818" s="3" t="s">
        <v>641</v>
      </c>
      <c r="G4818" s="3" t="s">
        <v>107</v>
      </c>
      <c r="H4818" s="2" t="s">
        <v>62</v>
      </c>
      <c r="I4818" s="2" t="s">
        <v>11241</v>
      </c>
      <c r="J4818" s="3" t="str">
        <f>HYPERLINK("https://www.boe.es/gazeta/dias/1814/03/12/pdfs/GRE-1814-35.pdf#page=1","Abrir facsímil")</f>
        <v>Abrir facsímil</v>
      </c>
      <c r="K4818" s="3" t="s">
        <v>64</v>
      </c>
    </row>
    <row r="4819" spans="1:11" ht="42" customHeight="1">
      <c r="A4819" s="2" t="s">
        <v>11242</v>
      </c>
      <c r="B4819" s="2" t="s">
        <v>11242</v>
      </c>
      <c r="C4819" s="2" t="s">
        <v>38</v>
      </c>
      <c r="D4819" s="2" t="s">
        <v>314</v>
      </c>
      <c r="E4819" s="5">
        <v>-31294</v>
      </c>
      <c r="F4819" s="3" t="s">
        <v>2505</v>
      </c>
      <c r="G4819" s="3" t="s">
        <v>107</v>
      </c>
      <c r="H4819" s="2" t="s">
        <v>62</v>
      </c>
      <c r="I4819" s="2" t="s">
        <v>11243</v>
      </c>
      <c r="J4819" s="3" t="str">
        <f>HYPERLINK("https://www.boe.es/gazeta/dias/1814/04/26/pdfs/GRE-1814-62E.pdf#page=1","Abrir facsímil")</f>
        <v>Abrir facsímil</v>
      </c>
      <c r="K4819" s="3" t="s">
        <v>64</v>
      </c>
    </row>
    <row r="4820" spans="1:11" ht="42" customHeight="1">
      <c r="A4820" s="2" t="s">
        <v>11244</v>
      </c>
      <c r="B4820" s="2" t="s">
        <v>11245</v>
      </c>
      <c r="C4820" s="2" t="s">
        <v>38</v>
      </c>
      <c r="D4820" s="2" t="s">
        <v>39</v>
      </c>
      <c r="E4820" s="5">
        <v>-31250</v>
      </c>
      <c r="F4820" s="3" t="s">
        <v>177</v>
      </c>
      <c r="G4820" s="3" t="s">
        <v>52</v>
      </c>
      <c r="H4820" s="2" t="s">
        <v>62</v>
      </c>
      <c r="I4820" s="2" t="s">
        <v>11246</v>
      </c>
      <c r="J4820" s="3" t="str">
        <f>HYPERLINK("https://www.boe.es/gazeta/dias/1814/06/09/pdfs/GMD-1814-83.pdf#page=8","Abrir facsímil")</f>
        <v>Abrir facsímil</v>
      </c>
      <c r="K4820" s="3" t="s">
        <v>64</v>
      </c>
    </row>
    <row r="4821" spans="1:11" ht="42" customHeight="1">
      <c r="A4821" s="2" t="s">
        <v>11247</v>
      </c>
      <c r="B4821" s="2" t="s">
        <v>11247</v>
      </c>
      <c r="C4821" s="2" t="s">
        <v>38</v>
      </c>
      <c r="D4821" s="2" t="s">
        <v>39</v>
      </c>
      <c r="E4821" s="5">
        <v>-31213</v>
      </c>
      <c r="F4821" s="3" t="s">
        <v>276</v>
      </c>
      <c r="G4821" s="3" t="s">
        <v>41</v>
      </c>
      <c r="H4821" s="2" t="s">
        <v>62</v>
      </c>
      <c r="I4821" s="2" t="s">
        <v>11248</v>
      </c>
      <c r="J4821" s="3" t="str">
        <f>HYPERLINK("https://www.boe.es/gazeta/dias/1814/07/16/pdfs/GMD-1814-99.pdf#page=4","Abrir facsímil")</f>
        <v>Abrir facsímil</v>
      </c>
      <c r="K4821" s="3" t="s">
        <v>64</v>
      </c>
    </row>
    <row r="4822" spans="1:11" ht="42" customHeight="1">
      <c r="A4822" s="2" t="s">
        <v>11249</v>
      </c>
      <c r="B4822" s="2" t="s">
        <v>11249</v>
      </c>
      <c r="C4822" s="2" t="s">
        <v>144</v>
      </c>
      <c r="D4822" s="2" t="s">
        <v>18</v>
      </c>
      <c r="E4822" s="5">
        <v>-31290</v>
      </c>
      <c r="F4822" s="3" t="s">
        <v>488</v>
      </c>
      <c r="G4822" s="3" t="s">
        <v>5445</v>
      </c>
      <c r="H4822" s="2" t="s">
        <v>62</v>
      </c>
      <c r="I4822" s="2" t="s">
        <v>11250</v>
      </c>
      <c r="J4822" s="3" t="str">
        <f>HYPERLINK("https://www.boe.es/gazeta/dias/1814/04/30/pdfs/GRE-1814-64.pdf#page=4","Abrir facsímil")</f>
        <v>Abrir facsímil</v>
      </c>
      <c r="K4822" s="3" t="s">
        <v>64</v>
      </c>
    </row>
    <row r="4823" spans="1:11" ht="42" customHeight="1">
      <c r="A4823" s="2" t="s">
        <v>11251</v>
      </c>
      <c r="B4823" s="2" t="s">
        <v>11251</v>
      </c>
      <c r="C4823" s="2" t="s">
        <v>38</v>
      </c>
      <c r="D4823" s="2" t="s">
        <v>39</v>
      </c>
      <c r="E4823" s="5">
        <v>-31301</v>
      </c>
      <c r="F4823" s="3" t="s">
        <v>81</v>
      </c>
      <c r="G4823" s="3" t="s">
        <v>87</v>
      </c>
      <c r="H4823" s="2" t="s">
        <v>62</v>
      </c>
      <c r="I4823" s="2" t="s">
        <v>11252</v>
      </c>
      <c r="J4823" s="3" t="str">
        <f>HYPERLINK("https://www.boe.es/gazeta/dias/1814/04/19/pdfs/GRE-1814-56.pdf#page=2","Abrir facsímil")</f>
        <v>Abrir facsímil</v>
      </c>
      <c r="K4823" s="3" t="s">
        <v>64</v>
      </c>
    </row>
    <row r="4824" spans="1:11" ht="42" customHeight="1">
      <c r="A4824" s="2" t="s">
        <v>11253</v>
      </c>
      <c r="B4824" s="2" t="s">
        <v>11253</v>
      </c>
      <c r="C4824" s="2" t="s">
        <v>38</v>
      </c>
      <c r="D4824" s="2" t="s">
        <v>39</v>
      </c>
      <c r="E4824" s="5">
        <v>-31301</v>
      </c>
      <c r="F4824" s="3" t="s">
        <v>81</v>
      </c>
      <c r="G4824" s="3" t="s">
        <v>87</v>
      </c>
      <c r="H4824" s="2" t="s">
        <v>62</v>
      </c>
      <c r="I4824" s="2" t="s">
        <v>11254</v>
      </c>
      <c r="J4824" s="3" t="str">
        <f>HYPERLINK("https://www.boe.es/gazeta/dias/1814/04/19/pdfs/GRE-1814-56.pdf#page=2","Abrir facsímil")</f>
        <v>Abrir facsímil</v>
      </c>
      <c r="K4824" s="3" t="s">
        <v>64</v>
      </c>
    </row>
    <row r="4825" spans="1:11" ht="42" customHeight="1">
      <c r="A4825" s="2" t="s">
        <v>11253</v>
      </c>
      <c r="B4825" s="2" t="s">
        <v>11253</v>
      </c>
      <c r="C4825" s="2" t="s">
        <v>38</v>
      </c>
      <c r="D4825" s="2" t="s">
        <v>39</v>
      </c>
      <c r="E4825" s="5">
        <v>-31301</v>
      </c>
      <c r="F4825" s="3" t="s">
        <v>81</v>
      </c>
      <c r="G4825" s="3" t="s">
        <v>82</v>
      </c>
      <c r="H4825" s="2" t="s">
        <v>62</v>
      </c>
      <c r="I4825" s="2" t="s">
        <v>11255</v>
      </c>
      <c r="J4825" s="3" t="str">
        <f>HYPERLINK("https://www.boe.es/gazeta/dias/1814/04/19/pdfs/GRE-1814-56.pdf#page=3","Abrir facsímil")</f>
        <v>Abrir facsímil</v>
      </c>
      <c r="K4825" s="3" t="s">
        <v>64</v>
      </c>
    </row>
    <row r="4826" spans="1:11" ht="42" customHeight="1">
      <c r="A4826" s="2" t="s">
        <v>11253</v>
      </c>
      <c r="B4826" s="2" t="s">
        <v>11253</v>
      </c>
      <c r="C4826" s="2" t="s">
        <v>38</v>
      </c>
      <c r="D4826" s="2" t="s">
        <v>39</v>
      </c>
      <c r="E4826" s="5">
        <v>-31301</v>
      </c>
      <c r="F4826" s="3" t="s">
        <v>81</v>
      </c>
      <c r="G4826" s="3" t="s">
        <v>41</v>
      </c>
      <c r="H4826" s="2" t="s">
        <v>62</v>
      </c>
      <c r="I4826" s="2" t="s">
        <v>11256</v>
      </c>
      <c r="J4826" s="3" t="str">
        <f>HYPERLINK("https://www.boe.es/gazeta/dias/1814/04/19/pdfs/GRE-1814-56.pdf#page=4","Abrir facsímil")</f>
        <v>Abrir facsímil</v>
      </c>
      <c r="K4826" s="3" t="s">
        <v>64</v>
      </c>
    </row>
    <row r="4827" spans="1:11" ht="42" customHeight="1">
      <c r="A4827" s="2" t="s">
        <v>11257</v>
      </c>
      <c r="B4827" s="2" t="s">
        <v>11257</v>
      </c>
      <c r="C4827" s="2" t="s">
        <v>38</v>
      </c>
      <c r="D4827" s="2" t="s">
        <v>39</v>
      </c>
      <c r="E4827" s="5">
        <v>-31395</v>
      </c>
      <c r="F4827" s="3" t="s">
        <v>662</v>
      </c>
      <c r="G4827" s="3" t="s">
        <v>20</v>
      </c>
      <c r="H4827" s="2" t="s">
        <v>62</v>
      </c>
      <c r="I4827" s="2" t="s">
        <v>11258</v>
      </c>
      <c r="J4827" s="3" t="str">
        <f>HYPERLINK("https://www.boe.es/gazeta/dias/1814/01/15/pdfs/GRE-1814-8.pdf#page=7","Abrir facsímil")</f>
        <v>Abrir facsímil</v>
      </c>
      <c r="K4827" s="3" t="s">
        <v>64</v>
      </c>
    </row>
    <row r="4828" spans="1:11" ht="42" customHeight="1">
      <c r="A4828" s="2" t="s">
        <v>11259</v>
      </c>
      <c r="B4828" s="2" t="s">
        <v>11259</v>
      </c>
      <c r="C4828" s="2" t="s">
        <v>38</v>
      </c>
      <c r="D4828" s="2" t="s">
        <v>39</v>
      </c>
      <c r="E4828" s="5">
        <v>-31166</v>
      </c>
      <c r="F4828" s="3" t="s">
        <v>2799</v>
      </c>
      <c r="G4828" s="3" t="s">
        <v>107</v>
      </c>
      <c r="H4828" s="2" t="s">
        <v>62</v>
      </c>
      <c r="I4828" s="2" t="s">
        <v>11260</v>
      </c>
      <c r="J4828" s="3" t="str">
        <f>HYPERLINK("https://www.boe.es/gazeta/dias/1814/09/01/pdfs/GMD-1814-119.pdf#page=1","Abrir facsímil")</f>
        <v>Abrir facsímil</v>
      </c>
      <c r="K4828" s="3" t="s">
        <v>64</v>
      </c>
    </row>
    <row r="4829" spans="1:11" ht="42" customHeight="1">
      <c r="A4829" s="2" t="s">
        <v>11261</v>
      </c>
      <c r="B4829" s="2" t="s">
        <v>11261</v>
      </c>
      <c r="C4829" s="2" t="s">
        <v>38</v>
      </c>
      <c r="D4829" s="2" t="s">
        <v>39</v>
      </c>
      <c r="E4829" s="5">
        <v>-31301</v>
      </c>
      <c r="F4829" s="3" t="s">
        <v>81</v>
      </c>
      <c r="G4829" s="3" t="s">
        <v>82</v>
      </c>
      <c r="H4829" s="2" t="s">
        <v>62</v>
      </c>
      <c r="I4829" s="2" t="s">
        <v>11262</v>
      </c>
      <c r="J4829" s="3" t="str">
        <f>HYPERLINK("https://www.boe.es/gazeta/dias/1814/04/19/pdfs/GRE-1814-56.pdf#page=3","Abrir facsímil")</f>
        <v>Abrir facsímil</v>
      </c>
      <c r="K4829" s="3" t="s">
        <v>64</v>
      </c>
    </row>
    <row r="4830" spans="1:11" ht="42" customHeight="1">
      <c r="A4830" s="2" t="s">
        <v>11263</v>
      </c>
      <c r="B4830" s="2" t="s">
        <v>11264</v>
      </c>
      <c r="C4830" s="2" t="s">
        <v>38</v>
      </c>
      <c r="D4830" s="2" t="s">
        <v>39</v>
      </c>
      <c r="E4830" s="5">
        <v>-31341</v>
      </c>
      <c r="F4830" s="3" t="s">
        <v>360</v>
      </c>
      <c r="G4830" s="3" t="s">
        <v>41</v>
      </c>
      <c r="H4830" s="2" t="s">
        <v>62</v>
      </c>
      <c r="I4830" s="2" t="s">
        <v>11265</v>
      </c>
      <c r="J4830" s="3" t="str">
        <f>HYPERLINK("https://www.boe.es/gazeta/dias/1814/03/10/pdfs/GRE-1814-33.pdf#page=4","Abrir facsímil")</f>
        <v>Abrir facsímil</v>
      </c>
      <c r="K4830" s="3" t="s">
        <v>64</v>
      </c>
    </row>
    <row r="4831" spans="1:11" ht="42" customHeight="1">
      <c r="A4831" s="2" t="s">
        <v>11266</v>
      </c>
      <c r="B4831" s="2" t="s">
        <v>11267</v>
      </c>
      <c r="C4831" s="2" t="s">
        <v>38</v>
      </c>
      <c r="D4831" s="2" t="s">
        <v>39</v>
      </c>
      <c r="E4831" s="5">
        <v>-31395</v>
      </c>
      <c r="F4831" s="3" t="s">
        <v>662</v>
      </c>
      <c r="G4831" s="3" t="s">
        <v>41</v>
      </c>
      <c r="H4831" s="2" t="s">
        <v>62</v>
      </c>
      <c r="I4831" s="2" t="s">
        <v>11268</v>
      </c>
      <c r="J4831" s="3" t="str">
        <f>HYPERLINK("https://www.boe.es/gazeta/dias/1814/01/15/pdfs/GRE-1814-8.pdf#page=4","Abrir facsímil")</f>
        <v>Abrir facsímil</v>
      </c>
      <c r="K4831" s="3" t="s">
        <v>64</v>
      </c>
    </row>
    <row r="4832" spans="1:11" ht="42" customHeight="1">
      <c r="A4832" s="2" t="s">
        <v>11269</v>
      </c>
      <c r="B4832" s="2" t="s">
        <v>11270</v>
      </c>
      <c r="C4832" s="2" t="s">
        <v>309</v>
      </c>
      <c r="D4832" s="2" t="s">
        <v>18</v>
      </c>
      <c r="E4832" s="5">
        <v>-31292</v>
      </c>
      <c r="F4832" s="3" t="s">
        <v>557</v>
      </c>
      <c r="G4832" s="3" t="s">
        <v>52</v>
      </c>
      <c r="H4832" s="2" t="s">
        <v>62</v>
      </c>
      <c r="I4832" s="2" t="s">
        <v>11271</v>
      </c>
      <c r="J4832" s="3" t="str">
        <f>HYPERLINK("https://www.boe.es/gazeta/dias/1814/04/28/pdfs/GRE-1814-63.pdf#page=8","Abrir facsímil")</f>
        <v>Abrir facsímil</v>
      </c>
      <c r="K4832" s="3" t="s">
        <v>64</v>
      </c>
    </row>
    <row r="4833" spans="1:11" ht="42" customHeight="1">
      <c r="A4833" s="2" t="s">
        <v>11272</v>
      </c>
      <c r="B4833" s="2" t="s">
        <v>11273</v>
      </c>
      <c r="C4833" s="2" t="s">
        <v>26</v>
      </c>
      <c r="D4833" s="2" t="s">
        <v>27</v>
      </c>
      <c r="E4833" s="5">
        <v>-31327</v>
      </c>
      <c r="F4833" s="3" t="s">
        <v>180</v>
      </c>
      <c r="G4833" s="3" t="s">
        <v>57</v>
      </c>
      <c r="H4833" s="2" t="s">
        <v>62</v>
      </c>
      <c r="I4833" s="2" t="s">
        <v>11274</v>
      </c>
      <c r="J4833" s="3" t="str">
        <f>HYPERLINK("https://www.boe.es/gazeta/dias/1814/03/24/pdfs/GRE-1814-41.pdf#page=6","Abrir facsímil")</f>
        <v>Abrir facsímil</v>
      </c>
      <c r="K4833" s="3" t="s">
        <v>64</v>
      </c>
    </row>
    <row r="4834" spans="1:11" ht="42" customHeight="1">
      <c r="A4834" s="2" t="s">
        <v>11275</v>
      </c>
      <c r="B4834" s="2" t="s">
        <v>11276</v>
      </c>
      <c r="C4834" s="2" t="s">
        <v>38</v>
      </c>
      <c r="D4834" s="2" t="s">
        <v>39</v>
      </c>
      <c r="E4834" s="5">
        <v>-31257</v>
      </c>
      <c r="F4834" s="3" t="s">
        <v>437</v>
      </c>
      <c r="G4834" s="3" t="s">
        <v>57</v>
      </c>
      <c r="H4834" s="2" t="s">
        <v>62</v>
      </c>
      <c r="I4834" s="2" t="s">
        <v>11277</v>
      </c>
      <c r="J4834" s="3" t="str">
        <f>HYPERLINK("https://www.boe.es/gazeta/dias/1814/06/02/pdfs/GMD-1814-80.pdf#page=6","Abrir facsímil")</f>
        <v>Abrir facsímil</v>
      </c>
      <c r="K4834" s="3" t="s">
        <v>64</v>
      </c>
    </row>
    <row r="4835" spans="1:11" ht="42" customHeight="1">
      <c r="A4835" s="2" t="s">
        <v>11278</v>
      </c>
      <c r="B4835" s="2" t="s">
        <v>11279</v>
      </c>
      <c r="C4835" s="2" t="s">
        <v>144</v>
      </c>
      <c r="D4835" s="2" t="s">
        <v>18</v>
      </c>
      <c r="E4835" s="5">
        <v>-31154</v>
      </c>
      <c r="F4835" s="3" t="s">
        <v>688</v>
      </c>
      <c r="G4835" s="3" t="s">
        <v>52</v>
      </c>
      <c r="H4835" s="2" t="s">
        <v>62</v>
      </c>
      <c r="I4835" s="2" t="s">
        <v>11280</v>
      </c>
      <c r="J4835" s="3" t="str">
        <f>HYPERLINK("https://www.boe.es/gazeta/dias/1814/09/13/pdfs/GMD-1814-125.pdf#page=8","Abrir facsímil")</f>
        <v>Abrir facsímil</v>
      </c>
      <c r="K4835" s="3" t="s">
        <v>64</v>
      </c>
    </row>
    <row r="4836" spans="1:11" ht="42" customHeight="1">
      <c r="A4836" s="2" t="s">
        <v>11281</v>
      </c>
      <c r="B4836" s="2" t="s">
        <v>11282</v>
      </c>
      <c r="C4836" s="2" t="s">
        <v>38</v>
      </c>
      <c r="D4836" s="2" t="s">
        <v>39</v>
      </c>
      <c r="E4836" s="5">
        <v>-31196</v>
      </c>
      <c r="F4836" s="3" t="s">
        <v>828</v>
      </c>
      <c r="G4836" s="3" t="s">
        <v>52</v>
      </c>
      <c r="H4836" s="2" t="s">
        <v>62</v>
      </c>
      <c r="I4836" s="2" t="s">
        <v>11283</v>
      </c>
      <c r="J4836" s="3" t="str">
        <f>HYPERLINK("https://www.boe.es/gazeta/dias/1814/08/02/pdfs/GMD-1814-106.pdf#page=8","Abrir facsímil")</f>
        <v>Abrir facsímil</v>
      </c>
      <c r="K4836" s="3" t="s">
        <v>64</v>
      </c>
    </row>
    <row r="4837" spans="1:11" ht="42" customHeight="1">
      <c r="A4837" s="2" t="s">
        <v>11284</v>
      </c>
      <c r="B4837" s="2" t="s">
        <v>11285</v>
      </c>
      <c r="C4837" s="2" t="s">
        <v>38</v>
      </c>
      <c r="D4837" s="2" t="s">
        <v>39</v>
      </c>
      <c r="E4837" s="5">
        <v>-31124</v>
      </c>
      <c r="F4837" s="3" t="s">
        <v>383</v>
      </c>
      <c r="G4837" s="3" t="s">
        <v>574</v>
      </c>
      <c r="H4837" s="2" t="s">
        <v>62</v>
      </c>
      <c r="I4837" s="2" t="s">
        <v>11286</v>
      </c>
      <c r="J4837" s="3" t="str">
        <f>HYPERLINK("https://www.boe.es/gazeta/dias/1814/10/13/pdfs/GMD-1814-138.pdf#page=10","Abrir facsímil")</f>
        <v>Abrir facsímil</v>
      </c>
      <c r="K4837" s="3" t="s">
        <v>64</v>
      </c>
    </row>
    <row r="4838" spans="1:11" ht="42" customHeight="1">
      <c r="A4838" s="2" t="s">
        <v>11287</v>
      </c>
      <c r="B4838" s="2" t="s">
        <v>11288</v>
      </c>
      <c r="C4838" s="2" t="s">
        <v>26</v>
      </c>
      <c r="D4838" s="2" t="s">
        <v>27</v>
      </c>
      <c r="E4838" s="5">
        <v>-31327</v>
      </c>
      <c r="F4838" s="3" t="s">
        <v>180</v>
      </c>
      <c r="G4838" s="3" t="s">
        <v>233</v>
      </c>
      <c r="H4838" s="2" t="s">
        <v>62</v>
      </c>
      <c r="I4838" s="2" t="s">
        <v>11289</v>
      </c>
      <c r="J4838" s="3" t="str">
        <f>HYPERLINK("https://www.boe.es/gazeta/dias/1814/03/24/pdfs/GRE-1814-41.pdf#page=8","Abrir facsímil")</f>
        <v>Abrir facsímil</v>
      </c>
      <c r="K4838" s="3" t="s">
        <v>64</v>
      </c>
    </row>
    <row r="4839" spans="1:11" ht="42" customHeight="1">
      <c r="A4839" s="2" t="s">
        <v>11290</v>
      </c>
      <c r="B4839" s="2" t="s">
        <v>11291</v>
      </c>
      <c r="C4839" s="2" t="s">
        <v>38</v>
      </c>
      <c r="D4839" s="2" t="s">
        <v>39</v>
      </c>
      <c r="E4839" s="5">
        <v>-31339</v>
      </c>
      <c r="F4839" s="3" t="s">
        <v>641</v>
      </c>
      <c r="G4839" s="3" t="s">
        <v>52</v>
      </c>
      <c r="H4839" s="2" t="s">
        <v>62</v>
      </c>
      <c r="I4839" s="2" t="s">
        <v>11292</v>
      </c>
      <c r="J4839" s="3" t="str">
        <f>HYPERLINK("https://www.boe.es/gazeta/dias/1814/03/12/pdfs/GRE-1814-35.pdf#page=8","Abrir facsímil")</f>
        <v>Abrir facsímil</v>
      </c>
      <c r="K4839" s="3" t="s">
        <v>64</v>
      </c>
    </row>
    <row r="4840" spans="1:11" ht="42" customHeight="1">
      <c r="A4840" s="2" t="s">
        <v>11293</v>
      </c>
      <c r="B4840" s="2" t="s">
        <v>11294</v>
      </c>
      <c r="C4840" s="2" t="s">
        <v>38</v>
      </c>
      <c r="D4840" s="2" t="s">
        <v>39</v>
      </c>
      <c r="E4840" s="5">
        <v>-31063</v>
      </c>
      <c r="F4840" s="3" t="s">
        <v>649</v>
      </c>
      <c r="G4840" s="3" t="s">
        <v>20</v>
      </c>
      <c r="H4840" s="2" t="s">
        <v>21</v>
      </c>
      <c r="I4840" s="2" t="s">
        <v>11295</v>
      </c>
      <c r="J4840" s="3" t="str">
        <f>HYPERLINK("https://www.boe.es/gazeta/dias/1814/12/13/pdfs/GMD-1814-164.pdf#page=7","Abrir facsímil")</f>
        <v>Abrir facsímil</v>
      </c>
      <c r="K4840" s="3" t="s">
        <v>23</v>
      </c>
    </row>
    <row r="4841" spans="1:11" ht="42" customHeight="1">
      <c r="A4841" s="2" t="s">
        <v>11296</v>
      </c>
      <c r="B4841" s="2" t="s">
        <v>11297</v>
      </c>
      <c r="C4841" s="2" t="s">
        <v>38</v>
      </c>
      <c r="D4841" s="2" t="s">
        <v>39</v>
      </c>
      <c r="E4841" s="5">
        <v>-31252</v>
      </c>
      <c r="F4841" s="3" t="s">
        <v>364</v>
      </c>
      <c r="G4841" s="3" t="s">
        <v>82</v>
      </c>
      <c r="H4841" s="2" t="s">
        <v>62</v>
      </c>
      <c r="I4841" s="2" t="s">
        <v>11298</v>
      </c>
      <c r="J4841" s="3" t="str">
        <f>HYPERLINK("https://www.boe.es/gazeta/dias/1814/06/07/pdfs/GMD-1814-82.pdf#page=3","Abrir facsímil")</f>
        <v>Abrir facsímil</v>
      </c>
      <c r="K4841" s="3" t="s">
        <v>64</v>
      </c>
    </row>
    <row r="4842" spans="1:11" ht="42" customHeight="1">
      <c r="A4842" s="2" t="s">
        <v>11299</v>
      </c>
      <c r="B4842" s="2" t="s">
        <v>11299</v>
      </c>
      <c r="C4842" s="2" t="s">
        <v>38</v>
      </c>
      <c r="D4842" s="2" t="s">
        <v>39</v>
      </c>
      <c r="E4842" s="5">
        <v>-31229</v>
      </c>
      <c r="F4842" s="3" t="s">
        <v>502</v>
      </c>
      <c r="G4842" s="3" t="s">
        <v>41</v>
      </c>
      <c r="H4842" s="2" t="s">
        <v>62</v>
      </c>
      <c r="I4842" s="2" t="s">
        <v>11300</v>
      </c>
      <c r="J4842" s="3" t="str">
        <f>HYPERLINK("https://www.boe.es/gazeta/dias/1814/06/30/pdfs/GMD-1814-92.pdf#page=4","Abrir facsímil")</f>
        <v>Abrir facsímil</v>
      </c>
      <c r="K4842" s="3" t="s">
        <v>64</v>
      </c>
    </row>
    <row r="4843" spans="1:11" ht="42" customHeight="1">
      <c r="A4843" s="2" t="s">
        <v>11301</v>
      </c>
      <c r="B4843" s="2" t="s">
        <v>11302</v>
      </c>
      <c r="C4843" s="2" t="s">
        <v>38</v>
      </c>
      <c r="D4843" s="2" t="s">
        <v>314</v>
      </c>
      <c r="E4843" s="5">
        <v>-31296</v>
      </c>
      <c r="F4843" s="3" t="s">
        <v>315</v>
      </c>
      <c r="G4843" s="3" t="s">
        <v>52</v>
      </c>
      <c r="H4843" s="2" t="s">
        <v>62</v>
      </c>
      <c r="I4843" s="2" t="s">
        <v>11303</v>
      </c>
      <c r="J4843" s="3" t="str">
        <f>HYPERLINK("https://www.boe.es/gazeta/dias/1814/04/24/pdfs/GRE-1814-60E.pdf#page=8","Abrir facsímil")</f>
        <v>Abrir facsímil</v>
      </c>
      <c r="K4843" s="3" t="s">
        <v>64</v>
      </c>
    </row>
    <row r="4844" spans="1:11" ht="42" customHeight="1">
      <c r="A4844" s="2" t="s">
        <v>11304</v>
      </c>
      <c r="B4844" s="2" t="s">
        <v>11305</v>
      </c>
      <c r="C4844" s="2" t="s">
        <v>38</v>
      </c>
      <c r="D4844" s="2" t="s">
        <v>39</v>
      </c>
      <c r="E4844" s="5">
        <v>-31112</v>
      </c>
      <c r="F4844" s="3" t="s">
        <v>707</v>
      </c>
      <c r="G4844" s="3" t="s">
        <v>20</v>
      </c>
      <c r="H4844" s="2" t="s">
        <v>62</v>
      </c>
      <c r="I4844" s="2" t="s">
        <v>11306</v>
      </c>
      <c r="J4844" s="3" t="str">
        <f>HYPERLINK("https://www.boe.es/gazeta/dias/1814/10/25/pdfs/GMD-1814-143.pdf#page=7","Abrir facsímil")</f>
        <v>Abrir facsímil</v>
      </c>
      <c r="K4844" s="3" t="s">
        <v>64</v>
      </c>
    </row>
    <row r="4845" spans="1:11" ht="42" customHeight="1">
      <c r="A4845" s="2" t="s">
        <v>11307</v>
      </c>
      <c r="B4845" s="2" t="s">
        <v>11308</v>
      </c>
      <c r="C4845" s="2" t="s">
        <v>38</v>
      </c>
      <c r="D4845" s="2" t="s">
        <v>39</v>
      </c>
      <c r="E4845" s="5">
        <v>-31355</v>
      </c>
      <c r="F4845" s="3" t="s">
        <v>50</v>
      </c>
      <c r="G4845" s="3" t="s">
        <v>20</v>
      </c>
      <c r="H4845" s="2" t="s">
        <v>62</v>
      </c>
      <c r="I4845" s="2" t="s">
        <v>11309</v>
      </c>
      <c r="J4845" s="3" t="str">
        <f>HYPERLINK("https://www.boe.es/gazeta/dias/1814/02/24/pdfs/GRE-1814-26.pdf#page=7","Abrir facsímil")</f>
        <v>Abrir facsímil</v>
      </c>
      <c r="K4845" s="3" t="s">
        <v>64</v>
      </c>
    </row>
    <row r="4846" spans="1:11" ht="42" customHeight="1">
      <c r="A4846" s="2" t="s">
        <v>11310</v>
      </c>
      <c r="B4846" s="2" t="s">
        <v>11311</v>
      </c>
      <c r="C4846" s="2" t="s">
        <v>38</v>
      </c>
      <c r="D4846" s="2" t="s">
        <v>314</v>
      </c>
      <c r="E4846" s="5">
        <v>-31296</v>
      </c>
      <c r="F4846" s="3" t="s">
        <v>315</v>
      </c>
      <c r="G4846" s="3" t="s">
        <v>20</v>
      </c>
      <c r="H4846" s="2" t="s">
        <v>62</v>
      </c>
      <c r="I4846" s="2" t="s">
        <v>11312</v>
      </c>
      <c r="J4846" s="3" t="str">
        <f>HYPERLINK("https://www.boe.es/gazeta/dias/1814/04/24/pdfs/GRE-1814-60E.pdf#page=7","Abrir facsímil")</f>
        <v>Abrir facsímil</v>
      </c>
      <c r="K4846" s="3" t="s">
        <v>64</v>
      </c>
    </row>
    <row r="4847" spans="1:11" ht="42" customHeight="1">
      <c r="A4847" s="2" t="s">
        <v>11313</v>
      </c>
      <c r="B4847" s="2" t="s">
        <v>11314</v>
      </c>
      <c r="C4847" s="2" t="s">
        <v>17</v>
      </c>
      <c r="D4847" s="2" t="s">
        <v>18</v>
      </c>
      <c r="E4847" s="5">
        <v>-31224</v>
      </c>
      <c r="F4847" s="3" t="s">
        <v>609</v>
      </c>
      <c r="G4847" s="3" t="s">
        <v>322</v>
      </c>
      <c r="H4847" s="2" t="s">
        <v>62</v>
      </c>
      <c r="I4847" s="2" t="s">
        <v>11315</v>
      </c>
      <c r="J4847" s="3" t="str">
        <f>HYPERLINK("https://www.boe.es/gazeta/dias/1814/07/05/pdfs/GMD-1814-94.pdf#page=12","Abrir facsímil")</f>
        <v>Abrir facsímil</v>
      </c>
      <c r="K4847" s="3" t="s">
        <v>64</v>
      </c>
    </row>
    <row r="4848" spans="1:11" ht="42" customHeight="1">
      <c r="A4848" s="2" t="s">
        <v>11316</v>
      </c>
      <c r="B4848" s="2" t="s">
        <v>11317</v>
      </c>
      <c r="C4848" s="2" t="s">
        <v>38</v>
      </c>
      <c r="D4848" s="2" t="s">
        <v>314</v>
      </c>
      <c r="E4848" s="5">
        <v>-31296</v>
      </c>
      <c r="F4848" s="3" t="s">
        <v>315</v>
      </c>
      <c r="G4848" s="3" t="s">
        <v>87</v>
      </c>
      <c r="H4848" s="2" t="s">
        <v>21</v>
      </c>
      <c r="I4848" s="2" t="s">
        <v>11318</v>
      </c>
      <c r="J4848" s="3" t="str">
        <f>HYPERLINK("https://www.boe.es/gazeta/dias/1814/04/24/pdfs/GRE-1814-60E.pdf#page=2","Abrir facsímil")</f>
        <v>Abrir facsímil</v>
      </c>
      <c r="K4848" s="3" t="s">
        <v>23</v>
      </c>
    </row>
    <row r="4849" spans="1:11" ht="42" customHeight="1">
      <c r="A4849" s="2" t="s">
        <v>11319</v>
      </c>
      <c r="B4849" s="2" t="s">
        <v>11320</v>
      </c>
      <c r="C4849" s="2" t="s">
        <v>38</v>
      </c>
      <c r="D4849" s="2" t="s">
        <v>39</v>
      </c>
      <c r="E4849" s="5">
        <v>-31313</v>
      </c>
      <c r="F4849" s="3" t="s">
        <v>239</v>
      </c>
      <c r="G4849" s="3" t="s">
        <v>20</v>
      </c>
      <c r="H4849" s="2" t="s">
        <v>62</v>
      </c>
      <c r="I4849" s="2" t="s">
        <v>11321</v>
      </c>
      <c r="J4849" s="3" t="str">
        <f>HYPERLINK("https://www.boe.es/gazeta/dias/1814/04/07/pdfs/GRE-1814-50.pdf#page=7","Abrir facsímil")</f>
        <v>Abrir facsímil</v>
      </c>
      <c r="K4849" s="3" t="s">
        <v>64</v>
      </c>
    </row>
    <row r="4850" spans="1:11" ht="42" customHeight="1">
      <c r="A4850" s="2" t="s">
        <v>11322</v>
      </c>
      <c r="B4850" s="2" t="s">
        <v>11323</v>
      </c>
      <c r="C4850" s="2" t="s">
        <v>38</v>
      </c>
      <c r="D4850" s="2" t="s">
        <v>314</v>
      </c>
      <c r="E4850" s="5">
        <v>-31341</v>
      </c>
      <c r="F4850" s="3" t="s">
        <v>354</v>
      </c>
      <c r="G4850" s="3" t="s">
        <v>87</v>
      </c>
      <c r="H4850" s="2" t="s">
        <v>62</v>
      </c>
      <c r="I4850" s="2" t="s">
        <v>11324</v>
      </c>
      <c r="J4850" s="3" t="str">
        <f>HYPERLINK("https://www.boe.es/gazeta/dias/1814/03/10/pdfs/GRE-1814-34E.pdf#page=2","Abrir facsímil")</f>
        <v>Abrir facsímil</v>
      </c>
      <c r="K4850" s="3" t="s">
        <v>64</v>
      </c>
    </row>
    <row r="4851" spans="1:11" ht="42" customHeight="1">
      <c r="A4851" s="2" t="s">
        <v>11325</v>
      </c>
      <c r="B4851" s="2" t="s">
        <v>11326</v>
      </c>
      <c r="C4851" s="2" t="s">
        <v>38</v>
      </c>
      <c r="D4851" s="2" t="s">
        <v>39</v>
      </c>
      <c r="E4851" s="5">
        <v>-31404</v>
      </c>
      <c r="F4851" s="3" t="s">
        <v>630</v>
      </c>
      <c r="G4851" s="3" t="s">
        <v>57</v>
      </c>
      <c r="H4851" s="2" t="s">
        <v>62</v>
      </c>
      <c r="I4851" s="2" t="s">
        <v>11327</v>
      </c>
      <c r="J4851" s="3" t="str">
        <f>HYPERLINK("https://www.boe.es/gazeta/dias/1814/01/06/pdfs/GRE-1814-3.pdf#page=6","Abrir facsímil")</f>
        <v>Abrir facsímil</v>
      </c>
      <c r="K4851" s="3" t="s">
        <v>64</v>
      </c>
    </row>
    <row r="4852" spans="1:11" ht="42" customHeight="1">
      <c r="A4852" s="2" t="s">
        <v>11328</v>
      </c>
      <c r="B4852" s="2" t="s">
        <v>11329</v>
      </c>
      <c r="C4852" s="2" t="s">
        <v>38</v>
      </c>
      <c r="D4852" s="2" t="s">
        <v>314</v>
      </c>
      <c r="E4852" s="5">
        <v>-31341</v>
      </c>
      <c r="F4852" s="3" t="s">
        <v>354</v>
      </c>
      <c r="G4852" s="3" t="s">
        <v>99</v>
      </c>
      <c r="H4852" s="2" t="s">
        <v>62</v>
      </c>
      <c r="I4852" s="2" t="s">
        <v>11330</v>
      </c>
      <c r="J4852" s="3" t="str">
        <f>HYPERLINK("https://www.boe.es/gazeta/dias/1814/03/10/pdfs/GRE-1814-34E.pdf#page=5","Abrir facsímil")</f>
        <v>Abrir facsímil</v>
      </c>
      <c r="K4852" s="3" t="s">
        <v>64</v>
      </c>
    </row>
    <row r="4853" spans="1:11" ht="42" customHeight="1">
      <c r="A4853" s="2" t="s">
        <v>11331</v>
      </c>
      <c r="B4853" s="2" t="s">
        <v>11332</v>
      </c>
      <c r="C4853" s="2" t="s">
        <v>26</v>
      </c>
      <c r="D4853" s="2" t="s">
        <v>27</v>
      </c>
      <c r="E4853" s="5">
        <v>-31206</v>
      </c>
      <c r="F4853" s="3" t="s">
        <v>1196</v>
      </c>
      <c r="G4853" s="3" t="s">
        <v>87</v>
      </c>
      <c r="H4853" s="2" t="s">
        <v>62</v>
      </c>
      <c r="I4853" s="2" t="s">
        <v>11333</v>
      </c>
      <c r="J4853" s="3" t="str">
        <f>HYPERLINK("https://www.boe.es/gazeta/dias/1814/07/23/pdfs/GMD-1814-102.pdf#page=2","Abrir facsímil")</f>
        <v>Abrir facsímil</v>
      </c>
      <c r="K4853" s="3" t="s">
        <v>64</v>
      </c>
    </row>
    <row r="4854" spans="1:11" ht="42" customHeight="1">
      <c r="A4854" s="2" t="s">
        <v>11334</v>
      </c>
      <c r="B4854" s="2" t="s">
        <v>11335</v>
      </c>
      <c r="C4854" s="2" t="s">
        <v>38</v>
      </c>
      <c r="D4854" s="2" t="s">
        <v>314</v>
      </c>
      <c r="E4854" s="5">
        <v>-31341</v>
      </c>
      <c r="F4854" s="3" t="s">
        <v>354</v>
      </c>
      <c r="G4854" s="3" t="s">
        <v>82</v>
      </c>
      <c r="H4854" s="2" t="s">
        <v>21</v>
      </c>
      <c r="I4854" s="2" t="s">
        <v>11336</v>
      </c>
      <c r="J4854" s="3" t="str">
        <f>HYPERLINK("https://www.boe.es/gazeta/dias/1814/03/10/pdfs/GRE-1814-34E.pdf#page=3","Abrir facsímil")</f>
        <v>Abrir facsímil</v>
      </c>
      <c r="K4854" s="3" t="s">
        <v>23</v>
      </c>
    </row>
    <row r="4855" spans="1:11" ht="42" customHeight="1">
      <c r="A4855" s="2" t="s">
        <v>11337</v>
      </c>
      <c r="B4855" s="2" t="s">
        <v>11338</v>
      </c>
      <c r="C4855" s="2" t="s">
        <v>38</v>
      </c>
      <c r="D4855" s="2" t="s">
        <v>314</v>
      </c>
      <c r="E4855" s="5">
        <v>-31341</v>
      </c>
      <c r="F4855" s="3" t="s">
        <v>354</v>
      </c>
      <c r="G4855" s="3" t="s">
        <v>99</v>
      </c>
      <c r="H4855" s="2" t="s">
        <v>62</v>
      </c>
      <c r="I4855" s="2" t="s">
        <v>11339</v>
      </c>
      <c r="J4855" s="3" t="str">
        <f>HYPERLINK("https://www.boe.es/gazeta/dias/1814/03/10/pdfs/GRE-1814-34E.pdf#page=5","Abrir facsímil")</f>
        <v>Abrir facsímil</v>
      </c>
      <c r="K4855" s="3" t="s">
        <v>64</v>
      </c>
    </row>
    <row r="4856" spans="1:11" ht="42" customHeight="1">
      <c r="A4856" s="2" t="s">
        <v>11340</v>
      </c>
      <c r="B4856" s="2" t="s">
        <v>11340</v>
      </c>
      <c r="C4856" s="2" t="s">
        <v>38</v>
      </c>
      <c r="D4856" s="2" t="s">
        <v>39</v>
      </c>
      <c r="E4856" s="5">
        <v>-31292</v>
      </c>
      <c r="F4856" s="3" t="s">
        <v>557</v>
      </c>
      <c r="G4856" s="3" t="s">
        <v>1678</v>
      </c>
      <c r="H4856" s="2" t="s">
        <v>62</v>
      </c>
      <c r="I4856" s="2" t="s">
        <v>11341</v>
      </c>
      <c r="J4856" s="3" t="str">
        <f>HYPERLINK("https://www.boe.es/gazeta/dias/1814/04/28/pdfs/GRE-1814-63.pdf#page=3","Abrir facsímil")</f>
        <v>Abrir facsímil</v>
      </c>
      <c r="K4856" s="3" t="s">
        <v>64</v>
      </c>
    </row>
    <row r="4857" spans="1:11" ht="42" customHeight="1">
      <c r="A4857" s="2" t="s">
        <v>11342</v>
      </c>
      <c r="B4857" s="2" t="s">
        <v>11343</v>
      </c>
      <c r="C4857" s="2" t="s">
        <v>144</v>
      </c>
      <c r="D4857" s="2" t="s">
        <v>18</v>
      </c>
      <c r="E4857" s="5">
        <v>-31364</v>
      </c>
      <c r="F4857" s="3" t="s">
        <v>594</v>
      </c>
      <c r="G4857" s="3" t="s">
        <v>52</v>
      </c>
      <c r="H4857" s="2" t="s">
        <v>21</v>
      </c>
      <c r="I4857" s="2" t="s">
        <v>11344</v>
      </c>
      <c r="J4857" s="3" t="str">
        <f>HYPERLINK("https://www.boe.es/gazeta/dias/1814/02/15/pdfs/GRE-1814-21.pdf#page=8","Abrir facsímil")</f>
        <v>Abrir facsímil</v>
      </c>
      <c r="K4857" s="3" t="s">
        <v>23</v>
      </c>
    </row>
    <row r="4858" spans="1:11" ht="42" customHeight="1">
      <c r="A4858" s="2" t="s">
        <v>11345</v>
      </c>
      <c r="B4858" s="2" t="s">
        <v>11346</v>
      </c>
      <c r="C4858" s="2" t="s">
        <v>38</v>
      </c>
      <c r="D4858" s="2" t="s">
        <v>39</v>
      </c>
      <c r="E4858" s="5">
        <v>-31371</v>
      </c>
      <c r="F4858" s="3" t="s">
        <v>1017</v>
      </c>
      <c r="G4858" s="3" t="s">
        <v>99</v>
      </c>
      <c r="H4858" s="2" t="s">
        <v>62</v>
      </c>
      <c r="I4858" s="2" t="s">
        <v>11347</v>
      </c>
      <c r="J4858" s="3" t="str">
        <f>HYPERLINK("https://www.boe.es/gazeta/dias/1814/02/08/pdfs/GRE-1814-18.pdf#page=5","Abrir facsímil")</f>
        <v>Abrir facsímil</v>
      </c>
      <c r="K4858" s="3" t="s">
        <v>64</v>
      </c>
    </row>
    <row r="4859" spans="1:11" ht="42" customHeight="1">
      <c r="A4859" s="2" t="s">
        <v>11348</v>
      </c>
      <c r="B4859" s="2" t="s">
        <v>11349</v>
      </c>
      <c r="C4859" s="2" t="s">
        <v>38</v>
      </c>
      <c r="D4859" s="2" t="s">
        <v>314</v>
      </c>
      <c r="E4859" s="5">
        <v>-31296</v>
      </c>
      <c r="F4859" s="3" t="s">
        <v>315</v>
      </c>
      <c r="G4859" s="3" t="s">
        <v>52</v>
      </c>
      <c r="H4859" s="2" t="s">
        <v>62</v>
      </c>
      <c r="I4859" s="2" t="s">
        <v>11350</v>
      </c>
      <c r="J4859" s="3" t="str">
        <f>HYPERLINK("https://www.boe.es/gazeta/dias/1814/04/24/pdfs/GRE-1814-60E.pdf#page=8","Abrir facsímil")</f>
        <v>Abrir facsímil</v>
      </c>
      <c r="K4859" s="3" t="s">
        <v>64</v>
      </c>
    </row>
    <row r="4860" spans="1:11" ht="42" customHeight="1">
      <c r="A4860" s="2" t="s">
        <v>11351</v>
      </c>
      <c r="B4860" s="2" t="s">
        <v>11352</v>
      </c>
      <c r="C4860" s="2" t="s">
        <v>38</v>
      </c>
      <c r="D4860" s="2" t="s">
        <v>39</v>
      </c>
      <c r="E4860" s="5">
        <v>-31180</v>
      </c>
      <c r="F4860" s="3" t="s">
        <v>520</v>
      </c>
      <c r="G4860" s="3" t="s">
        <v>602</v>
      </c>
      <c r="H4860" s="2" t="s">
        <v>62</v>
      </c>
      <c r="I4860" s="2" t="s">
        <v>11353</v>
      </c>
      <c r="J4860" s="3" t="str">
        <f>HYPERLINK("https://www.boe.es/gazeta/dias/1814/08/18/pdfs/GMD-1814-113.pdf#page=8","Abrir facsímil")</f>
        <v>Abrir facsímil</v>
      </c>
      <c r="K4860" s="3" t="s">
        <v>64</v>
      </c>
    </row>
    <row r="4861" spans="1:11" ht="42" customHeight="1">
      <c r="A4861" s="2" t="s">
        <v>11354</v>
      </c>
      <c r="B4861" s="2" t="s">
        <v>11355</v>
      </c>
      <c r="C4861" s="2" t="s">
        <v>26</v>
      </c>
      <c r="D4861" s="2" t="s">
        <v>27</v>
      </c>
      <c r="E4861" s="5">
        <v>-31173</v>
      </c>
      <c r="F4861" s="3" t="s">
        <v>46</v>
      </c>
      <c r="G4861" s="3" t="s">
        <v>1862</v>
      </c>
      <c r="H4861" s="2" t="s">
        <v>62</v>
      </c>
      <c r="I4861" s="2" t="s">
        <v>11356</v>
      </c>
      <c r="J4861" s="3" t="str">
        <f>HYPERLINK("https://www.boe.es/gazeta/dias/1814/08/25/pdfs/GMD-1814-116.pdf#page=4","Abrir facsímil")</f>
        <v>Abrir facsímil</v>
      </c>
      <c r="K4861" s="3" t="s">
        <v>64</v>
      </c>
    </row>
    <row r="4862" spans="1:11" ht="42" customHeight="1">
      <c r="A4862" s="2" t="s">
        <v>11357</v>
      </c>
      <c r="B4862" s="2" t="s">
        <v>11358</v>
      </c>
      <c r="C4862" s="2" t="s">
        <v>38</v>
      </c>
      <c r="D4862" s="2" t="s">
        <v>39</v>
      </c>
      <c r="E4862" s="5">
        <v>-31306</v>
      </c>
      <c r="F4862" s="3" t="s">
        <v>670</v>
      </c>
      <c r="G4862" s="3" t="s">
        <v>82</v>
      </c>
      <c r="H4862" s="2" t="s">
        <v>62</v>
      </c>
      <c r="I4862" s="2" t="s">
        <v>11359</v>
      </c>
      <c r="J4862" s="3" t="str">
        <f>HYPERLINK("https://www.boe.es/gazeta/dias/1814/04/14/pdfs/GRE-1814-53.pdf#page=3","Abrir facsímil")</f>
        <v>Abrir facsímil</v>
      </c>
      <c r="K4862" s="3" t="s">
        <v>64</v>
      </c>
    </row>
    <row r="4863" spans="1:11" ht="42" customHeight="1">
      <c r="A4863" s="2" t="s">
        <v>11360</v>
      </c>
      <c r="B4863" s="2" t="s">
        <v>11360</v>
      </c>
      <c r="C4863" s="2" t="s">
        <v>38</v>
      </c>
      <c r="D4863" s="2" t="s">
        <v>39</v>
      </c>
      <c r="E4863" s="5">
        <v>-31320</v>
      </c>
      <c r="F4863" s="3" t="s">
        <v>40</v>
      </c>
      <c r="G4863" s="3" t="s">
        <v>99</v>
      </c>
      <c r="H4863" s="2" t="s">
        <v>62</v>
      </c>
      <c r="I4863" s="2" t="s">
        <v>11361</v>
      </c>
      <c r="J4863" s="3" t="str">
        <f>HYPERLINK("https://www.boe.es/gazeta/dias/1814/03/31/pdfs/GRE-1814-46.pdf#page=5","Abrir facsímil")</f>
        <v>Abrir facsímil</v>
      </c>
      <c r="K4863" s="3" t="s">
        <v>64</v>
      </c>
    </row>
    <row r="4864" spans="1:11" ht="42" customHeight="1">
      <c r="A4864" s="2" t="s">
        <v>11362</v>
      </c>
      <c r="B4864" s="2" t="s">
        <v>11363</v>
      </c>
      <c r="C4864" s="2" t="s">
        <v>38</v>
      </c>
      <c r="D4864" s="2" t="s">
        <v>39</v>
      </c>
      <c r="E4864" s="5">
        <v>-31140</v>
      </c>
      <c r="F4864" s="3" t="s">
        <v>525</v>
      </c>
      <c r="G4864" s="3" t="s">
        <v>82</v>
      </c>
      <c r="H4864" s="2" t="s">
        <v>62</v>
      </c>
      <c r="I4864" s="2" t="s">
        <v>11364</v>
      </c>
      <c r="J4864" s="3" t="str">
        <f>HYPERLINK("https://www.boe.es/gazeta/dias/1814/09/27/pdfs/GMD-1814-131.pdf#page=3","Abrir facsímil")</f>
        <v>Abrir facsímil</v>
      </c>
      <c r="K4864" s="3" t="s">
        <v>64</v>
      </c>
    </row>
    <row r="4865" spans="1:11" ht="42" customHeight="1">
      <c r="A4865" s="2" t="s">
        <v>11365</v>
      </c>
      <c r="B4865" s="2" t="s">
        <v>11365</v>
      </c>
      <c r="C4865" s="2" t="s">
        <v>38</v>
      </c>
      <c r="D4865" s="2" t="s">
        <v>39</v>
      </c>
      <c r="E4865" s="5">
        <v>-31405</v>
      </c>
      <c r="F4865" s="3" t="s">
        <v>1754</v>
      </c>
      <c r="G4865" s="3" t="s">
        <v>3368</v>
      </c>
      <c r="H4865" s="2" t="s">
        <v>62</v>
      </c>
      <c r="I4865" s="2" t="s">
        <v>11366</v>
      </c>
      <c r="J4865" s="3" t="str">
        <f>HYPERLINK("https://www.boe.es/gazeta/dias/1814/01/05/pdfs/GRE-1814-5.pdf#page=8","Abrir facsímil")</f>
        <v>Abrir facsímil</v>
      </c>
      <c r="K4865" s="3" t="s">
        <v>64</v>
      </c>
    </row>
    <row r="4866" spans="1:11" ht="42" customHeight="1">
      <c r="A4866" s="2" t="s">
        <v>11365</v>
      </c>
      <c r="B4866" s="2" t="s">
        <v>11365</v>
      </c>
      <c r="C4866" s="2" t="s">
        <v>38</v>
      </c>
      <c r="D4866" s="2" t="s">
        <v>39</v>
      </c>
      <c r="E4866" s="5">
        <v>-31402</v>
      </c>
      <c r="F4866" s="3" t="s">
        <v>1754</v>
      </c>
      <c r="G4866" s="3" t="s">
        <v>3368</v>
      </c>
      <c r="H4866" s="2" t="s">
        <v>62</v>
      </c>
      <c r="I4866" s="2" t="s">
        <v>11366</v>
      </c>
      <c r="J4866" s="3" t="str">
        <f>HYPERLINK("https://www.boe.es/gazeta/dias/1814/01/08/pdfs/GRE-1814-5.pdf#page=8","Abrir facsímil")</f>
        <v>Abrir facsímil</v>
      </c>
      <c r="K4866" s="3" t="s">
        <v>64</v>
      </c>
    </row>
    <row r="4867" spans="1:11" ht="42" customHeight="1">
      <c r="A4867" s="2" t="s">
        <v>11365</v>
      </c>
      <c r="B4867" s="2" t="s">
        <v>11365</v>
      </c>
      <c r="C4867" s="2" t="s">
        <v>38</v>
      </c>
      <c r="D4867" s="2" t="s">
        <v>314</v>
      </c>
      <c r="E4867" s="5">
        <v>-31341</v>
      </c>
      <c r="F4867" s="3" t="s">
        <v>354</v>
      </c>
      <c r="G4867" s="3" t="s">
        <v>99</v>
      </c>
      <c r="H4867" s="2" t="s">
        <v>62</v>
      </c>
      <c r="I4867" s="2" t="s">
        <v>11367</v>
      </c>
      <c r="J4867" s="3" t="str">
        <f>HYPERLINK("https://www.boe.es/gazeta/dias/1814/03/10/pdfs/GRE-1814-34E.pdf#page=5","Abrir facsímil")</f>
        <v>Abrir facsímil</v>
      </c>
      <c r="K4867" s="3" t="s">
        <v>64</v>
      </c>
    </row>
    <row r="4868" spans="1:11" ht="42" customHeight="1">
      <c r="A4868" s="2" t="s">
        <v>11365</v>
      </c>
      <c r="B4868" s="2" t="s">
        <v>11365</v>
      </c>
      <c r="C4868" s="2" t="s">
        <v>26</v>
      </c>
      <c r="D4868" s="2" t="s">
        <v>314</v>
      </c>
      <c r="E4868" s="5">
        <v>-31299</v>
      </c>
      <c r="F4868" s="3" t="s">
        <v>484</v>
      </c>
      <c r="G4868" s="3" t="s">
        <v>107</v>
      </c>
      <c r="H4868" s="2" t="s">
        <v>62</v>
      </c>
      <c r="I4868" s="2" t="s">
        <v>11368</v>
      </c>
      <c r="J4868" s="3" t="str">
        <f>HYPERLINK("https://www.boe.es/gazeta/dias/1814/04/21/pdfs/GRE-1814-58E.pdf#page=1","Abrir facsímil")</f>
        <v>Abrir facsímil</v>
      </c>
      <c r="K4868" s="3" t="s">
        <v>64</v>
      </c>
    </row>
    <row r="4869" spans="1:11" ht="42" customHeight="1">
      <c r="A4869" s="2" t="s">
        <v>11365</v>
      </c>
      <c r="B4869" s="2" t="s">
        <v>11365</v>
      </c>
      <c r="C4869" s="2" t="s">
        <v>105</v>
      </c>
      <c r="D4869" s="2" t="s">
        <v>314</v>
      </c>
      <c r="E4869" s="5">
        <v>-31294</v>
      </c>
      <c r="F4869" s="3" t="s">
        <v>2505</v>
      </c>
      <c r="G4869" s="3" t="s">
        <v>107</v>
      </c>
      <c r="H4869" s="2" t="s">
        <v>62</v>
      </c>
      <c r="I4869" s="2" t="s">
        <v>11369</v>
      </c>
      <c r="J4869" s="3" t="str">
        <f>HYPERLINK("https://www.boe.es/gazeta/dias/1814/04/26/pdfs/GRE-1814-62E.pdf#page=1","Abrir facsímil")</f>
        <v>Abrir facsímil</v>
      </c>
      <c r="K4869" s="3" t="s">
        <v>64</v>
      </c>
    </row>
    <row r="4870" spans="1:11" ht="42" customHeight="1">
      <c r="A4870" s="2" t="s">
        <v>11365</v>
      </c>
      <c r="B4870" s="2" t="s">
        <v>11365</v>
      </c>
      <c r="C4870" s="2" t="s">
        <v>38</v>
      </c>
      <c r="D4870" s="2" t="s">
        <v>39</v>
      </c>
      <c r="E4870" s="5">
        <v>-31180</v>
      </c>
      <c r="F4870" s="3" t="s">
        <v>520</v>
      </c>
      <c r="G4870" s="3" t="s">
        <v>57</v>
      </c>
      <c r="H4870" s="2" t="s">
        <v>62</v>
      </c>
      <c r="I4870" s="2" t="s">
        <v>11370</v>
      </c>
      <c r="J4870" s="3" t="str">
        <f>HYPERLINK("https://www.boe.es/gazeta/dias/1814/08/18/pdfs/GMD-1814-113.pdf#page=6","Abrir facsímil")</f>
        <v>Abrir facsímil</v>
      </c>
      <c r="K4870" s="3" t="s">
        <v>64</v>
      </c>
    </row>
    <row r="4871" spans="1:11" ht="42" customHeight="1">
      <c r="A4871" s="2" t="s">
        <v>11371</v>
      </c>
      <c r="B4871" s="2" t="s">
        <v>11372</v>
      </c>
      <c r="C4871" s="2" t="s">
        <v>45</v>
      </c>
      <c r="D4871" s="2" t="s">
        <v>18</v>
      </c>
      <c r="E4871" s="5">
        <v>-31089</v>
      </c>
      <c r="F4871" s="3" t="s">
        <v>531</v>
      </c>
      <c r="G4871" s="3" t="s">
        <v>20</v>
      </c>
      <c r="H4871" s="2" t="s">
        <v>21</v>
      </c>
      <c r="I4871" s="2" t="s">
        <v>11373</v>
      </c>
      <c r="J4871" s="3" t="str">
        <f>HYPERLINK("https://www.boe.es/gazeta/dias/1814/11/17/pdfs/GMD-1814-153.pdf#page=7","Abrir facsímil")</f>
        <v>Abrir facsímil</v>
      </c>
      <c r="K4871" s="3" t="s">
        <v>23</v>
      </c>
    </row>
    <row r="4872" spans="1:11" ht="42" customHeight="1">
      <c r="A4872" s="2" t="s">
        <v>11374</v>
      </c>
      <c r="B4872" s="2" t="s">
        <v>11375</v>
      </c>
      <c r="C4872" s="2" t="s">
        <v>38</v>
      </c>
      <c r="D4872" s="2" t="s">
        <v>314</v>
      </c>
      <c r="E4872" s="5">
        <v>-31296</v>
      </c>
      <c r="F4872" s="3" t="s">
        <v>315</v>
      </c>
      <c r="G4872" s="3" t="s">
        <v>52</v>
      </c>
      <c r="H4872" s="2" t="s">
        <v>62</v>
      </c>
      <c r="I4872" s="2" t="s">
        <v>11376</v>
      </c>
      <c r="J4872" s="3" t="str">
        <f>HYPERLINK("https://www.boe.es/gazeta/dias/1814/04/24/pdfs/GRE-1814-60E.pdf#page=8","Abrir facsímil")</f>
        <v>Abrir facsímil</v>
      </c>
      <c r="K4872" s="3" t="s">
        <v>64</v>
      </c>
    </row>
    <row r="4873" spans="1:11" ht="42" customHeight="1">
      <c r="A4873" s="2" t="s">
        <v>11377</v>
      </c>
      <c r="B4873" s="2" t="s">
        <v>11378</v>
      </c>
      <c r="C4873" s="2" t="s">
        <v>26</v>
      </c>
      <c r="D4873" s="2" t="s">
        <v>27</v>
      </c>
      <c r="E4873" s="5">
        <v>-31175</v>
      </c>
      <c r="F4873" s="3" t="s">
        <v>145</v>
      </c>
      <c r="G4873" s="3" t="s">
        <v>20</v>
      </c>
      <c r="H4873" s="2" t="s">
        <v>62</v>
      </c>
      <c r="I4873" s="2" t="s">
        <v>11379</v>
      </c>
      <c r="J4873" s="3" t="str">
        <f>HYPERLINK("https://www.boe.es/gazeta/dias/1814/08/23/pdfs/GMD-1814-115.pdf#page=7","Abrir facsímil")</f>
        <v>Abrir facsímil</v>
      </c>
      <c r="K4873" s="3" t="s">
        <v>64</v>
      </c>
    </row>
    <row r="4874" spans="1:11" ht="42" customHeight="1">
      <c r="A4874" s="2" t="s">
        <v>11380</v>
      </c>
      <c r="B4874" s="2" t="s">
        <v>11380</v>
      </c>
      <c r="C4874" s="2" t="s">
        <v>38</v>
      </c>
      <c r="D4874" s="2" t="s">
        <v>39</v>
      </c>
      <c r="E4874" s="5">
        <v>-31301</v>
      </c>
      <c r="F4874" s="3" t="s">
        <v>81</v>
      </c>
      <c r="G4874" s="3" t="s">
        <v>82</v>
      </c>
      <c r="H4874" s="2" t="s">
        <v>62</v>
      </c>
      <c r="I4874" s="2" t="s">
        <v>11381</v>
      </c>
      <c r="J4874" s="3" t="str">
        <f>HYPERLINK("https://www.boe.es/gazeta/dias/1814/04/19/pdfs/GRE-1814-56.pdf#page=3","Abrir facsímil")</f>
        <v>Abrir facsímil</v>
      </c>
      <c r="K4874" s="3" t="s">
        <v>64</v>
      </c>
    </row>
    <row r="4875" spans="1:11" ht="42" customHeight="1">
      <c r="A4875" s="2" t="s">
        <v>11382</v>
      </c>
      <c r="B4875" s="2" t="s">
        <v>11382</v>
      </c>
      <c r="C4875" s="2" t="s">
        <v>38</v>
      </c>
      <c r="D4875" s="2" t="s">
        <v>39</v>
      </c>
      <c r="E4875" s="5">
        <v>-31364</v>
      </c>
      <c r="F4875" s="3" t="s">
        <v>594</v>
      </c>
      <c r="G4875" s="3" t="s">
        <v>107</v>
      </c>
      <c r="H4875" s="2" t="s">
        <v>62</v>
      </c>
      <c r="I4875" s="2" t="s">
        <v>11383</v>
      </c>
      <c r="J4875" s="3" t="str">
        <f>HYPERLINK("https://www.boe.es/gazeta/dias/1814/02/15/pdfs/GRE-1814-21.pdf#page=1","Abrir facsímil")</f>
        <v>Abrir facsímil</v>
      </c>
      <c r="K4875" s="3" t="s">
        <v>64</v>
      </c>
    </row>
    <row r="4876" spans="1:11" ht="42" customHeight="1">
      <c r="A4876" s="2" t="s">
        <v>11384</v>
      </c>
      <c r="B4876" s="2" t="s">
        <v>11384</v>
      </c>
      <c r="C4876" s="2" t="s">
        <v>38</v>
      </c>
      <c r="D4876" s="2" t="s">
        <v>39</v>
      </c>
      <c r="E4876" s="5">
        <v>-31080</v>
      </c>
      <c r="F4876" s="3" t="s">
        <v>286</v>
      </c>
      <c r="G4876" s="3" t="s">
        <v>82</v>
      </c>
      <c r="H4876" s="2" t="s">
        <v>62</v>
      </c>
      <c r="I4876" s="2" t="s">
        <v>11385</v>
      </c>
      <c r="J4876" s="3" t="str">
        <f>HYPERLINK("https://www.boe.es/gazeta/dias/1814/11/26/pdfs/GMD-1814-157.pdf#page=3","Abrir facsímil")</f>
        <v>Abrir facsímil</v>
      </c>
      <c r="K4876" s="3" t="s">
        <v>64</v>
      </c>
    </row>
    <row r="4877" spans="1:11" ht="42" customHeight="1">
      <c r="A4877" s="2" t="s">
        <v>11386</v>
      </c>
      <c r="B4877" s="2" t="s">
        <v>11386</v>
      </c>
      <c r="C4877" s="2" t="s">
        <v>38</v>
      </c>
      <c r="D4877" s="2" t="s">
        <v>39</v>
      </c>
      <c r="E4877" s="5">
        <v>-31405</v>
      </c>
      <c r="F4877" s="3" t="s">
        <v>1754</v>
      </c>
      <c r="G4877" s="3" t="s">
        <v>82</v>
      </c>
      <c r="H4877" s="2" t="s">
        <v>62</v>
      </c>
      <c r="I4877" s="2" t="s">
        <v>11387</v>
      </c>
      <c r="J4877" s="3" t="str">
        <f>HYPERLINK("https://www.boe.es/gazeta/dias/1814/01/05/pdfs/GRE-1814-5.pdf#page=3","Abrir facsímil")</f>
        <v>Abrir facsímil</v>
      </c>
      <c r="K4877" s="3" t="s">
        <v>64</v>
      </c>
    </row>
    <row r="4878" spans="1:11" ht="42" customHeight="1">
      <c r="A4878" s="2" t="s">
        <v>11386</v>
      </c>
      <c r="B4878" s="2" t="s">
        <v>11386</v>
      </c>
      <c r="C4878" s="2" t="s">
        <v>38</v>
      </c>
      <c r="D4878" s="2" t="s">
        <v>39</v>
      </c>
      <c r="E4878" s="5">
        <v>-31405</v>
      </c>
      <c r="F4878" s="3" t="s">
        <v>1754</v>
      </c>
      <c r="G4878" s="3" t="s">
        <v>41</v>
      </c>
      <c r="H4878" s="2" t="s">
        <v>62</v>
      </c>
      <c r="I4878" s="2" t="s">
        <v>11388</v>
      </c>
      <c r="J4878" s="3" t="str">
        <f>HYPERLINK("https://www.boe.es/gazeta/dias/1814/01/05/pdfs/GRE-1814-5.pdf#page=4","Abrir facsímil")</f>
        <v>Abrir facsímil</v>
      </c>
      <c r="K4878" s="3" t="s">
        <v>64</v>
      </c>
    </row>
    <row r="4879" spans="1:11" ht="42" customHeight="1">
      <c r="A4879" s="2" t="s">
        <v>11386</v>
      </c>
      <c r="B4879" s="2" t="s">
        <v>11386</v>
      </c>
      <c r="C4879" s="2" t="s">
        <v>38</v>
      </c>
      <c r="D4879" s="2" t="s">
        <v>39</v>
      </c>
      <c r="E4879" s="5">
        <v>-31402</v>
      </c>
      <c r="F4879" s="3" t="s">
        <v>1754</v>
      </c>
      <c r="G4879" s="3" t="s">
        <v>82</v>
      </c>
      <c r="H4879" s="2" t="s">
        <v>62</v>
      </c>
      <c r="I4879" s="2" t="s">
        <v>11387</v>
      </c>
      <c r="J4879" s="3" t="str">
        <f>HYPERLINK("https://www.boe.es/gazeta/dias/1814/01/08/pdfs/GRE-1814-5.pdf#page=3","Abrir facsímil")</f>
        <v>Abrir facsímil</v>
      </c>
      <c r="K4879" s="3" t="s">
        <v>64</v>
      </c>
    </row>
    <row r="4880" spans="1:11" ht="42" customHeight="1">
      <c r="A4880" s="2" t="s">
        <v>11386</v>
      </c>
      <c r="B4880" s="2" t="s">
        <v>11386</v>
      </c>
      <c r="C4880" s="2" t="s">
        <v>38</v>
      </c>
      <c r="D4880" s="2" t="s">
        <v>39</v>
      </c>
      <c r="E4880" s="5">
        <v>-31402</v>
      </c>
      <c r="F4880" s="3" t="s">
        <v>1754</v>
      </c>
      <c r="G4880" s="3" t="s">
        <v>41</v>
      </c>
      <c r="H4880" s="2" t="s">
        <v>62</v>
      </c>
      <c r="I4880" s="2" t="s">
        <v>11388</v>
      </c>
      <c r="J4880" s="3" t="str">
        <f>HYPERLINK("https://www.boe.es/gazeta/dias/1814/01/08/pdfs/GRE-1814-5.pdf#page=4","Abrir facsímil")</f>
        <v>Abrir facsímil</v>
      </c>
      <c r="K4880" s="3" t="s">
        <v>64</v>
      </c>
    </row>
    <row r="4881" spans="1:11" ht="42" customHeight="1">
      <c r="A4881" s="2" t="s">
        <v>11386</v>
      </c>
      <c r="B4881" s="2" t="s">
        <v>11386</v>
      </c>
      <c r="C4881" s="2" t="s">
        <v>38</v>
      </c>
      <c r="D4881" s="2" t="s">
        <v>39</v>
      </c>
      <c r="E4881" s="5">
        <v>-31399</v>
      </c>
      <c r="F4881" s="3" t="s">
        <v>218</v>
      </c>
      <c r="G4881" s="3" t="s">
        <v>41</v>
      </c>
      <c r="H4881" s="2" t="s">
        <v>62</v>
      </c>
      <c r="I4881" s="2" t="s">
        <v>11389</v>
      </c>
      <c r="J4881" s="3" t="str">
        <f>HYPERLINK("https://www.boe.es/gazeta/dias/1814/01/11/pdfs/GRE-1814-6.pdf#page=4","Abrir facsímil")</f>
        <v>Abrir facsímil</v>
      </c>
      <c r="K4881" s="3" t="s">
        <v>64</v>
      </c>
    </row>
    <row r="4882" spans="1:11" ht="42" customHeight="1">
      <c r="A4882" s="2" t="s">
        <v>11386</v>
      </c>
      <c r="B4882" s="2" t="s">
        <v>11386</v>
      </c>
      <c r="C4882" s="2" t="s">
        <v>38</v>
      </c>
      <c r="D4882" s="2" t="s">
        <v>39</v>
      </c>
      <c r="E4882" s="5">
        <v>-31327</v>
      </c>
      <c r="F4882" s="3" t="s">
        <v>180</v>
      </c>
      <c r="G4882" s="3" t="s">
        <v>99</v>
      </c>
      <c r="H4882" s="2" t="s">
        <v>62</v>
      </c>
      <c r="I4882" s="2" t="s">
        <v>11390</v>
      </c>
      <c r="J4882" s="3" t="str">
        <f>HYPERLINK("https://www.boe.es/gazeta/dias/1814/03/24/pdfs/GRE-1814-41.pdf#page=5","Abrir facsímil")</f>
        <v>Abrir facsímil</v>
      </c>
      <c r="K4882" s="3" t="s">
        <v>64</v>
      </c>
    </row>
    <row r="4883" spans="1:11" ht="42" customHeight="1">
      <c r="A4883" s="2" t="s">
        <v>11386</v>
      </c>
      <c r="B4883" s="2" t="s">
        <v>11386</v>
      </c>
      <c r="C4883" s="2" t="s">
        <v>38</v>
      </c>
      <c r="D4883" s="2" t="s">
        <v>39</v>
      </c>
      <c r="E4883" s="5">
        <v>-31318</v>
      </c>
      <c r="F4883" s="3" t="s">
        <v>400</v>
      </c>
      <c r="G4883" s="3" t="s">
        <v>87</v>
      </c>
      <c r="H4883" s="2" t="s">
        <v>62</v>
      </c>
      <c r="I4883" s="2" t="s">
        <v>11391</v>
      </c>
      <c r="J4883" s="3" t="str">
        <f>HYPERLINK("https://www.boe.es/gazeta/dias/1814/04/02/pdfs/GRE-1814-47.pdf#page=2","Abrir facsímil")</f>
        <v>Abrir facsímil</v>
      </c>
      <c r="K4883" s="3" t="s">
        <v>64</v>
      </c>
    </row>
    <row r="4884" spans="1:11" ht="42" customHeight="1">
      <c r="A4884" s="2" t="s">
        <v>11386</v>
      </c>
      <c r="B4884" s="2" t="s">
        <v>11386</v>
      </c>
      <c r="C4884" s="2" t="s">
        <v>38</v>
      </c>
      <c r="D4884" s="2" t="s">
        <v>314</v>
      </c>
      <c r="E4884" s="5">
        <v>-31299</v>
      </c>
      <c r="F4884" s="3" t="s">
        <v>484</v>
      </c>
      <c r="G4884" s="3" t="s">
        <v>107</v>
      </c>
      <c r="H4884" s="2" t="s">
        <v>62</v>
      </c>
      <c r="I4884" s="2" t="s">
        <v>11392</v>
      </c>
      <c r="J4884" s="3" t="str">
        <f>HYPERLINK("https://www.boe.es/gazeta/dias/1814/04/21/pdfs/GRE-1814-58E.pdf#page=1","Abrir facsímil")</f>
        <v>Abrir facsímil</v>
      </c>
      <c r="K4884" s="3" t="s">
        <v>64</v>
      </c>
    </row>
    <row r="4885" spans="1:11" ht="42" customHeight="1">
      <c r="A4885" s="2" t="s">
        <v>11386</v>
      </c>
      <c r="B4885" s="2" t="s">
        <v>11386</v>
      </c>
      <c r="C4885" s="2" t="s">
        <v>38</v>
      </c>
      <c r="D4885" s="2" t="s">
        <v>314</v>
      </c>
      <c r="E4885" s="5">
        <v>-31296</v>
      </c>
      <c r="F4885" s="3" t="s">
        <v>315</v>
      </c>
      <c r="G4885" s="3" t="s">
        <v>41</v>
      </c>
      <c r="H4885" s="2" t="s">
        <v>62</v>
      </c>
      <c r="I4885" s="2" t="s">
        <v>11393</v>
      </c>
      <c r="J4885" s="3" t="str">
        <f>HYPERLINK("https://www.boe.es/gazeta/dias/1814/04/24/pdfs/GRE-1814-60E.pdf#page=4","Abrir facsímil")</f>
        <v>Abrir facsímil</v>
      </c>
      <c r="K4885" s="3" t="s">
        <v>64</v>
      </c>
    </row>
    <row r="4886" spans="1:11" ht="42" customHeight="1">
      <c r="A4886" s="2" t="s">
        <v>11386</v>
      </c>
      <c r="B4886" s="2" t="s">
        <v>11386</v>
      </c>
      <c r="C4886" s="2" t="s">
        <v>38</v>
      </c>
      <c r="D4886" s="2" t="s">
        <v>314</v>
      </c>
      <c r="E4886" s="5">
        <v>-31294</v>
      </c>
      <c r="F4886" s="3" t="s">
        <v>2505</v>
      </c>
      <c r="G4886" s="3" t="s">
        <v>87</v>
      </c>
      <c r="H4886" s="2" t="s">
        <v>62</v>
      </c>
      <c r="I4886" s="2" t="s">
        <v>11394</v>
      </c>
      <c r="J4886" s="3" t="str">
        <f>HYPERLINK("https://www.boe.es/gazeta/dias/1814/04/26/pdfs/GRE-1814-62E.pdf#page=2","Abrir facsímil")</f>
        <v>Abrir facsímil</v>
      </c>
      <c r="K4886" s="3" t="s">
        <v>64</v>
      </c>
    </row>
    <row r="4887" spans="1:11" ht="42" customHeight="1">
      <c r="A4887" s="2" t="s">
        <v>11386</v>
      </c>
      <c r="B4887" s="2" t="s">
        <v>11386</v>
      </c>
      <c r="C4887" s="2" t="s">
        <v>38</v>
      </c>
      <c r="D4887" s="2" t="s">
        <v>314</v>
      </c>
      <c r="E4887" s="5">
        <v>-31294</v>
      </c>
      <c r="F4887" s="3" t="s">
        <v>2505</v>
      </c>
      <c r="G4887" s="3" t="s">
        <v>82</v>
      </c>
      <c r="H4887" s="2" t="s">
        <v>62</v>
      </c>
      <c r="I4887" s="2" t="s">
        <v>11395</v>
      </c>
      <c r="J4887" s="3" t="str">
        <f>HYPERLINK("https://www.boe.es/gazeta/dias/1814/04/26/pdfs/GRE-1814-62E.pdf#page=3","Abrir facsímil")</f>
        <v>Abrir facsímil</v>
      </c>
      <c r="K4887" s="3" t="s">
        <v>64</v>
      </c>
    </row>
    <row r="4888" spans="1:11" ht="42" customHeight="1">
      <c r="A4888" s="2" t="s">
        <v>11396</v>
      </c>
      <c r="B4888" s="2" t="s">
        <v>11397</v>
      </c>
      <c r="C4888" s="2" t="s">
        <v>17</v>
      </c>
      <c r="D4888" s="2" t="s">
        <v>18</v>
      </c>
      <c r="E4888" s="5">
        <v>-31131</v>
      </c>
      <c r="F4888" s="3" t="s">
        <v>132</v>
      </c>
      <c r="G4888" s="3" t="s">
        <v>4347</v>
      </c>
      <c r="H4888" s="2" t="s">
        <v>62</v>
      </c>
      <c r="I4888" s="2" t="s">
        <v>11398</v>
      </c>
      <c r="J4888" s="3" t="str">
        <f>HYPERLINK("https://www.boe.es/gazeta/dias/1814/10/06/pdfs/GMD-1814-135.pdf#page=8","Abrir facsímil")</f>
        <v>Abrir facsímil</v>
      </c>
      <c r="K4888" s="3" t="s">
        <v>64</v>
      </c>
    </row>
    <row r="4889" spans="1:11" ht="42" customHeight="1">
      <c r="A4889" s="2" t="s">
        <v>11399</v>
      </c>
      <c r="B4889" s="2" t="s">
        <v>11399</v>
      </c>
      <c r="C4889" s="2" t="s">
        <v>105</v>
      </c>
      <c r="D4889" s="2" t="s">
        <v>18</v>
      </c>
      <c r="E4889" s="5">
        <v>-31353</v>
      </c>
      <c r="F4889" s="3" t="s">
        <v>247</v>
      </c>
      <c r="G4889" s="3" t="s">
        <v>3029</v>
      </c>
      <c r="H4889" s="2" t="s">
        <v>62</v>
      </c>
      <c r="I4889" s="2" t="s">
        <v>11400</v>
      </c>
      <c r="J4889" s="3" t="str">
        <f>HYPERLINK("https://www.boe.es/gazeta/dias/1814/02/26/pdfs/GRE-1814-27.pdf#page=4","Abrir facsímil")</f>
        <v>Abrir facsímil</v>
      </c>
      <c r="K4889" s="3" t="s">
        <v>64</v>
      </c>
    </row>
    <row r="4890" spans="1:11" ht="42" customHeight="1">
      <c r="A4890" s="2" t="s">
        <v>11401</v>
      </c>
      <c r="B4890" s="2" t="s">
        <v>11401</v>
      </c>
      <c r="C4890" s="2" t="s">
        <v>38</v>
      </c>
      <c r="D4890" s="2" t="s">
        <v>39</v>
      </c>
      <c r="E4890" s="5">
        <v>-31409</v>
      </c>
      <c r="F4890" s="3" t="s">
        <v>168</v>
      </c>
      <c r="G4890" s="3" t="s">
        <v>82</v>
      </c>
      <c r="H4890" s="2" t="s">
        <v>62</v>
      </c>
      <c r="I4890" s="2" t="s">
        <v>11402</v>
      </c>
      <c r="J4890" s="3" t="str">
        <f>HYPERLINK("https://www.boe.es/gazeta/dias/1814/01/01/pdfs/GRE-1814-1.pdf#page=3","Abrir facsímil")</f>
        <v>Abrir facsímil</v>
      </c>
      <c r="K4890" s="3" t="s">
        <v>64</v>
      </c>
    </row>
    <row r="4891" spans="1:11" ht="42" customHeight="1">
      <c r="A4891" s="2" t="s">
        <v>11403</v>
      </c>
      <c r="B4891" s="2" t="s">
        <v>11404</v>
      </c>
      <c r="C4891" s="2" t="s">
        <v>38</v>
      </c>
      <c r="D4891" s="2" t="s">
        <v>39</v>
      </c>
      <c r="E4891" s="5">
        <v>-31308</v>
      </c>
      <c r="F4891" s="3" t="s">
        <v>210</v>
      </c>
      <c r="G4891" s="3" t="s">
        <v>52</v>
      </c>
      <c r="H4891" s="2" t="s">
        <v>62</v>
      </c>
      <c r="I4891" s="2" t="s">
        <v>11405</v>
      </c>
      <c r="J4891" s="3" t="str">
        <f>HYPERLINK("https://www.boe.es/gazeta/dias/1814/04/12/pdfs/GRE-1814-52.pdf#page=8","Abrir facsímil")</f>
        <v>Abrir facsímil</v>
      </c>
      <c r="K4891" s="3" t="s">
        <v>64</v>
      </c>
    </row>
    <row r="4892" spans="1:11" ht="42" customHeight="1">
      <c r="A4892" s="2" t="s">
        <v>11406</v>
      </c>
      <c r="B4892" s="2" t="s">
        <v>11406</v>
      </c>
      <c r="C4892" s="2" t="s">
        <v>38</v>
      </c>
      <c r="D4892" s="2" t="s">
        <v>39</v>
      </c>
      <c r="E4892" s="5">
        <v>-31395</v>
      </c>
      <c r="F4892" s="3" t="s">
        <v>662</v>
      </c>
      <c r="G4892" s="3" t="s">
        <v>20</v>
      </c>
      <c r="H4892" s="2" t="s">
        <v>62</v>
      </c>
      <c r="I4892" s="2" t="s">
        <v>11407</v>
      </c>
      <c r="J4892" s="3" t="str">
        <f>HYPERLINK("https://www.boe.es/gazeta/dias/1814/01/15/pdfs/GRE-1814-8.pdf#page=7","Abrir facsímil")</f>
        <v>Abrir facsímil</v>
      </c>
      <c r="K4892" s="3" t="s">
        <v>64</v>
      </c>
    </row>
    <row r="4893" spans="1:11" ht="42" customHeight="1">
      <c r="A4893" s="2" t="s">
        <v>11408</v>
      </c>
      <c r="B4893" s="2" t="s">
        <v>11408</v>
      </c>
      <c r="C4893" s="2" t="s">
        <v>38</v>
      </c>
      <c r="D4893" s="2" t="s">
        <v>39</v>
      </c>
      <c r="E4893" s="5">
        <v>-31115</v>
      </c>
      <c r="F4893" s="3" t="s">
        <v>805</v>
      </c>
      <c r="G4893" s="3" t="s">
        <v>87</v>
      </c>
      <c r="H4893" s="2" t="s">
        <v>62</v>
      </c>
      <c r="I4893" s="2" t="s">
        <v>11409</v>
      </c>
      <c r="J4893" s="3" t="str">
        <f>HYPERLINK("https://www.boe.es/gazeta/dias/1814/10/22/pdfs/GMD-1814-142.pdf#page=2","Abrir facsímil")</f>
        <v>Abrir facsímil</v>
      </c>
      <c r="K4893" s="3" t="s">
        <v>64</v>
      </c>
    </row>
    <row r="4894" spans="1:11" ht="42" customHeight="1">
      <c r="A4894" s="2" t="s">
        <v>11410</v>
      </c>
      <c r="B4894" s="2" t="s">
        <v>11410</v>
      </c>
      <c r="C4894" s="2" t="s">
        <v>38</v>
      </c>
      <c r="D4894" s="2" t="s">
        <v>39</v>
      </c>
      <c r="E4894" s="5">
        <v>-31213</v>
      </c>
      <c r="F4894" s="3" t="s">
        <v>276</v>
      </c>
      <c r="G4894" s="3" t="s">
        <v>82</v>
      </c>
      <c r="H4894" s="2" t="s">
        <v>62</v>
      </c>
      <c r="I4894" s="2" t="s">
        <v>11411</v>
      </c>
      <c r="J4894" s="3" t="str">
        <f>HYPERLINK("https://www.boe.es/gazeta/dias/1814/07/16/pdfs/GMD-1814-99.pdf#page=3","Abrir facsímil")</f>
        <v>Abrir facsímil</v>
      </c>
      <c r="K4894" s="3" t="s">
        <v>64</v>
      </c>
    </row>
    <row r="4895" spans="1:11" ht="42" customHeight="1">
      <c r="A4895" s="2" t="s">
        <v>11410</v>
      </c>
      <c r="B4895" s="2" t="s">
        <v>11410</v>
      </c>
      <c r="C4895" s="2" t="s">
        <v>17</v>
      </c>
      <c r="D4895" s="2" t="s">
        <v>18</v>
      </c>
      <c r="E4895" s="5">
        <v>-31164</v>
      </c>
      <c r="F4895" s="3" t="s">
        <v>1423</v>
      </c>
      <c r="G4895" s="3" t="s">
        <v>87</v>
      </c>
      <c r="H4895" s="2" t="s">
        <v>62</v>
      </c>
      <c r="I4895" s="2" t="s">
        <v>11412</v>
      </c>
      <c r="J4895" s="3" t="str">
        <f>HYPERLINK("https://www.boe.es/gazeta/dias/1814/09/03/pdfs/GMD-1814-121.pdf#page=2","Abrir facsímil")</f>
        <v>Abrir facsímil</v>
      </c>
      <c r="K4895" s="3" t="s">
        <v>64</v>
      </c>
    </row>
    <row r="4896" spans="1:11" ht="42" customHeight="1">
      <c r="A4896" s="2" t="s">
        <v>11410</v>
      </c>
      <c r="B4896" s="2" t="s">
        <v>11410</v>
      </c>
      <c r="C4896" s="2" t="s">
        <v>38</v>
      </c>
      <c r="D4896" s="2" t="s">
        <v>39</v>
      </c>
      <c r="E4896" s="5">
        <v>-31103</v>
      </c>
      <c r="F4896" s="3" t="s">
        <v>1260</v>
      </c>
      <c r="G4896" s="3" t="s">
        <v>82</v>
      </c>
      <c r="H4896" s="2" t="s">
        <v>62</v>
      </c>
      <c r="I4896" s="2" t="s">
        <v>11413</v>
      </c>
      <c r="J4896" s="3" t="str">
        <f>HYPERLINK("https://www.boe.es/gazeta/dias/1814/11/03/pdfs/GMD-1814-147.pdf#page=3","Abrir facsímil")</f>
        <v>Abrir facsímil</v>
      </c>
      <c r="K4896" s="3" t="s">
        <v>64</v>
      </c>
    </row>
    <row r="4897" spans="1:11" ht="42" customHeight="1">
      <c r="A4897" s="2" t="s">
        <v>11414</v>
      </c>
      <c r="B4897" s="2" t="s">
        <v>11415</v>
      </c>
      <c r="C4897" s="2" t="s">
        <v>26</v>
      </c>
      <c r="D4897" s="2" t="s">
        <v>27</v>
      </c>
      <c r="E4897" s="5">
        <v>-31229</v>
      </c>
      <c r="F4897" s="3" t="s">
        <v>502</v>
      </c>
      <c r="G4897" s="3" t="s">
        <v>57</v>
      </c>
      <c r="H4897" s="2" t="s">
        <v>62</v>
      </c>
      <c r="I4897" s="2" t="s">
        <v>11416</v>
      </c>
      <c r="J4897" s="3" t="str">
        <f>HYPERLINK("https://www.boe.es/gazeta/dias/1814/06/30/pdfs/GMD-1814-92.pdf#page=6","Abrir facsímil")</f>
        <v>Abrir facsímil</v>
      </c>
      <c r="K4897" s="3" t="s">
        <v>64</v>
      </c>
    </row>
    <row r="4898" spans="1:11" ht="42" customHeight="1">
      <c r="A4898" s="2" t="s">
        <v>11417</v>
      </c>
      <c r="B4898" s="2" t="s">
        <v>11417</v>
      </c>
      <c r="C4898" s="2" t="s">
        <v>38</v>
      </c>
      <c r="D4898" s="2" t="s">
        <v>39</v>
      </c>
      <c r="E4898" s="5">
        <v>-31374</v>
      </c>
      <c r="F4898" s="3" t="s">
        <v>474</v>
      </c>
      <c r="G4898" s="3" t="s">
        <v>82</v>
      </c>
      <c r="H4898" s="2" t="s">
        <v>62</v>
      </c>
      <c r="I4898" s="2" t="s">
        <v>11418</v>
      </c>
      <c r="J4898" s="3" t="str">
        <f>HYPERLINK("https://www.boe.es/gazeta/dias/1814/02/05/pdfs/GRE-1814-17.pdf#page=3","Abrir facsímil")</f>
        <v>Abrir facsímil</v>
      </c>
      <c r="K4898" s="3" t="s">
        <v>64</v>
      </c>
    </row>
    <row r="4899" spans="1:11" ht="42" customHeight="1">
      <c r="A4899" s="2" t="s">
        <v>11419</v>
      </c>
      <c r="B4899" s="2" t="s">
        <v>11419</v>
      </c>
      <c r="C4899" s="2" t="s">
        <v>38</v>
      </c>
      <c r="D4899" s="2" t="s">
        <v>39</v>
      </c>
      <c r="E4899" s="5">
        <v>-31399</v>
      </c>
      <c r="F4899" s="3" t="s">
        <v>218</v>
      </c>
      <c r="G4899" s="3" t="s">
        <v>82</v>
      </c>
      <c r="H4899" s="2" t="s">
        <v>62</v>
      </c>
      <c r="I4899" s="2" t="s">
        <v>11420</v>
      </c>
      <c r="J4899" s="3" t="str">
        <f>HYPERLINK("https://www.boe.es/gazeta/dias/1814/01/11/pdfs/GRE-1814-6.pdf#page=3","Abrir facsímil")</f>
        <v>Abrir facsímil</v>
      </c>
      <c r="K4899" s="3" t="s">
        <v>64</v>
      </c>
    </row>
    <row r="4900" spans="1:11" ht="42" customHeight="1">
      <c r="A4900" s="2" t="s">
        <v>11419</v>
      </c>
      <c r="B4900" s="2" t="s">
        <v>11419</v>
      </c>
      <c r="C4900" s="2" t="s">
        <v>38</v>
      </c>
      <c r="D4900" s="2" t="s">
        <v>39</v>
      </c>
      <c r="E4900" s="5">
        <v>-31362</v>
      </c>
      <c r="F4900" s="3" t="s">
        <v>302</v>
      </c>
      <c r="G4900" s="3" t="s">
        <v>2032</v>
      </c>
      <c r="H4900" s="2" t="s">
        <v>62</v>
      </c>
      <c r="I4900" s="2" t="s">
        <v>11421</v>
      </c>
      <c r="J4900" s="3" t="str">
        <f>HYPERLINK("https://www.boe.es/gazeta/dias/1814/02/17/pdfs/GRE-1814-22.pdf#page=5","Abrir facsímil")</f>
        <v>Abrir facsímil</v>
      </c>
      <c r="K4900" s="3" t="s">
        <v>64</v>
      </c>
    </row>
    <row r="4901" spans="1:11" ht="42" customHeight="1">
      <c r="A4901" s="2" t="s">
        <v>11422</v>
      </c>
      <c r="B4901" s="2" t="s">
        <v>11422</v>
      </c>
      <c r="C4901" s="2" t="s">
        <v>38</v>
      </c>
      <c r="D4901" s="2" t="s">
        <v>39</v>
      </c>
      <c r="E4901" s="5">
        <v>-31399</v>
      </c>
      <c r="F4901" s="3" t="s">
        <v>218</v>
      </c>
      <c r="G4901" s="3" t="s">
        <v>41</v>
      </c>
      <c r="H4901" s="2" t="s">
        <v>62</v>
      </c>
      <c r="I4901" s="2" t="s">
        <v>11423</v>
      </c>
      <c r="J4901" s="3" t="str">
        <f>HYPERLINK("https://www.boe.es/gazeta/dias/1814/01/11/pdfs/GRE-1814-6.pdf#page=4","Abrir facsímil")</f>
        <v>Abrir facsímil</v>
      </c>
      <c r="K4901" s="3" t="s">
        <v>64</v>
      </c>
    </row>
    <row r="4902" spans="1:11" ht="42" customHeight="1">
      <c r="A4902" s="2" t="s">
        <v>11424</v>
      </c>
      <c r="B4902" s="2" t="s">
        <v>11424</v>
      </c>
      <c r="C4902" s="2" t="s">
        <v>38</v>
      </c>
      <c r="D4902" s="2" t="s">
        <v>39</v>
      </c>
      <c r="E4902" s="5">
        <v>-31395</v>
      </c>
      <c r="F4902" s="3" t="s">
        <v>662</v>
      </c>
      <c r="G4902" s="3" t="s">
        <v>57</v>
      </c>
      <c r="H4902" s="2" t="s">
        <v>62</v>
      </c>
      <c r="I4902" s="2" t="s">
        <v>11425</v>
      </c>
      <c r="J4902" s="3" t="str">
        <f>HYPERLINK("https://www.boe.es/gazeta/dias/1814/01/15/pdfs/GRE-1814-8.pdf#page=6","Abrir facsímil")</f>
        <v>Abrir facsímil</v>
      </c>
      <c r="K4902" s="3" t="s">
        <v>64</v>
      </c>
    </row>
    <row r="4903" spans="1:11" ht="42" customHeight="1">
      <c r="A4903" s="2" t="s">
        <v>11426</v>
      </c>
      <c r="B4903" s="2" t="s">
        <v>11426</v>
      </c>
      <c r="C4903" s="2" t="s">
        <v>38</v>
      </c>
      <c r="D4903" s="2" t="s">
        <v>39</v>
      </c>
      <c r="E4903" s="5">
        <v>-31334</v>
      </c>
      <c r="F4903" s="3" t="s">
        <v>482</v>
      </c>
      <c r="G4903" s="3" t="s">
        <v>99</v>
      </c>
      <c r="H4903" s="2" t="s">
        <v>62</v>
      </c>
      <c r="I4903" s="2" t="s">
        <v>11427</v>
      </c>
      <c r="J4903" s="3" t="str">
        <f>HYPERLINK("https://www.boe.es/gazeta/dias/1814/03/17/pdfs/GRE-1814-37.pdf#page=5","Abrir facsímil")</f>
        <v>Abrir facsímil</v>
      </c>
      <c r="K4903" s="3" t="s">
        <v>64</v>
      </c>
    </row>
    <row r="4904" spans="1:11" ht="42" customHeight="1">
      <c r="A4904" s="2" t="s">
        <v>11428</v>
      </c>
      <c r="B4904" s="2" t="s">
        <v>11429</v>
      </c>
      <c r="C4904" s="2" t="s">
        <v>38</v>
      </c>
      <c r="D4904" s="2" t="s">
        <v>39</v>
      </c>
      <c r="E4904" s="5">
        <v>-31395</v>
      </c>
      <c r="F4904" s="3" t="s">
        <v>662</v>
      </c>
      <c r="G4904" s="3" t="s">
        <v>82</v>
      </c>
      <c r="H4904" s="2" t="s">
        <v>21</v>
      </c>
      <c r="I4904" s="2" t="s">
        <v>11430</v>
      </c>
      <c r="J4904" s="3" t="str">
        <f>HYPERLINK("https://www.boe.es/gazeta/dias/1814/01/15/pdfs/GRE-1814-8.pdf#page=3","Abrir facsímil")</f>
        <v>Abrir facsímil</v>
      </c>
      <c r="K4904" s="3" t="s">
        <v>23</v>
      </c>
    </row>
    <row r="4905" spans="1:11" ht="42" customHeight="1">
      <c r="A4905" s="2" t="s">
        <v>11431</v>
      </c>
      <c r="B4905" s="2" t="s">
        <v>11432</v>
      </c>
      <c r="C4905" s="2" t="s">
        <v>38</v>
      </c>
      <c r="D4905" s="2" t="s">
        <v>39</v>
      </c>
      <c r="E4905" s="5">
        <v>-31395</v>
      </c>
      <c r="F4905" s="3" t="s">
        <v>662</v>
      </c>
      <c r="G4905" s="3" t="s">
        <v>82</v>
      </c>
      <c r="H4905" s="2" t="s">
        <v>62</v>
      </c>
      <c r="I4905" s="2" t="s">
        <v>11433</v>
      </c>
      <c r="J4905" s="3" t="str">
        <f>HYPERLINK("https://www.boe.es/gazeta/dias/1814/01/15/pdfs/GRE-1814-8.pdf#page=3","Abrir facsímil")</f>
        <v>Abrir facsímil</v>
      </c>
      <c r="K4905" s="3" t="s">
        <v>64</v>
      </c>
    </row>
    <row r="4906" spans="1:11" ht="42" customHeight="1">
      <c r="A4906" s="2" t="s">
        <v>11431</v>
      </c>
      <c r="B4906" s="2" t="s">
        <v>11432</v>
      </c>
      <c r="C4906" s="2" t="s">
        <v>38</v>
      </c>
      <c r="D4906" s="2" t="s">
        <v>39</v>
      </c>
      <c r="E4906" s="5">
        <v>-31392</v>
      </c>
      <c r="F4906" s="3" t="s">
        <v>195</v>
      </c>
      <c r="G4906" s="3" t="s">
        <v>82</v>
      </c>
      <c r="H4906" s="2" t="s">
        <v>62</v>
      </c>
      <c r="I4906" s="2" t="s">
        <v>11434</v>
      </c>
      <c r="J4906" s="3" t="str">
        <f>HYPERLINK("https://www.boe.es/gazeta/dias/1814/01/18/pdfs/GRE-1814-9.pdf#page=3","Abrir facsímil")</f>
        <v>Abrir facsímil</v>
      </c>
      <c r="K4906" s="3" t="s">
        <v>64</v>
      </c>
    </row>
    <row r="4907" spans="1:11" ht="42" customHeight="1">
      <c r="A4907" s="2" t="s">
        <v>11435</v>
      </c>
      <c r="B4907" s="2" t="s">
        <v>11436</v>
      </c>
      <c r="C4907" s="2" t="s">
        <v>38</v>
      </c>
      <c r="D4907" s="2" t="s">
        <v>39</v>
      </c>
      <c r="E4907" s="5">
        <v>-31073</v>
      </c>
      <c r="F4907" s="3" t="s">
        <v>3052</v>
      </c>
      <c r="G4907" s="3" t="s">
        <v>107</v>
      </c>
      <c r="H4907" s="2" t="s">
        <v>62</v>
      </c>
      <c r="I4907" s="2" t="s">
        <v>11437</v>
      </c>
      <c r="J4907" s="3" t="str">
        <f>HYPERLINK("https://www.boe.es/gazeta/dias/1814/12/03/pdfs/GMD-1814-160.pdf#page=1","Abrir facsímil")</f>
        <v>Abrir facsímil</v>
      </c>
      <c r="K4907" s="3" t="s">
        <v>64</v>
      </c>
    </row>
    <row r="4908" spans="1:11" ht="42" customHeight="1">
      <c r="A4908" s="2" t="s">
        <v>11438</v>
      </c>
      <c r="B4908" s="2" t="s">
        <v>11439</v>
      </c>
      <c r="C4908" s="2" t="s">
        <v>38</v>
      </c>
      <c r="D4908" s="2" t="s">
        <v>314</v>
      </c>
      <c r="E4908" s="5">
        <v>-31296</v>
      </c>
      <c r="F4908" s="3" t="s">
        <v>315</v>
      </c>
      <c r="G4908" s="3" t="s">
        <v>52</v>
      </c>
      <c r="H4908" s="2" t="s">
        <v>62</v>
      </c>
      <c r="I4908" s="2" t="s">
        <v>11440</v>
      </c>
      <c r="J4908" s="3" t="str">
        <f>HYPERLINK("https://www.boe.es/gazeta/dias/1814/04/24/pdfs/GRE-1814-60E.pdf#page=8","Abrir facsímil")</f>
        <v>Abrir facsímil</v>
      </c>
      <c r="K4908" s="3" t="s">
        <v>64</v>
      </c>
    </row>
    <row r="4909" spans="1:11" ht="42" customHeight="1">
      <c r="A4909" s="2" t="s">
        <v>11441</v>
      </c>
      <c r="B4909" s="2" t="s">
        <v>11442</v>
      </c>
      <c r="C4909" s="2" t="s">
        <v>38</v>
      </c>
      <c r="D4909" s="2" t="s">
        <v>39</v>
      </c>
      <c r="E4909" s="5">
        <v>-31376</v>
      </c>
      <c r="F4909" s="3" t="s">
        <v>1954</v>
      </c>
      <c r="G4909" s="3" t="s">
        <v>2546</v>
      </c>
      <c r="H4909" s="2" t="s">
        <v>62</v>
      </c>
      <c r="I4909" s="2" t="s">
        <v>11443</v>
      </c>
      <c r="J4909" s="3" t="str">
        <f>HYPERLINK("https://www.boe.es/gazeta/dias/1814/02/03/pdfs/GRE-1814-16.pdf#page=5","Abrir facsímil")</f>
        <v>Abrir facsímil</v>
      </c>
      <c r="K4909" s="3" t="s">
        <v>64</v>
      </c>
    </row>
    <row r="4910" spans="1:11" ht="42" customHeight="1">
      <c r="A4910" s="2" t="s">
        <v>11444</v>
      </c>
      <c r="B4910" s="2" t="s">
        <v>11444</v>
      </c>
      <c r="C4910" s="2" t="s">
        <v>38</v>
      </c>
      <c r="D4910" s="2" t="s">
        <v>314</v>
      </c>
      <c r="E4910" s="5">
        <v>-31294</v>
      </c>
      <c r="F4910" s="3" t="s">
        <v>2505</v>
      </c>
      <c r="G4910" s="3" t="s">
        <v>87</v>
      </c>
      <c r="H4910" s="2" t="s">
        <v>62</v>
      </c>
      <c r="I4910" s="2" t="s">
        <v>11445</v>
      </c>
      <c r="J4910" s="3" t="str">
        <f>HYPERLINK("https://www.boe.es/gazeta/dias/1814/04/26/pdfs/GRE-1814-62E.pdf#page=2","Abrir facsímil")</f>
        <v>Abrir facsímil</v>
      </c>
      <c r="K4910" s="3" t="s">
        <v>64</v>
      </c>
    </row>
    <row r="4911" spans="1:11" ht="42" customHeight="1">
      <c r="A4911" s="2" t="s">
        <v>11446</v>
      </c>
      <c r="B4911" s="2" t="s">
        <v>11446</v>
      </c>
      <c r="C4911" s="2" t="s">
        <v>38</v>
      </c>
      <c r="D4911" s="2" t="s">
        <v>39</v>
      </c>
      <c r="E4911" s="5">
        <v>-31360</v>
      </c>
      <c r="F4911" s="3" t="s">
        <v>480</v>
      </c>
      <c r="G4911" s="3" t="s">
        <v>20</v>
      </c>
      <c r="H4911" s="2" t="s">
        <v>62</v>
      </c>
      <c r="I4911" s="2" t="s">
        <v>11447</v>
      </c>
      <c r="J4911" s="3" t="str">
        <f>HYPERLINK("https://www.boe.es/gazeta/dias/1814/02/19/pdfs/GRE-1814-23.pdf#page=7","Abrir facsímil")</f>
        <v>Abrir facsímil</v>
      </c>
      <c r="K4911" s="3" t="s">
        <v>64</v>
      </c>
    </row>
    <row r="4912" spans="1:11" ht="42" customHeight="1">
      <c r="A4912" s="2" t="s">
        <v>11446</v>
      </c>
      <c r="B4912" s="2" t="s">
        <v>11446</v>
      </c>
      <c r="C4912" s="2" t="s">
        <v>17</v>
      </c>
      <c r="D4912" s="2" t="s">
        <v>314</v>
      </c>
      <c r="E4912" s="5">
        <v>-31359</v>
      </c>
      <c r="F4912" s="3" t="s">
        <v>11448</v>
      </c>
      <c r="G4912" s="3" t="s">
        <v>107</v>
      </c>
      <c r="H4912" s="2" t="s">
        <v>62</v>
      </c>
      <c r="I4912" s="2" t="s">
        <v>11449</v>
      </c>
      <c r="J4912" s="3" t="str">
        <f>HYPERLINK("https://www.boe.es/gazeta/dias/1814/02/20/pdfs/GRE-1814-24E.pdf#page=1","Abrir facsímil")</f>
        <v>Abrir facsímil</v>
      </c>
      <c r="K4912" s="3" t="s">
        <v>64</v>
      </c>
    </row>
    <row r="4913" spans="1:11" ht="42" customHeight="1">
      <c r="A4913" s="2" t="s">
        <v>11446</v>
      </c>
      <c r="B4913" s="2" t="s">
        <v>11446</v>
      </c>
      <c r="C4913" s="2" t="s">
        <v>38</v>
      </c>
      <c r="D4913" s="2" t="s">
        <v>314</v>
      </c>
      <c r="E4913" s="5">
        <v>-31341</v>
      </c>
      <c r="F4913" s="3" t="s">
        <v>354</v>
      </c>
      <c r="G4913" s="3" t="s">
        <v>99</v>
      </c>
      <c r="H4913" s="2" t="s">
        <v>62</v>
      </c>
      <c r="I4913" s="2" t="s">
        <v>11450</v>
      </c>
      <c r="J4913" s="3" t="str">
        <f>HYPERLINK("https://www.boe.es/gazeta/dias/1814/03/10/pdfs/GRE-1814-34E.pdf#page=5","Abrir facsímil")</f>
        <v>Abrir facsímil</v>
      </c>
      <c r="K4913" s="3" t="s">
        <v>64</v>
      </c>
    </row>
    <row r="4914" spans="1:11" ht="42" customHeight="1">
      <c r="A4914" s="2" t="s">
        <v>11446</v>
      </c>
      <c r="B4914" s="2" t="s">
        <v>11446</v>
      </c>
      <c r="C4914" s="2" t="s">
        <v>38</v>
      </c>
      <c r="D4914" s="2" t="s">
        <v>314</v>
      </c>
      <c r="E4914" s="5">
        <v>-31328</v>
      </c>
      <c r="F4914" s="3" t="s">
        <v>442</v>
      </c>
      <c r="G4914" s="3" t="s">
        <v>52</v>
      </c>
      <c r="H4914" s="2" t="s">
        <v>62</v>
      </c>
      <c r="I4914" s="2" t="s">
        <v>11451</v>
      </c>
      <c r="J4914" s="3" t="str">
        <f>HYPERLINK("https://www.boe.es/gazeta/dias/1814/03/23/pdfs/GRE-1814-40E.pdf#page=8","Abrir facsímil")</f>
        <v>Abrir facsímil</v>
      </c>
      <c r="K4914" s="3" t="s">
        <v>64</v>
      </c>
    </row>
    <row r="4915" spans="1:11" ht="42" customHeight="1">
      <c r="A4915" s="2" t="s">
        <v>11446</v>
      </c>
      <c r="B4915" s="2" t="s">
        <v>11446</v>
      </c>
      <c r="C4915" s="2" t="s">
        <v>38</v>
      </c>
      <c r="D4915" s="2" t="s">
        <v>39</v>
      </c>
      <c r="E4915" s="5">
        <v>-31325</v>
      </c>
      <c r="F4915" s="3" t="s">
        <v>67</v>
      </c>
      <c r="G4915" s="3" t="s">
        <v>57</v>
      </c>
      <c r="H4915" s="2" t="s">
        <v>62</v>
      </c>
      <c r="I4915" s="2" t="s">
        <v>11452</v>
      </c>
      <c r="J4915" s="3" t="str">
        <f>HYPERLINK("https://www.boe.es/gazeta/dias/1814/03/26/pdfs/GRE-1814-43.pdf#page=6","Abrir facsímil")</f>
        <v>Abrir facsímil</v>
      </c>
      <c r="K4915" s="3" t="s">
        <v>64</v>
      </c>
    </row>
    <row r="4916" spans="1:11" ht="42" customHeight="1">
      <c r="A4916" s="2" t="s">
        <v>11446</v>
      </c>
      <c r="B4916" s="2" t="s">
        <v>11446</v>
      </c>
      <c r="C4916" s="2" t="s">
        <v>38</v>
      </c>
      <c r="D4916" s="2" t="s">
        <v>314</v>
      </c>
      <c r="E4916" s="5">
        <v>-31322</v>
      </c>
      <c r="F4916" s="3" t="s">
        <v>883</v>
      </c>
      <c r="G4916" s="3" t="s">
        <v>107</v>
      </c>
      <c r="H4916" s="2" t="s">
        <v>62</v>
      </c>
      <c r="I4916" s="2" t="s">
        <v>11453</v>
      </c>
      <c r="J4916" s="3" t="str">
        <f>HYPERLINK("https://www.boe.es/gazeta/dias/1814/03/29/pdfs/GRE-1814-45E.pdf#page=1","Abrir facsímil")</f>
        <v>Abrir facsímil</v>
      </c>
      <c r="K4916" s="3" t="s">
        <v>64</v>
      </c>
    </row>
    <row r="4917" spans="1:11" ht="42" customHeight="1">
      <c r="A4917" s="2" t="s">
        <v>11446</v>
      </c>
      <c r="B4917" s="2" t="s">
        <v>11446</v>
      </c>
      <c r="C4917" s="2" t="s">
        <v>38</v>
      </c>
      <c r="D4917" s="2" t="s">
        <v>39</v>
      </c>
      <c r="E4917" s="5">
        <v>-31299</v>
      </c>
      <c r="F4917" s="3" t="s">
        <v>71</v>
      </c>
      <c r="G4917" s="3" t="s">
        <v>99</v>
      </c>
      <c r="H4917" s="2" t="s">
        <v>62</v>
      </c>
      <c r="I4917" s="2" t="s">
        <v>11454</v>
      </c>
      <c r="J4917" s="3" t="str">
        <f>HYPERLINK("https://www.boe.es/gazeta/dias/1814/04/21/pdfs/GRE-1814-57.pdf#page=5","Abrir facsímil")</f>
        <v>Abrir facsímil</v>
      </c>
      <c r="K4917" s="3" t="s">
        <v>64</v>
      </c>
    </row>
    <row r="4918" spans="1:11" ht="42" customHeight="1">
      <c r="A4918" s="2" t="s">
        <v>11446</v>
      </c>
      <c r="B4918" s="2" t="s">
        <v>11446</v>
      </c>
      <c r="C4918" s="2" t="s">
        <v>38</v>
      </c>
      <c r="D4918" s="2" t="s">
        <v>314</v>
      </c>
      <c r="E4918" s="5">
        <v>-31294</v>
      </c>
      <c r="F4918" s="3" t="s">
        <v>2505</v>
      </c>
      <c r="G4918" s="3" t="s">
        <v>107</v>
      </c>
      <c r="H4918" s="2" t="s">
        <v>62</v>
      </c>
      <c r="I4918" s="2" t="s">
        <v>11455</v>
      </c>
      <c r="J4918" s="3" t="str">
        <f>HYPERLINK("https://www.boe.es/gazeta/dias/1814/04/26/pdfs/GRE-1814-62E.pdf#page=1","Abrir facsímil")</f>
        <v>Abrir facsímil</v>
      </c>
      <c r="K4918" s="3" t="s">
        <v>64</v>
      </c>
    </row>
    <row r="4919" spans="1:11" ht="42" customHeight="1">
      <c r="A4919" s="2" t="s">
        <v>11446</v>
      </c>
      <c r="B4919" s="2" t="s">
        <v>11446</v>
      </c>
      <c r="C4919" s="2" t="s">
        <v>38</v>
      </c>
      <c r="D4919" s="2" t="s">
        <v>314</v>
      </c>
      <c r="E4919" s="5">
        <v>-31294</v>
      </c>
      <c r="F4919" s="3" t="s">
        <v>2505</v>
      </c>
      <c r="G4919" s="3" t="s">
        <v>87</v>
      </c>
      <c r="H4919" s="2" t="s">
        <v>62</v>
      </c>
      <c r="I4919" s="2" t="s">
        <v>11456</v>
      </c>
      <c r="J4919" s="3" t="str">
        <f>HYPERLINK("https://www.boe.es/gazeta/dias/1814/04/26/pdfs/GRE-1814-62E.pdf#page=2","Abrir facsímil")</f>
        <v>Abrir facsímil</v>
      </c>
      <c r="K4919" s="3" t="s">
        <v>64</v>
      </c>
    </row>
    <row r="4920" spans="1:11" ht="42" customHeight="1">
      <c r="A4920" s="2" t="s">
        <v>11446</v>
      </c>
      <c r="B4920" s="2" t="s">
        <v>11446</v>
      </c>
      <c r="C4920" s="2" t="s">
        <v>38</v>
      </c>
      <c r="D4920" s="2" t="s">
        <v>314</v>
      </c>
      <c r="E4920" s="5">
        <v>-31294</v>
      </c>
      <c r="F4920" s="3" t="s">
        <v>2505</v>
      </c>
      <c r="G4920" s="3" t="s">
        <v>20</v>
      </c>
      <c r="H4920" s="2" t="s">
        <v>62</v>
      </c>
      <c r="I4920" s="2" t="s">
        <v>11457</v>
      </c>
      <c r="J4920" s="3" t="str">
        <f>HYPERLINK("https://www.boe.es/gazeta/dias/1814/04/26/pdfs/GRE-1814-62E.pdf#page=7","Abrir facsímil")</f>
        <v>Abrir facsímil</v>
      </c>
      <c r="K4920" s="3" t="s">
        <v>64</v>
      </c>
    </row>
    <row r="4921" spans="1:11" ht="42" customHeight="1">
      <c r="A4921" s="2" t="s">
        <v>11446</v>
      </c>
      <c r="B4921" s="2" t="s">
        <v>11446</v>
      </c>
      <c r="C4921" s="2" t="s">
        <v>38</v>
      </c>
      <c r="D4921" s="2" t="s">
        <v>314</v>
      </c>
      <c r="E4921" s="5">
        <v>-31294</v>
      </c>
      <c r="F4921" s="3" t="s">
        <v>2505</v>
      </c>
      <c r="G4921" s="3" t="s">
        <v>52</v>
      </c>
      <c r="H4921" s="2" t="s">
        <v>62</v>
      </c>
      <c r="I4921" s="2" t="s">
        <v>11458</v>
      </c>
      <c r="J4921" s="3" t="str">
        <f>HYPERLINK("https://www.boe.es/gazeta/dias/1814/04/26/pdfs/GRE-1814-62E.pdf#page=8","Abrir facsímil")</f>
        <v>Abrir facsímil</v>
      </c>
      <c r="K4921" s="3" t="s">
        <v>64</v>
      </c>
    </row>
    <row r="4922" spans="1:11" ht="42" customHeight="1">
      <c r="A4922" s="2" t="s">
        <v>11446</v>
      </c>
      <c r="B4922" s="2" t="s">
        <v>11446</v>
      </c>
      <c r="C4922" s="2" t="s">
        <v>38</v>
      </c>
      <c r="D4922" s="2" t="s">
        <v>39</v>
      </c>
      <c r="E4922" s="5">
        <v>-31283</v>
      </c>
      <c r="F4922" s="3" t="s">
        <v>701</v>
      </c>
      <c r="G4922" s="3" t="s">
        <v>99</v>
      </c>
      <c r="H4922" s="2" t="s">
        <v>62</v>
      </c>
      <c r="I4922" s="2" t="s">
        <v>11459</v>
      </c>
      <c r="J4922" s="3" t="str">
        <f>HYPERLINK("https://www.boe.es/gazeta/dias/1814/05/07/pdfs/GRE-1814-67.pdf#page=5","Abrir facsímil")</f>
        <v>Abrir facsímil</v>
      </c>
      <c r="K4922" s="3" t="s">
        <v>64</v>
      </c>
    </row>
    <row r="4923" spans="1:11" ht="42" customHeight="1">
      <c r="A4923" s="2" t="s">
        <v>11460</v>
      </c>
      <c r="B4923" s="2" t="s">
        <v>11461</v>
      </c>
      <c r="C4923" s="2" t="s">
        <v>38</v>
      </c>
      <c r="D4923" s="2" t="s">
        <v>39</v>
      </c>
      <c r="E4923" s="5">
        <v>-31339</v>
      </c>
      <c r="F4923" s="3" t="s">
        <v>641</v>
      </c>
      <c r="G4923" s="3" t="s">
        <v>52</v>
      </c>
      <c r="H4923" s="2" t="s">
        <v>21</v>
      </c>
      <c r="I4923" s="2" t="s">
        <v>11462</v>
      </c>
      <c r="J4923" s="3" t="str">
        <f>HYPERLINK("https://www.boe.es/gazeta/dias/1814/03/12/pdfs/GRE-1814-35.pdf#page=8","Abrir facsímil")</f>
        <v>Abrir facsímil</v>
      </c>
      <c r="K4923" s="3" t="s">
        <v>23</v>
      </c>
    </row>
    <row r="4924" spans="1:11" ht="42" customHeight="1">
      <c r="A4924" s="2" t="s">
        <v>11463</v>
      </c>
      <c r="B4924" s="2" t="s">
        <v>11464</v>
      </c>
      <c r="C4924" s="2" t="s">
        <v>38</v>
      </c>
      <c r="D4924" s="2" t="s">
        <v>39</v>
      </c>
      <c r="E4924" s="5">
        <v>-31119</v>
      </c>
      <c r="F4924" s="3" t="s">
        <v>136</v>
      </c>
      <c r="G4924" s="3" t="s">
        <v>137</v>
      </c>
      <c r="H4924" s="2" t="s">
        <v>21</v>
      </c>
      <c r="I4924" s="2" t="s">
        <v>11465</v>
      </c>
      <c r="J4924" s="3" t="str">
        <f>HYPERLINK("https://www.boe.es/gazeta/dias/1814/10/18/pdfs/GMD-1814-140.pdf#page=9","Abrir facsímil")</f>
        <v>Abrir facsímil</v>
      </c>
      <c r="K4924" s="3" t="s">
        <v>23</v>
      </c>
    </row>
    <row r="4925" spans="1:11" ht="42" customHeight="1">
      <c r="A4925" s="2" t="s">
        <v>11466</v>
      </c>
      <c r="B4925" s="2" t="s">
        <v>11466</v>
      </c>
      <c r="C4925" s="2" t="s">
        <v>38</v>
      </c>
      <c r="D4925" s="2" t="s">
        <v>39</v>
      </c>
      <c r="E4925" s="5">
        <v>-31208</v>
      </c>
      <c r="F4925" s="3" t="s">
        <v>509</v>
      </c>
      <c r="G4925" s="3" t="s">
        <v>107</v>
      </c>
      <c r="H4925" s="2" t="s">
        <v>62</v>
      </c>
      <c r="I4925" s="2" t="s">
        <v>11467</v>
      </c>
      <c r="J4925" s="3" t="str">
        <f>HYPERLINK("https://www.boe.es/gazeta/dias/1814/07/21/pdfs/GMD-1814-101.pdf#page=1","Abrir facsímil")</f>
        <v>Abrir facsímil</v>
      </c>
      <c r="K4925" s="3" t="s">
        <v>64</v>
      </c>
    </row>
    <row r="4926" spans="1:11" ht="42" customHeight="1">
      <c r="A4926" s="2" t="s">
        <v>11468</v>
      </c>
      <c r="B4926" s="2" t="s">
        <v>11468</v>
      </c>
      <c r="C4926" s="2" t="s">
        <v>38</v>
      </c>
      <c r="D4926" s="2" t="s">
        <v>39</v>
      </c>
      <c r="E4926" s="5">
        <v>-31066</v>
      </c>
      <c r="F4926" s="3" t="s">
        <v>1323</v>
      </c>
      <c r="G4926" s="3" t="s">
        <v>20</v>
      </c>
      <c r="H4926" s="2" t="s">
        <v>62</v>
      </c>
      <c r="I4926" s="2" t="s">
        <v>11469</v>
      </c>
      <c r="J4926" s="3" t="str">
        <f>HYPERLINK("https://www.boe.es/gazeta/dias/1814/12/10/pdfs/GMD-1814-163.pdf#page=7","Abrir facsímil")</f>
        <v>Abrir facsímil</v>
      </c>
      <c r="K4926" s="3" t="s">
        <v>64</v>
      </c>
    </row>
    <row r="4927" spans="1:11" ht="42" customHeight="1">
      <c r="A4927" s="2" t="s">
        <v>11470</v>
      </c>
      <c r="B4927" s="2" t="s">
        <v>11470</v>
      </c>
      <c r="C4927" s="2" t="s">
        <v>38</v>
      </c>
      <c r="D4927" s="2" t="s">
        <v>39</v>
      </c>
      <c r="E4927" s="5">
        <v>-31063</v>
      </c>
      <c r="F4927" s="3" t="s">
        <v>649</v>
      </c>
      <c r="G4927" s="3" t="s">
        <v>87</v>
      </c>
      <c r="H4927" s="2" t="s">
        <v>62</v>
      </c>
      <c r="I4927" s="2" t="s">
        <v>11471</v>
      </c>
      <c r="J4927" s="3" t="str">
        <f>HYPERLINK("https://www.boe.es/gazeta/dias/1814/12/13/pdfs/GMD-1814-164.pdf#page=2","Abrir facsímil")</f>
        <v>Abrir facsímil</v>
      </c>
      <c r="K4927" s="3" t="s">
        <v>64</v>
      </c>
    </row>
    <row r="4928" spans="1:11" ht="42" customHeight="1">
      <c r="A4928" s="2" t="s">
        <v>11472</v>
      </c>
      <c r="B4928" s="2" t="s">
        <v>11472</v>
      </c>
      <c r="C4928" s="2" t="s">
        <v>38</v>
      </c>
      <c r="D4928" s="2" t="s">
        <v>39</v>
      </c>
      <c r="E4928" s="5">
        <v>-31283</v>
      </c>
      <c r="F4928" s="3" t="s">
        <v>701</v>
      </c>
      <c r="G4928" s="3" t="s">
        <v>82</v>
      </c>
      <c r="H4928" s="2" t="s">
        <v>62</v>
      </c>
      <c r="I4928" s="2" t="s">
        <v>11473</v>
      </c>
      <c r="J4928" s="3" t="str">
        <f>HYPERLINK("https://www.boe.es/gazeta/dias/1814/05/07/pdfs/GRE-1814-67.pdf#page=3","Abrir facsímil")</f>
        <v>Abrir facsímil</v>
      </c>
      <c r="K4928" s="3" t="s">
        <v>64</v>
      </c>
    </row>
    <row r="4929" spans="1:11" ht="42" customHeight="1">
      <c r="A4929" s="2" t="s">
        <v>11474</v>
      </c>
      <c r="B4929" s="2" t="s">
        <v>11475</v>
      </c>
      <c r="C4929" s="2" t="s">
        <v>26</v>
      </c>
      <c r="D4929" s="2" t="s">
        <v>27</v>
      </c>
      <c r="E4929" s="5">
        <v>-31243</v>
      </c>
      <c r="F4929" s="3" t="s">
        <v>500</v>
      </c>
      <c r="G4929" s="3" t="s">
        <v>10851</v>
      </c>
      <c r="H4929" s="2" t="s">
        <v>21</v>
      </c>
      <c r="I4929" s="2" t="s">
        <v>11476</v>
      </c>
      <c r="J4929" s="3" t="str">
        <f>HYPERLINK("https://www.boe.es/gazeta/dias/1814/06/16/pdfs/GMD-1814-86.pdf#page=8","Abrir facsímil")</f>
        <v>Abrir facsímil</v>
      </c>
      <c r="K4929" s="3" t="s">
        <v>23</v>
      </c>
    </row>
    <row r="4930" spans="1:11" ht="42" customHeight="1">
      <c r="A4930" s="2" t="s">
        <v>11474</v>
      </c>
      <c r="B4930" s="2" t="s">
        <v>11475</v>
      </c>
      <c r="C4930" s="2" t="s">
        <v>26</v>
      </c>
      <c r="D4930" s="2" t="s">
        <v>27</v>
      </c>
      <c r="E4930" s="5">
        <v>-31145</v>
      </c>
      <c r="F4930" s="3" t="s">
        <v>523</v>
      </c>
      <c r="G4930" s="3" t="s">
        <v>20</v>
      </c>
      <c r="H4930" s="2" t="s">
        <v>21</v>
      </c>
      <c r="I4930" s="2" t="s">
        <v>11477</v>
      </c>
      <c r="J4930" s="3" t="str">
        <f>HYPERLINK("https://www.boe.es/gazeta/dias/1814/09/22/pdfs/GMD-1814-129.pdf#page=7","Abrir facsímil")</f>
        <v>Abrir facsímil</v>
      </c>
      <c r="K4930" s="3" t="s">
        <v>23</v>
      </c>
    </row>
    <row r="4931" spans="1:11" ht="42" customHeight="1">
      <c r="A4931" s="2" t="s">
        <v>11478</v>
      </c>
      <c r="B4931" s="2" t="s">
        <v>11478</v>
      </c>
      <c r="C4931" s="2" t="s">
        <v>38</v>
      </c>
      <c r="D4931" s="2" t="s">
        <v>39</v>
      </c>
      <c r="E4931" s="5">
        <v>-31304</v>
      </c>
      <c r="F4931" s="3" t="s">
        <v>1964</v>
      </c>
      <c r="G4931" s="3" t="s">
        <v>41</v>
      </c>
      <c r="H4931" s="2" t="s">
        <v>62</v>
      </c>
      <c r="I4931" s="2" t="s">
        <v>11479</v>
      </c>
      <c r="J4931" s="3" t="str">
        <f>HYPERLINK("https://www.boe.es/gazeta/dias/1814/04/16/pdfs/GRE-1814-55.pdf#page=4","Abrir facsímil")</f>
        <v>Abrir facsímil</v>
      </c>
      <c r="K4931" s="3" t="s">
        <v>64</v>
      </c>
    </row>
    <row r="4932" spans="1:11" ht="42" customHeight="1">
      <c r="A4932" s="2" t="s">
        <v>11480</v>
      </c>
      <c r="B4932" s="2" t="s">
        <v>11481</v>
      </c>
      <c r="C4932" s="2" t="s">
        <v>26</v>
      </c>
      <c r="D4932" s="2" t="s">
        <v>27</v>
      </c>
      <c r="E4932" s="5">
        <v>-31192</v>
      </c>
      <c r="F4932" s="3" t="s">
        <v>388</v>
      </c>
      <c r="G4932" s="3" t="s">
        <v>20</v>
      </c>
      <c r="H4932" s="2" t="s">
        <v>21</v>
      </c>
      <c r="I4932" s="2" t="s">
        <v>11482</v>
      </c>
      <c r="J4932" s="3" t="str">
        <f>HYPERLINK("https://www.boe.es/gazeta/dias/1814/08/06/pdfs/GMD-1814-108.pdf#page=7","Abrir facsímil")</f>
        <v>Abrir facsímil</v>
      </c>
      <c r="K4932" s="3" t="s">
        <v>23</v>
      </c>
    </row>
    <row r="4933" spans="1:11" ht="42" customHeight="1">
      <c r="A4933" s="2" t="s">
        <v>11483</v>
      </c>
      <c r="B4933" s="2" t="s">
        <v>11484</v>
      </c>
      <c r="C4933" s="2" t="s">
        <v>38</v>
      </c>
      <c r="D4933" s="2" t="s">
        <v>39</v>
      </c>
      <c r="E4933" s="5">
        <v>-31381</v>
      </c>
      <c r="F4933" s="3" t="s">
        <v>989</v>
      </c>
      <c r="G4933" s="3" t="s">
        <v>52</v>
      </c>
      <c r="H4933" s="2" t="s">
        <v>62</v>
      </c>
      <c r="I4933" s="2" t="s">
        <v>11485</v>
      </c>
      <c r="J4933" s="3" t="str">
        <f>HYPERLINK("https://www.boe.es/gazeta/dias/1814/01/29/pdfs/GRE-1814-14.pdf#page=8","Abrir facsímil")</f>
        <v>Abrir facsímil</v>
      </c>
      <c r="K4933" s="3" t="s">
        <v>64</v>
      </c>
    </row>
    <row r="4934" spans="1:11" ht="42" customHeight="1">
      <c r="A4934" s="2" t="s">
        <v>11486</v>
      </c>
      <c r="B4934" s="2" t="s">
        <v>11487</v>
      </c>
      <c r="C4934" s="2" t="s">
        <v>38</v>
      </c>
      <c r="D4934" s="2" t="s">
        <v>39</v>
      </c>
      <c r="E4934" s="5">
        <v>-31133</v>
      </c>
      <c r="F4934" s="3" t="s">
        <v>184</v>
      </c>
      <c r="G4934" s="3" t="s">
        <v>20</v>
      </c>
      <c r="H4934" s="2" t="s">
        <v>62</v>
      </c>
      <c r="I4934" s="2" t="s">
        <v>11488</v>
      </c>
      <c r="J4934" s="3" t="str">
        <f>HYPERLINK("https://www.boe.es/gazeta/dias/1814/10/04/pdfs/GMD-1814-134.pdf#page=7","Abrir facsímil")</f>
        <v>Abrir facsímil</v>
      </c>
      <c r="K4934" s="3" t="s">
        <v>64</v>
      </c>
    </row>
    <row r="4935" spans="1:11" ht="42" customHeight="1">
      <c r="A4935" s="2" t="s">
        <v>11489</v>
      </c>
      <c r="B4935" s="2" t="s">
        <v>11490</v>
      </c>
      <c r="C4935" s="2" t="s">
        <v>45</v>
      </c>
      <c r="D4935" s="2" t="s">
        <v>18</v>
      </c>
      <c r="E4935" s="5">
        <v>-31075</v>
      </c>
      <c r="F4935" s="3" t="s">
        <v>537</v>
      </c>
      <c r="G4935" s="3" t="s">
        <v>3835</v>
      </c>
      <c r="H4935" s="2" t="s">
        <v>62</v>
      </c>
      <c r="I4935" s="2" t="s">
        <v>11491</v>
      </c>
      <c r="J4935" s="3" t="str">
        <f>HYPERLINK("https://www.boe.es/gazeta/dias/1814/12/01/pdfs/GMD-1814-159.pdf#page=5","Abrir facsímil")</f>
        <v>Abrir facsímil</v>
      </c>
      <c r="K4935" s="3" t="s">
        <v>64</v>
      </c>
    </row>
    <row r="4936" spans="1:11" ht="42" customHeight="1">
      <c r="A4936" s="2" t="s">
        <v>11492</v>
      </c>
      <c r="B4936" s="2" t="s">
        <v>11493</v>
      </c>
      <c r="C4936" s="2" t="s">
        <v>26</v>
      </c>
      <c r="D4936" s="2" t="s">
        <v>27</v>
      </c>
      <c r="E4936" s="5">
        <v>-31224</v>
      </c>
      <c r="F4936" s="3" t="s">
        <v>609</v>
      </c>
      <c r="G4936" s="3" t="s">
        <v>87</v>
      </c>
      <c r="H4936" s="2" t="s">
        <v>62</v>
      </c>
      <c r="I4936" s="2" t="s">
        <v>11494</v>
      </c>
      <c r="J4936" s="3" t="str">
        <f>HYPERLINK("https://www.boe.es/gazeta/dias/1814/07/05/pdfs/GMD-1814-94.pdf#page=2","Abrir facsímil")</f>
        <v>Abrir facsímil</v>
      </c>
      <c r="K4936" s="3" t="s">
        <v>64</v>
      </c>
    </row>
    <row r="4937" spans="1:11" ht="42" customHeight="1">
      <c r="A4937" s="2" t="s">
        <v>11495</v>
      </c>
      <c r="B4937" s="2" t="s">
        <v>11495</v>
      </c>
      <c r="C4937" s="2" t="s">
        <v>17</v>
      </c>
      <c r="D4937" s="2" t="s">
        <v>18</v>
      </c>
      <c r="E4937" s="5">
        <v>-31061</v>
      </c>
      <c r="F4937" s="3" t="s">
        <v>329</v>
      </c>
      <c r="G4937" s="3" t="s">
        <v>4720</v>
      </c>
      <c r="H4937" s="2" t="s">
        <v>62</v>
      </c>
      <c r="I4937" s="2" t="s">
        <v>11496</v>
      </c>
      <c r="J4937" s="3" t="str">
        <f>HYPERLINK("https://www.boe.es/gazeta/dias/1814/12/15/pdfs/GMD-1814-165.pdf#page=3","Abrir facsímil")</f>
        <v>Abrir facsímil</v>
      </c>
      <c r="K4937" s="3" t="s">
        <v>64</v>
      </c>
    </row>
    <row r="4938" spans="1:11" ht="42" customHeight="1">
      <c r="A4938" s="2" t="s">
        <v>11497</v>
      </c>
      <c r="B4938" s="2" t="s">
        <v>11497</v>
      </c>
      <c r="C4938" s="2" t="s">
        <v>26</v>
      </c>
      <c r="D4938" s="2" t="s">
        <v>27</v>
      </c>
      <c r="E4938" s="5">
        <v>-31066</v>
      </c>
      <c r="F4938" s="3" t="s">
        <v>1323</v>
      </c>
      <c r="G4938" s="3" t="s">
        <v>87</v>
      </c>
      <c r="H4938" s="2" t="s">
        <v>62</v>
      </c>
      <c r="I4938" s="2" t="s">
        <v>11498</v>
      </c>
      <c r="J4938" s="3" t="str">
        <f>HYPERLINK("https://www.boe.es/gazeta/dias/1814/12/10/pdfs/GMD-1814-163.pdf#page=2","Abrir facsímil")</f>
        <v>Abrir facsímil</v>
      </c>
      <c r="K4938" s="3" t="s">
        <v>64</v>
      </c>
    </row>
    <row r="4939" spans="1:11" ht="42" customHeight="1">
      <c r="A4939" s="2" t="s">
        <v>11497</v>
      </c>
      <c r="B4939" s="2" t="s">
        <v>11497</v>
      </c>
      <c r="C4939" s="2" t="s">
        <v>17</v>
      </c>
      <c r="D4939" s="2" t="s">
        <v>18</v>
      </c>
      <c r="E4939" s="5">
        <v>-31056</v>
      </c>
      <c r="F4939" s="3" t="s">
        <v>540</v>
      </c>
      <c r="G4939" s="3" t="s">
        <v>107</v>
      </c>
      <c r="H4939" s="2" t="s">
        <v>62</v>
      </c>
      <c r="I4939" s="2" t="s">
        <v>11499</v>
      </c>
      <c r="J4939" s="3" t="str">
        <f>HYPERLINK("https://www.boe.es/gazeta/dias/1814/12/20/pdfs/GMD-1814-168.pdf#page=1","Abrir facsímil")</f>
        <v>Abrir facsímil</v>
      </c>
      <c r="K4939" s="3" t="s">
        <v>64</v>
      </c>
    </row>
    <row r="4940" spans="1:11" ht="42" customHeight="1">
      <c r="A4940" s="2" t="s">
        <v>11500</v>
      </c>
      <c r="B4940" s="2" t="s">
        <v>11501</v>
      </c>
      <c r="C4940" s="2" t="s">
        <v>26</v>
      </c>
      <c r="D4940" s="2" t="s">
        <v>27</v>
      </c>
      <c r="E4940" s="5">
        <v>-31166</v>
      </c>
      <c r="F4940" s="3" t="s">
        <v>2799</v>
      </c>
      <c r="G4940" s="3" t="s">
        <v>5427</v>
      </c>
      <c r="H4940" s="2" t="s">
        <v>62</v>
      </c>
      <c r="I4940" s="2" t="s">
        <v>11502</v>
      </c>
      <c r="J4940" s="3" t="str">
        <f>HYPERLINK("https://www.boe.es/gazeta/dias/1814/09/01/pdfs/GMD-1814-119.pdf#page=14","Abrir facsímil")</f>
        <v>Abrir facsímil</v>
      </c>
      <c r="K4940" s="3" t="s">
        <v>64</v>
      </c>
    </row>
    <row r="4941" spans="1:11" ht="42" customHeight="1">
      <c r="A4941" s="2" t="s">
        <v>11503</v>
      </c>
      <c r="B4941" s="2" t="s">
        <v>11503</v>
      </c>
      <c r="C4941" s="2" t="s">
        <v>38</v>
      </c>
      <c r="D4941" s="2" t="s">
        <v>39</v>
      </c>
      <c r="E4941" s="5">
        <v>-31054</v>
      </c>
      <c r="F4941" s="3" t="s">
        <v>952</v>
      </c>
      <c r="G4941" s="3" t="s">
        <v>82</v>
      </c>
      <c r="H4941" s="2" t="s">
        <v>62</v>
      </c>
      <c r="I4941" s="2" t="s">
        <v>11504</v>
      </c>
      <c r="J4941" s="3" t="str">
        <f>HYPERLINK("https://www.boe.es/gazeta/dias/1814/12/22/pdfs/GMD-1814-169.pdf#page=3","Abrir facsímil")</f>
        <v>Abrir facsímil</v>
      </c>
      <c r="K4941" s="3" t="s">
        <v>64</v>
      </c>
    </row>
    <row r="4942" spans="1:11" ht="42" customHeight="1">
      <c r="A4942" s="2" t="s">
        <v>11505</v>
      </c>
      <c r="B4942" s="2" t="s">
        <v>11505</v>
      </c>
      <c r="C4942" s="2" t="s">
        <v>17</v>
      </c>
      <c r="D4942" s="2" t="s">
        <v>18</v>
      </c>
      <c r="E4942" s="5">
        <v>-31063</v>
      </c>
      <c r="F4942" s="3" t="s">
        <v>649</v>
      </c>
      <c r="G4942" s="3" t="s">
        <v>87</v>
      </c>
      <c r="H4942" s="2" t="s">
        <v>62</v>
      </c>
      <c r="I4942" s="2" t="s">
        <v>11506</v>
      </c>
      <c r="J4942" s="3" t="str">
        <f>HYPERLINK("https://www.boe.es/gazeta/dias/1814/12/13/pdfs/GMD-1814-164.pdf#page=2","Abrir facsímil")</f>
        <v>Abrir facsímil</v>
      </c>
      <c r="K4942" s="3" t="s">
        <v>64</v>
      </c>
    </row>
    <row r="4943" spans="1:11" ht="42" customHeight="1">
      <c r="A4943" s="2" t="s">
        <v>11507</v>
      </c>
      <c r="B4943" s="2" t="s">
        <v>11508</v>
      </c>
      <c r="C4943" s="2" t="s">
        <v>17</v>
      </c>
      <c r="D4943" s="2" t="s">
        <v>18</v>
      </c>
      <c r="E4943" s="5">
        <v>-31152</v>
      </c>
      <c r="F4943" s="3" t="s">
        <v>199</v>
      </c>
      <c r="G4943" s="3" t="s">
        <v>20</v>
      </c>
      <c r="H4943" s="2" t="s">
        <v>62</v>
      </c>
      <c r="I4943" s="2" t="s">
        <v>11509</v>
      </c>
      <c r="J4943" s="3" t="str">
        <f>HYPERLINK("https://www.boe.es/gazeta/dias/1814/09/15/pdfs/GMD-1814-126.pdf#page=7","Abrir facsímil")</f>
        <v>Abrir facsímil</v>
      </c>
      <c r="K4943" s="3" t="s">
        <v>64</v>
      </c>
    </row>
    <row r="4944" spans="1:11" ht="42" customHeight="1">
      <c r="A4944" s="2" t="s">
        <v>11510</v>
      </c>
      <c r="B4944" s="2" t="s">
        <v>11511</v>
      </c>
      <c r="C4944" s="2" t="s">
        <v>38</v>
      </c>
      <c r="D4944" s="2" t="s">
        <v>39</v>
      </c>
      <c r="E4944" s="5">
        <v>-31325</v>
      </c>
      <c r="F4944" s="3" t="s">
        <v>67</v>
      </c>
      <c r="G4944" s="3" t="s">
        <v>52</v>
      </c>
      <c r="H4944" s="2" t="s">
        <v>62</v>
      </c>
      <c r="I4944" s="2" t="s">
        <v>11512</v>
      </c>
      <c r="J4944" s="3" t="str">
        <f>HYPERLINK("https://www.boe.es/gazeta/dias/1814/03/26/pdfs/GRE-1814-43.pdf#page=8","Abrir facsímil")</f>
        <v>Abrir facsímil</v>
      </c>
      <c r="K4944" s="3" t="s">
        <v>64</v>
      </c>
    </row>
    <row r="4945" spans="1:11" ht="42" customHeight="1">
      <c r="A4945" s="2" t="s">
        <v>11510</v>
      </c>
      <c r="B4945" s="2" t="s">
        <v>11511</v>
      </c>
      <c r="C4945" s="2" t="s">
        <v>17</v>
      </c>
      <c r="D4945" s="2" t="s">
        <v>18</v>
      </c>
      <c r="E4945" s="5">
        <v>-31143</v>
      </c>
      <c r="F4945" s="3" t="s">
        <v>787</v>
      </c>
      <c r="G4945" s="3" t="s">
        <v>52</v>
      </c>
      <c r="H4945" s="2" t="s">
        <v>62</v>
      </c>
      <c r="I4945" s="2" t="s">
        <v>11513</v>
      </c>
      <c r="J4945" s="3" t="str">
        <f>HYPERLINK("https://www.boe.es/gazeta/dias/1814/09/24/pdfs/GMD-1814-130.pdf#page=8","Abrir facsímil")</f>
        <v>Abrir facsímil</v>
      </c>
      <c r="K4945" s="3" t="s">
        <v>64</v>
      </c>
    </row>
    <row r="4946" spans="1:11" ht="42" customHeight="1">
      <c r="A4946" s="2" t="s">
        <v>11514</v>
      </c>
      <c r="B4946" s="2" t="s">
        <v>11515</v>
      </c>
      <c r="C4946" s="2" t="s">
        <v>17</v>
      </c>
      <c r="D4946" s="2" t="s">
        <v>18</v>
      </c>
      <c r="E4946" s="5">
        <v>-31159</v>
      </c>
      <c r="F4946" s="3" t="s">
        <v>1175</v>
      </c>
      <c r="G4946" s="3" t="s">
        <v>3109</v>
      </c>
      <c r="H4946" s="2" t="s">
        <v>21</v>
      </c>
      <c r="I4946" s="2" t="s">
        <v>11516</v>
      </c>
      <c r="J4946" s="3" t="str">
        <f>HYPERLINK("https://www.boe.es/gazeta/dias/1814/09/08/pdfs/GMD-1814-123.pdf#page=4","Abrir facsímil")</f>
        <v>Abrir facsímil</v>
      </c>
      <c r="K4946" s="3" t="s">
        <v>23</v>
      </c>
    </row>
    <row r="4947" spans="1:11" ht="42" customHeight="1">
      <c r="A4947" s="2" t="s">
        <v>11514</v>
      </c>
      <c r="B4947" s="2" t="s">
        <v>11515</v>
      </c>
      <c r="C4947" s="2" t="s">
        <v>17</v>
      </c>
      <c r="D4947" s="2" t="s">
        <v>18</v>
      </c>
      <c r="E4947" s="5">
        <v>-31131</v>
      </c>
      <c r="F4947" s="3" t="s">
        <v>132</v>
      </c>
      <c r="G4947" s="3" t="s">
        <v>41</v>
      </c>
      <c r="H4947" s="2" t="s">
        <v>21</v>
      </c>
      <c r="I4947" s="2" t="s">
        <v>11517</v>
      </c>
      <c r="J4947" s="3" t="str">
        <f>HYPERLINK("https://www.boe.es/gazeta/dias/1814/10/06/pdfs/GMD-1814-135.pdf#page=4","Abrir facsímil")</f>
        <v>Abrir facsímil</v>
      </c>
      <c r="K4947" s="3" t="s">
        <v>23</v>
      </c>
    </row>
    <row r="4948" spans="1:11" ht="42" customHeight="1">
      <c r="A4948" s="2" t="s">
        <v>11518</v>
      </c>
      <c r="B4948" s="2" t="s">
        <v>11519</v>
      </c>
      <c r="C4948" s="2" t="s">
        <v>38</v>
      </c>
      <c r="D4948" s="2" t="s">
        <v>39</v>
      </c>
      <c r="E4948" s="5">
        <v>-31124</v>
      </c>
      <c r="F4948" s="3" t="s">
        <v>383</v>
      </c>
      <c r="G4948" s="3" t="s">
        <v>384</v>
      </c>
      <c r="H4948" s="2" t="s">
        <v>62</v>
      </c>
      <c r="I4948" s="2" t="s">
        <v>11520</v>
      </c>
      <c r="J4948" s="3" t="str">
        <f>HYPERLINK("https://www.boe.es/gazeta/dias/1814/10/13/pdfs/GMD-1814-138.pdf#page=11","Abrir facsímil")</f>
        <v>Abrir facsímil</v>
      </c>
      <c r="K4948" s="3" t="s">
        <v>64</v>
      </c>
    </row>
    <row r="4949" spans="1:11" ht="42" customHeight="1">
      <c r="A4949" s="2" t="s">
        <v>11521</v>
      </c>
      <c r="B4949" s="2" t="s">
        <v>11522</v>
      </c>
      <c r="C4949" s="2" t="s">
        <v>38</v>
      </c>
      <c r="D4949" s="2" t="s">
        <v>39</v>
      </c>
      <c r="E4949" s="5">
        <v>-31122</v>
      </c>
      <c r="F4949" s="3" t="s">
        <v>28</v>
      </c>
      <c r="G4949" s="3" t="s">
        <v>57</v>
      </c>
      <c r="H4949" s="2" t="s">
        <v>62</v>
      </c>
      <c r="I4949" s="2" t="s">
        <v>11523</v>
      </c>
      <c r="J4949" s="3" t="str">
        <f>HYPERLINK("https://www.boe.es/gazeta/dias/1814/10/15/pdfs/GMD-1814-139.pdf#page=6","Abrir facsímil")</f>
        <v>Abrir facsímil</v>
      </c>
      <c r="K4949" s="3" t="s">
        <v>64</v>
      </c>
    </row>
    <row r="4950" spans="1:11" ht="42" customHeight="1">
      <c r="A4950" s="2" t="s">
        <v>11524</v>
      </c>
      <c r="B4950" s="2" t="s">
        <v>11525</v>
      </c>
      <c r="C4950" s="2" t="s">
        <v>38</v>
      </c>
      <c r="D4950" s="2" t="s">
        <v>39</v>
      </c>
      <c r="E4950" s="5">
        <v>-31175</v>
      </c>
      <c r="F4950" s="3" t="s">
        <v>145</v>
      </c>
      <c r="G4950" s="3" t="s">
        <v>1918</v>
      </c>
      <c r="H4950" s="2" t="s">
        <v>62</v>
      </c>
      <c r="I4950" s="2" t="s">
        <v>11526</v>
      </c>
      <c r="J4950" s="3" t="str">
        <f>HYPERLINK("https://www.boe.es/gazeta/dias/1814/08/23/pdfs/GMD-1814-115.pdf#page=8","Abrir facsímil")</f>
        <v>Abrir facsímil</v>
      </c>
      <c r="K4950" s="3" t="s">
        <v>64</v>
      </c>
    </row>
    <row r="4951" spans="1:11" ht="42" customHeight="1">
      <c r="A4951" s="2" t="s">
        <v>11527</v>
      </c>
      <c r="B4951" s="2" t="s">
        <v>11528</v>
      </c>
      <c r="C4951" s="2" t="s">
        <v>17</v>
      </c>
      <c r="D4951" s="2" t="s">
        <v>18</v>
      </c>
      <c r="E4951" s="5">
        <v>-31082</v>
      </c>
      <c r="F4951" s="3" t="s">
        <v>535</v>
      </c>
      <c r="G4951" s="3" t="s">
        <v>2461</v>
      </c>
      <c r="H4951" s="2" t="s">
        <v>62</v>
      </c>
      <c r="I4951" s="2" t="s">
        <v>11529</v>
      </c>
      <c r="J4951" s="3" t="str">
        <f>HYPERLINK("https://www.boe.es/gazeta/dias/1814/11/24/pdfs/GMD-1814-156.pdf#page=7","Abrir facsímil")</f>
        <v>Abrir facsímil</v>
      </c>
      <c r="K4951" s="3" t="s">
        <v>64</v>
      </c>
    </row>
    <row r="4952" spans="1:11" ht="42" customHeight="1">
      <c r="A4952" s="2" t="s">
        <v>11530</v>
      </c>
      <c r="B4952" s="2" t="s">
        <v>11531</v>
      </c>
      <c r="C4952" s="2" t="s">
        <v>45</v>
      </c>
      <c r="D4952" s="2" t="s">
        <v>18</v>
      </c>
      <c r="E4952" s="5">
        <v>-31136</v>
      </c>
      <c r="F4952" s="3" t="s">
        <v>956</v>
      </c>
      <c r="G4952" s="3" t="s">
        <v>1254</v>
      </c>
      <c r="H4952" s="2" t="s">
        <v>62</v>
      </c>
      <c r="I4952" s="2" t="s">
        <v>11532</v>
      </c>
      <c r="J4952" s="3" t="str">
        <f>HYPERLINK("https://www.boe.es/gazeta/dias/1814/10/01/pdfs/GMD-1814-133.pdf#page=9","Abrir facsímil")</f>
        <v>Abrir facsímil</v>
      </c>
      <c r="K4952" s="3" t="s">
        <v>64</v>
      </c>
    </row>
    <row r="4953" spans="1:11" ht="42" customHeight="1">
      <c r="A4953" s="2" t="s">
        <v>11533</v>
      </c>
      <c r="B4953" s="2" t="s">
        <v>11533</v>
      </c>
      <c r="C4953" s="2" t="s">
        <v>105</v>
      </c>
      <c r="D4953" s="2" t="s">
        <v>18</v>
      </c>
      <c r="E4953" s="5">
        <v>-31241</v>
      </c>
      <c r="F4953" s="3" t="s">
        <v>703</v>
      </c>
      <c r="G4953" s="3" t="s">
        <v>82</v>
      </c>
      <c r="H4953" s="2" t="s">
        <v>62</v>
      </c>
      <c r="I4953" s="2" t="s">
        <v>11534</v>
      </c>
      <c r="J4953" s="3" t="str">
        <f>HYPERLINK("https://www.boe.es/gazeta/dias/1814/06/18/pdfs/GMD-1814-87.pdf#page=3","Abrir facsímil")</f>
        <v>Abrir facsímil</v>
      </c>
      <c r="K4953" s="3" t="s">
        <v>64</v>
      </c>
    </row>
    <row r="4954" spans="1:11" ht="42" customHeight="1">
      <c r="A4954" s="2" t="s">
        <v>11535</v>
      </c>
      <c r="B4954" s="2" t="s">
        <v>11536</v>
      </c>
      <c r="C4954" s="2" t="s">
        <v>38</v>
      </c>
      <c r="D4954" s="2" t="s">
        <v>39</v>
      </c>
      <c r="E4954" s="5">
        <v>-31131</v>
      </c>
      <c r="F4954" s="3" t="s">
        <v>132</v>
      </c>
      <c r="G4954" s="3" t="s">
        <v>82</v>
      </c>
      <c r="H4954" s="2" t="s">
        <v>62</v>
      </c>
      <c r="I4954" s="2" t="s">
        <v>11537</v>
      </c>
      <c r="J4954" s="3" t="str">
        <f>HYPERLINK("https://www.boe.es/gazeta/dias/1814/10/06/pdfs/GMD-1814-135.pdf#page=3","Abrir facsímil")</f>
        <v>Abrir facsímil</v>
      </c>
      <c r="K4954" s="3" t="s">
        <v>64</v>
      </c>
    </row>
    <row r="4955" spans="1:11" ht="42" customHeight="1">
      <c r="A4955" s="2" t="s">
        <v>11538</v>
      </c>
      <c r="B4955" s="2" t="s">
        <v>11539</v>
      </c>
      <c r="C4955" s="2" t="s">
        <v>45</v>
      </c>
      <c r="D4955" s="2" t="s">
        <v>18</v>
      </c>
      <c r="E4955" s="5">
        <v>-31131</v>
      </c>
      <c r="F4955" s="3" t="s">
        <v>132</v>
      </c>
      <c r="G4955" s="3" t="s">
        <v>20</v>
      </c>
      <c r="H4955" s="2" t="s">
        <v>62</v>
      </c>
      <c r="I4955" s="2" t="s">
        <v>11540</v>
      </c>
      <c r="J4955" s="3" t="str">
        <f>HYPERLINK("https://www.boe.es/gazeta/dias/1814/10/06/pdfs/GMD-1814-135.pdf#page=7","Abrir facsímil")</f>
        <v>Abrir facsímil</v>
      </c>
      <c r="K4955" s="3" t="s">
        <v>64</v>
      </c>
    </row>
    <row r="4956" spans="1:11" ht="42" customHeight="1">
      <c r="A4956" s="2" t="s">
        <v>11541</v>
      </c>
      <c r="B4956" s="2" t="s">
        <v>11541</v>
      </c>
      <c r="C4956" s="2" t="s">
        <v>38</v>
      </c>
      <c r="D4956" s="2" t="s">
        <v>39</v>
      </c>
      <c r="E4956" s="5">
        <v>-31395</v>
      </c>
      <c r="F4956" s="3" t="s">
        <v>662</v>
      </c>
      <c r="G4956" s="3" t="s">
        <v>41</v>
      </c>
      <c r="H4956" s="2" t="s">
        <v>62</v>
      </c>
      <c r="I4956" s="2" t="s">
        <v>11542</v>
      </c>
      <c r="J4956" s="3" t="str">
        <f>HYPERLINK("https://www.boe.es/gazeta/dias/1814/01/15/pdfs/GRE-1814-8.pdf#page=4","Abrir facsímil")</f>
        <v>Abrir facsímil</v>
      </c>
      <c r="K4956" s="3" t="s">
        <v>64</v>
      </c>
    </row>
    <row r="4957" spans="1:11" ht="42" customHeight="1">
      <c r="A4957" s="2" t="s">
        <v>11543</v>
      </c>
      <c r="B4957" s="2" t="s">
        <v>11543</v>
      </c>
      <c r="C4957" s="2" t="s">
        <v>38</v>
      </c>
      <c r="D4957" s="2" t="s">
        <v>39</v>
      </c>
      <c r="E4957" s="5">
        <v>-31341</v>
      </c>
      <c r="F4957" s="3" t="s">
        <v>360</v>
      </c>
      <c r="G4957" s="3" t="s">
        <v>41</v>
      </c>
      <c r="H4957" s="2" t="s">
        <v>62</v>
      </c>
      <c r="I4957" s="2" t="s">
        <v>11544</v>
      </c>
      <c r="J4957" s="3" t="str">
        <f>HYPERLINK("https://www.boe.es/gazeta/dias/1814/03/10/pdfs/GRE-1814-33.pdf#page=4","Abrir facsímil")</f>
        <v>Abrir facsímil</v>
      </c>
      <c r="K4957" s="3" t="s">
        <v>64</v>
      </c>
    </row>
    <row r="4958" spans="1:11" ht="42" customHeight="1">
      <c r="A4958" s="2" t="s">
        <v>11545</v>
      </c>
      <c r="B4958" s="2" t="s">
        <v>11545</v>
      </c>
      <c r="C4958" s="2" t="s">
        <v>38</v>
      </c>
      <c r="D4958" s="2" t="s">
        <v>39</v>
      </c>
      <c r="E4958" s="5">
        <v>-31371</v>
      </c>
      <c r="F4958" s="3" t="s">
        <v>476</v>
      </c>
      <c r="G4958" s="3" t="s">
        <v>99</v>
      </c>
      <c r="H4958" s="2" t="s">
        <v>62</v>
      </c>
      <c r="I4958" s="2" t="s">
        <v>11546</v>
      </c>
      <c r="J4958" s="3" t="str">
        <f>HYPERLINK("https://www.boe.es/gazeta/dias/1814/02/08/pdfs/GRE-1814-31.pdf#page=5","Abrir facsímil")</f>
        <v>Abrir facsímil</v>
      </c>
      <c r="K4958" s="3" t="s">
        <v>64</v>
      </c>
    </row>
    <row r="4959" spans="1:11" ht="42" customHeight="1">
      <c r="A4959" s="2" t="s">
        <v>11545</v>
      </c>
      <c r="B4959" s="2" t="s">
        <v>11545</v>
      </c>
      <c r="C4959" s="2" t="s">
        <v>38</v>
      </c>
      <c r="D4959" s="2" t="s">
        <v>39</v>
      </c>
      <c r="E4959" s="5">
        <v>-31343</v>
      </c>
      <c r="F4959" s="3" t="s">
        <v>476</v>
      </c>
      <c r="G4959" s="3" t="s">
        <v>99</v>
      </c>
      <c r="H4959" s="2" t="s">
        <v>62</v>
      </c>
      <c r="I4959" s="2" t="s">
        <v>11546</v>
      </c>
      <c r="J4959" s="3" t="str">
        <f>HYPERLINK("https://www.boe.es/gazeta/dias/1814/03/08/pdfs/GRE-1814-31.pdf#page=5","Abrir facsímil")</f>
        <v>Abrir facsímil</v>
      </c>
      <c r="K4959" s="3" t="s">
        <v>64</v>
      </c>
    </row>
    <row r="4960" spans="1:11" ht="42" customHeight="1">
      <c r="A4960" s="2" t="s">
        <v>11547</v>
      </c>
      <c r="B4960" s="2" t="s">
        <v>11548</v>
      </c>
      <c r="C4960" s="2" t="s">
        <v>38</v>
      </c>
      <c r="D4960" s="2" t="s">
        <v>39</v>
      </c>
      <c r="E4960" s="5">
        <v>-31117</v>
      </c>
      <c r="F4960" s="3" t="s">
        <v>172</v>
      </c>
      <c r="G4960" s="3" t="s">
        <v>173</v>
      </c>
      <c r="H4960" s="2" t="s">
        <v>62</v>
      </c>
      <c r="I4960" s="2" t="s">
        <v>11549</v>
      </c>
      <c r="J4960" s="3" t="str">
        <f>HYPERLINK("https://www.boe.es/gazeta/dias/1814/10/20/pdfs/GMD-1814-141.pdf#page=7","Abrir facsímil")</f>
        <v>Abrir facsímil</v>
      </c>
      <c r="K4960" s="3" t="s">
        <v>64</v>
      </c>
    </row>
    <row r="4961" spans="1:11" ht="42" customHeight="1">
      <c r="A4961" s="2" t="s">
        <v>11550</v>
      </c>
      <c r="B4961" s="2" t="s">
        <v>11551</v>
      </c>
      <c r="C4961" s="2" t="s">
        <v>38</v>
      </c>
      <c r="D4961" s="2" t="s">
        <v>39</v>
      </c>
      <c r="E4961" s="5">
        <v>-31110</v>
      </c>
      <c r="F4961" s="3" t="s">
        <v>149</v>
      </c>
      <c r="G4961" s="3" t="s">
        <v>52</v>
      </c>
      <c r="H4961" s="2" t="s">
        <v>62</v>
      </c>
      <c r="I4961" s="2" t="s">
        <v>11552</v>
      </c>
      <c r="J4961" s="3" t="str">
        <f>HYPERLINK("https://www.boe.es/gazeta/dias/1814/10/27/pdfs/GMD-1814-144.pdf#page=8","Abrir facsímil")</f>
        <v>Abrir facsímil</v>
      </c>
      <c r="K4961" s="3" t="s">
        <v>64</v>
      </c>
    </row>
    <row r="4962" spans="1:11" ht="42" customHeight="1">
      <c r="A4962" s="2" t="s">
        <v>11553</v>
      </c>
      <c r="B4962" s="2" t="s">
        <v>11554</v>
      </c>
      <c r="C4962" s="2" t="s">
        <v>45</v>
      </c>
      <c r="D4962" s="2" t="s">
        <v>18</v>
      </c>
      <c r="E4962" s="5">
        <v>-31094</v>
      </c>
      <c r="F4962" s="3" t="s">
        <v>761</v>
      </c>
      <c r="G4962" s="3" t="s">
        <v>52</v>
      </c>
      <c r="H4962" s="2" t="s">
        <v>62</v>
      </c>
      <c r="I4962" s="2" t="s">
        <v>11555</v>
      </c>
      <c r="J4962" s="3" t="str">
        <f>HYPERLINK("https://www.boe.es/gazeta/dias/1814/11/12/pdfs/GMD-1814-151.pdf#page=8","Abrir facsímil")</f>
        <v>Abrir facsímil</v>
      </c>
      <c r="K4962" s="3" t="s">
        <v>64</v>
      </c>
    </row>
    <row r="4963" spans="1:11" ht="42" customHeight="1">
      <c r="A4963" s="2" t="s">
        <v>11556</v>
      </c>
      <c r="B4963" s="2" t="s">
        <v>11557</v>
      </c>
      <c r="C4963" s="2" t="s">
        <v>45</v>
      </c>
      <c r="D4963" s="2" t="s">
        <v>18</v>
      </c>
      <c r="E4963" s="5">
        <v>-31068</v>
      </c>
      <c r="F4963" s="3" t="s">
        <v>548</v>
      </c>
      <c r="G4963" s="3" t="s">
        <v>20</v>
      </c>
      <c r="H4963" s="2" t="s">
        <v>62</v>
      </c>
      <c r="I4963" s="2" t="s">
        <v>11558</v>
      </c>
      <c r="J4963" s="3" t="str">
        <f>HYPERLINK("https://www.boe.es/gazeta/dias/1814/12/08/pdfs/GMD-1814-162.pdf#page=7","Abrir facsímil")</f>
        <v>Abrir facsímil</v>
      </c>
      <c r="K4963" s="3" t="s">
        <v>64</v>
      </c>
    </row>
    <row r="4964" spans="1:11" ht="42" customHeight="1">
      <c r="A4964" s="2" t="s">
        <v>11559</v>
      </c>
      <c r="B4964" s="2" t="s">
        <v>11560</v>
      </c>
      <c r="C4964" s="2" t="s">
        <v>17</v>
      </c>
      <c r="D4964" s="2" t="s">
        <v>18</v>
      </c>
      <c r="E4964" s="5">
        <v>-31122</v>
      </c>
      <c r="F4964" s="3" t="s">
        <v>28</v>
      </c>
      <c r="G4964" s="3" t="s">
        <v>20</v>
      </c>
      <c r="H4964" s="2" t="s">
        <v>62</v>
      </c>
      <c r="I4964" s="2" t="s">
        <v>11561</v>
      </c>
      <c r="J4964" s="3" t="str">
        <f>HYPERLINK("https://www.boe.es/gazeta/dias/1814/10/15/pdfs/GMD-1814-139.pdf#page=7","Abrir facsímil")</f>
        <v>Abrir facsímil</v>
      </c>
      <c r="K4964" s="3" t="s">
        <v>64</v>
      </c>
    </row>
    <row r="4965" spans="1:11" ht="42" customHeight="1">
      <c r="A4965" s="2" t="s">
        <v>11562</v>
      </c>
      <c r="B4965" s="2" t="s">
        <v>11563</v>
      </c>
      <c r="C4965" s="2" t="s">
        <v>38</v>
      </c>
      <c r="D4965" s="2" t="s">
        <v>39</v>
      </c>
      <c r="E4965" s="5">
        <v>-31318</v>
      </c>
      <c r="F4965" s="3" t="s">
        <v>400</v>
      </c>
      <c r="G4965" s="3" t="s">
        <v>41</v>
      </c>
      <c r="H4965" s="2" t="s">
        <v>21</v>
      </c>
      <c r="I4965" s="2" t="s">
        <v>11564</v>
      </c>
      <c r="J4965" s="3" t="str">
        <f>HYPERLINK("https://www.boe.es/gazeta/dias/1814/04/02/pdfs/GRE-1814-47.pdf#page=4","Abrir facsímil")</f>
        <v>Abrir facsímil</v>
      </c>
      <c r="K4965" s="3" t="s">
        <v>23</v>
      </c>
    </row>
    <row r="4966" spans="1:11" ht="42" customHeight="1">
      <c r="A4966" s="2" t="s">
        <v>11565</v>
      </c>
      <c r="B4966" s="2" t="s">
        <v>11566</v>
      </c>
      <c r="C4966" s="2" t="s">
        <v>17</v>
      </c>
      <c r="D4966" s="2" t="s">
        <v>18</v>
      </c>
      <c r="E4966" s="5">
        <v>-31245</v>
      </c>
      <c r="F4966" s="3" t="s">
        <v>908</v>
      </c>
      <c r="G4966" s="3" t="s">
        <v>1348</v>
      </c>
      <c r="H4966" s="2" t="s">
        <v>62</v>
      </c>
      <c r="I4966" s="2" t="s">
        <v>11567</v>
      </c>
      <c r="J4966" s="3" t="str">
        <f>HYPERLINK("https://www.boe.es/gazeta/dias/1814/06/14/pdfs/GMD-1814-85.pdf#page=9","Abrir facsímil")</f>
        <v>Abrir facsímil</v>
      </c>
      <c r="K4966" s="3" t="s">
        <v>64</v>
      </c>
    </row>
    <row r="4967" spans="1:11" ht="42" customHeight="1">
      <c r="A4967" s="2" t="s">
        <v>11568</v>
      </c>
      <c r="B4967" s="2" t="s">
        <v>11569</v>
      </c>
      <c r="C4967" s="2" t="s">
        <v>45</v>
      </c>
      <c r="D4967" s="2" t="s">
        <v>18</v>
      </c>
      <c r="E4967" s="5">
        <v>-31117</v>
      </c>
      <c r="F4967" s="3" t="s">
        <v>172</v>
      </c>
      <c r="G4967" s="3" t="s">
        <v>392</v>
      </c>
      <c r="H4967" s="2" t="s">
        <v>62</v>
      </c>
      <c r="I4967" s="2" t="s">
        <v>11570</v>
      </c>
      <c r="J4967" s="3" t="str">
        <f>HYPERLINK("https://www.boe.es/gazeta/dias/1814/10/20/pdfs/GMD-1814-141.pdf#page=8","Abrir facsímil")</f>
        <v>Abrir facsímil</v>
      </c>
      <c r="K4967" s="3" t="s">
        <v>64</v>
      </c>
    </row>
    <row r="4968" spans="1:11" ht="42" customHeight="1">
      <c r="A4968" s="2" t="s">
        <v>11571</v>
      </c>
      <c r="B4968" s="2" t="s">
        <v>11572</v>
      </c>
      <c r="C4968" s="2" t="s">
        <v>17</v>
      </c>
      <c r="D4968" s="2" t="s">
        <v>18</v>
      </c>
      <c r="E4968" s="5">
        <v>-31322</v>
      </c>
      <c r="F4968" s="3" t="s">
        <v>114</v>
      </c>
      <c r="G4968" s="3" t="s">
        <v>52</v>
      </c>
      <c r="H4968" s="2" t="s">
        <v>62</v>
      </c>
      <c r="I4968" s="2" t="s">
        <v>11573</v>
      </c>
      <c r="J4968" s="3" t="str">
        <f>HYPERLINK("https://www.boe.es/gazeta/dias/1814/03/29/pdfs/GRE-1814-44.pdf#page=8","Abrir facsímil")</f>
        <v>Abrir facsímil</v>
      </c>
      <c r="K4968" s="3" t="s">
        <v>64</v>
      </c>
    </row>
    <row r="4969" spans="1:11" ht="42" customHeight="1">
      <c r="A4969" s="2" t="s">
        <v>11574</v>
      </c>
      <c r="B4969" s="2" t="s">
        <v>11575</v>
      </c>
      <c r="C4969" s="2" t="s">
        <v>17</v>
      </c>
      <c r="D4969" s="2" t="s">
        <v>18</v>
      </c>
      <c r="E4969" s="5">
        <v>-31243</v>
      </c>
      <c r="F4969" s="3" t="s">
        <v>500</v>
      </c>
      <c r="G4969" s="3" t="s">
        <v>4834</v>
      </c>
      <c r="H4969" s="2" t="s">
        <v>62</v>
      </c>
      <c r="I4969" s="2" t="s">
        <v>11576</v>
      </c>
      <c r="J4969" s="3" t="str">
        <f>HYPERLINK("https://www.boe.es/gazeta/dias/1814/06/16/pdfs/GMD-1814-86.pdf#page=10","Abrir facsímil")</f>
        <v>Abrir facsímil</v>
      </c>
      <c r="K4969" s="3" t="s">
        <v>64</v>
      </c>
    </row>
    <row r="4970" spans="1:11" ht="42" customHeight="1">
      <c r="A4970" s="2" t="s">
        <v>11577</v>
      </c>
      <c r="B4970" s="2" t="s">
        <v>11578</v>
      </c>
      <c r="C4970" s="2" t="s">
        <v>26</v>
      </c>
      <c r="D4970" s="2" t="s">
        <v>27</v>
      </c>
      <c r="E4970" s="5">
        <v>-31371</v>
      </c>
      <c r="F4970" s="3" t="s">
        <v>476</v>
      </c>
      <c r="G4970" s="3" t="s">
        <v>52</v>
      </c>
      <c r="H4970" s="2" t="s">
        <v>62</v>
      </c>
      <c r="I4970" s="2" t="s">
        <v>11579</v>
      </c>
      <c r="J4970" s="3" t="str">
        <f>HYPERLINK("https://www.boe.es/gazeta/dias/1814/02/08/pdfs/GRE-1814-31.pdf#page=8","Abrir facsímil")</f>
        <v>Abrir facsímil</v>
      </c>
      <c r="K4970" s="3" t="s">
        <v>64</v>
      </c>
    </row>
    <row r="4971" spans="1:11" ht="42" customHeight="1">
      <c r="A4971" s="2" t="s">
        <v>11577</v>
      </c>
      <c r="B4971" s="2" t="s">
        <v>11578</v>
      </c>
      <c r="C4971" s="2" t="s">
        <v>26</v>
      </c>
      <c r="D4971" s="2" t="s">
        <v>27</v>
      </c>
      <c r="E4971" s="5">
        <v>-31343</v>
      </c>
      <c r="F4971" s="3" t="s">
        <v>476</v>
      </c>
      <c r="G4971" s="3" t="s">
        <v>52</v>
      </c>
      <c r="H4971" s="2" t="s">
        <v>62</v>
      </c>
      <c r="I4971" s="2" t="s">
        <v>11579</v>
      </c>
      <c r="J4971" s="3" t="str">
        <f>HYPERLINK("https://www.boe.es/gazeta/dias/1814/03/08/pdfs/GRE-1814-31.pdf#page=8","Abrir facsímil")</f>
        <v>Abrir facsímil</v>
      </c>
      <c r="K4971" s="3" t="s">
        <v>64</v>
      </c>
    </row>
    <row r="4972" spans="1:11" ht="42" customHeight="1">
      <c r="A4972" s="2" t="s">
        <v>11580</v>
      </c>
      <c r="B4972" s="2" t="s">
        <v>11581</v>
      </c>
      <c r="C4972" s="2" t="s">
        <v>17</v>
      </c>
      <c r="D4972" s="2" t="s">
        <v>18</v>
      </c>
      <c r="E4972" s="5">
        <v>-31096</v>
      </c>
      <c r="F4972" s="3" t="s">
        <v>223</v>
      </c>
      <c r="G4972" s="3" t="s">
        <v>99</v>
      </c>
      <c r="H4972" s="2" t="s">
        <v>21</v>
      </c>
      <c r="I4972" s="2" t="s">
        <v>11582</v>
      </c>
      <c r="J4972" s="3" t="str">
        <f>HYPERLINK("https://www.boe.es/gazeta/dias/1814/11/10/pdfs/GMD-1814-150.pdf#page=5","Abrir facsímil")</f>
        <v>Abrir facsímil</v>
      </c>
      <c r="K4972" s="3" t="s">
        <v>23</v>
      </c>
    </row>
    <row r="4973" spans="1:11" ht="42" customHeight="1">
      <c r="A4973" s="2" t="s">
        <v>11583</v>
      </c>
      <c r="B4973" s="2" t="s">
        <v>11584</v>
      </c>
      <c r="C4973" s="2" t="s">
        <v>38</v>
      </c>
      <c r="D4973" s="2" t="s">
        <v>39</v>
      </c>
      <c r="E4973" s="5">
        <v>-31381</v>
      </c>
      <c r="F4973" s="3" t="s">
        <v>989</v>
      </c>
      <c r="G4973" s="3" t="s">
        <v>20</v>
      </c>
      <c r="H4973" s="2" t="s">
        <v>62</v>
      </c>
      <c r="I4973" s="2" t="s">
        <v>11585</v>
      </c>
      <c r="J4973" s="3" t="str">
        <f>HYPERLINK("https://www.boe.es/gazeta/dias/1814/01/29/pdfs/GRE-1814-14.pdf#page=7","Abrir facsímil")</f>
        <v>Abrir facsímil</v>
      </c>
      <c r="K4973" s="3" t="s">
        <v>64</v>
      </c>
    </row>
    <row r="4974" spans="1:11" ht="42" customHeight="1">
      <c r="A4974" s="2" t="s">
        <v>11586</v>
      </c>
      <c r="B4974" s="2" t="s">
        <v>11586</v>
      </c>
      <c r="C4974" s="2" t="s">
        <v>144</v>
      </c>
      <c r="D4974" s="2" t="s">
        <v>18</v>
      </c>
      <c r="E4974" s="5">
        <v>-31154</v>
      </c>
      <c r="F4974" s="3" t="s">
        <v>688</v>
      </c>
      <c r="G4974" s="3" t="s">
        <v>52</v>
      </c>
      <c r="H4974" s="2" t="s">
        <v>62</v>
      </c>
      <c r="I4974" s="2" t="s">
        <v>11587</v>
      </c>
      <c r="J4974" s="3" t="str">
        <f>HYPERLINK("https://www.boe.es/gazeta/dias/1814/09/13/pdfs/GMD-1814-125.pdf#page=8","Abrir facsímil")</f>
        <v>Abrir facsímil</v>
      </c>
      <c r="K4974" s="3" t="s">
        <v>64</v>
      </c>
    </row>
    <row r="4975" spans="1:11" ht="42" customHeight="1">
      <c r="A4975" s="2" t="s">
        <v>11588</v>
      </c>
      <c r="B4975" s="2" t="s">
        <v>11588</v>
      </c>
      <c r="C4975" s="2" t="s">
        <v>38</v>
      </c>
      <c r="D4975" s="2" t="s">
        <v>39</v>
      </c>
      <c r="E4975" s="5">
        <v>-31273</v>
      </c>
      <c r="F4975" s="3" t="s">
        <v>2108</v>
      </c>
      <c r="G4975" s="3" t="s">
        <v>99</v>
      </c>
      <c r="H4975" s="2" t="s">
        <v>62</v>
      </c>
      <c r="I4975" s="2" t="s">
        <v>11589</v>
      </c>
      <c r="J4975" s="3" t="str">
        <f>HYPERLINK("https://www.boe.es/gazeta/dias/1814/05/17/pdfs/GMD-1814-72.pdf#page=5","Abrir facsímil")</f>
        <v>Abrir facsímil</v>
      </c>
      <c r="K4975" s="3" t="s">
        <v>64</v>
      </c>
    </row>
    <row r="4976" spans="1:11" ht="42" customHeight="1">
      <c r="A4976" s="2" t="s">
        <v>11590</v>
      </c>
      <c r="B4976" s="2" t="s">
        <v>11591</v>
      </c>
      <c r="C4976" s="2" t="s">
        <v>38</v>
      </c>
      <c r="D4976" s="2" t="s">
        <v>39</v>
      </c>
      <c r="E4976" s="5">
        <v>-31194</v>
      </c>
      <c r="F4976" s="3" t="s">
        <v>333</v>
      </c>
      <c r="G4976" s="3" t="s">
        <v>57</v>
      </c>
      <c r="H4976" s="2" t="s">
        <v>62</v>
      </c>
      <c r="I4976" s="2" t="s">
        <v>11592</v>
      </c>
      <c r="J4976" s="3" t="str">
        <f>HYPERLINK("https://www.boe.es/gazeta/dias/1814/08/04/pdfs/GMD-1814-107.pdf#page=6","Abrir facsímil")</f>
        <v>Abrir facsímil</v>
      </c>
      <c r="K4976" s="3" t="s">
        <v>64</v>
      </c>
    </row>
    <row r="4977" spans="1:11" ht="42" customHeight="1">
      <c r="A4977" s="2" t="s">
        <v>11593</v>
      </c>
      <c r="B4977" s="2" t="s">
        <v>11594</v>
      </c>
      <c r="C4977" s="2" t="s">
        <v>309</v>
      </c>
      <c r="D4977" s="2" t="s">
        <v>18</v>
      </c>
      <c r="E4977" s="5">
        <v>-31325</v>
      </c>
      <c r="F4977" s="3" t="s">
        <v>67</v>
      </c>
      <c r="G4977" s="3" t="s">
        <v>52</v>
      </c>
      <c r="H4977" s="2" t="s">
        <v>62</v>
      </c>
      <c r="I4977" s="2" t="s">
        <v>11595</v>
      </c>
      <c r="J4977" s="3" t="str">
        <f>HYPERLINK("https://www.boe.es/gazeta/dias/1814/03/26/pdfs/GRE-1814-43.pdf#page=8","Abrir facsímil")</f>
        <v>Abrir facsímil</v>
      </c>
      <c r="K4977" s="3" t="s">
        <v>64</v>
      </c>
    </row>
    <row r="4978" spans="1:11" ht="42" customHeight="1">
      <c r="A4978" s="2" t="s">
        <v>11596</v>
      </c>
      <c r="B4978" s="2" t="s">
        <v>11596</v>
      </c>
      <c r="C4978" s="2" t="s">
        <v>38</v>
      </c>
      <c r="D4978" s="2" t="s">
        <v>39</v>
      </c>
      <c r="E4978" s="5">
        <v>-31395</v>
      </c>
      <c r="F4978" s="3" t="s">
        <v>662</v>
      </c>
      <c r="G4978" s="3" t="s">
        <v>57</v>
      </c>
      <c r="H4978" s="2" t="s">
        <v>62</v>
      </c>
      <c r="I4978" s="2" t="s">
        <v>11597</v>
      </c>
      <c r="J4978" s="3" t="str">
        <f>HYPERLINK("https://www.boe.es/gazeta/dias/1814/01/15/pdfs/GRE-1814-8.pdf#page=6","Abrir facsímil")</f>
        <v>Abrir facsímil</v>
      </c>
      <c r="K4978" s="3" t="s">
        <v>64</v>
      </c>
    </row>
    <row r="4979" spans="1:11" ht="42" customHeight="1">
      <c r="A4979" s="2" t="s">
        <v>11596</v>
      </c>
      <c r="B4979" s="2" t="s">
        <v>11596</v>
      </c>
      <c r="C4979" s="2" t="s">
        <v>38</v>
      </c>
      <c r="D4979" s="2" t="s">
        <v>39</v>
      </c>
      <c r="E4979" s="5">
        <v>-31318</v>
      </c>
      <c r="F4979" s="3" t="s">
        <v>400</v>
      </c>
      <c r="G4979" s="3" t="s">
        <v>107</v>
      </c>
      <c r="H4979" s="2" t="s">
        <v>62</v>
      </c>
      <c r="I4979" s="2" t="s">
        <v>11598</v>
      </c>
      <c r="J4979" s="3" t="str">
        <f>HYPERLINK("https://www.boe.es/gazeta/dias/1814/04/02/pdfs/GRE-1814-47.pdf#page=1","Abrir facsímil")</f>
        <v>Abrir facsímil</v>
      </c>
      <c r="K4979" s="3" t="s">
        <v>64</v>
      </c>
    </row>
    <row r="4980" spans="1:11" ht="42" customHeight="1">
      <c r="A4980" s="2" t="s">
        <v>11599</v>
      </c>
      <c r="B4980" s="2" t="s">
        <v>11600</v>
      </c>
      <c r="C4980" s="2" t="s">
        <v>38</v>
      </c>
      <c r="D4980" s="2" t="s">
        <v>39</v>
      </c>
      <c r="E4980" s="5">
        <v>-31395</v>
      </c>
      <c r="F4980" s="3" t="s">
        <v>662</v>
      </c>
      <c r="G4980" s="3" t="s">
        <v>57</v>
      </c>
      <c r="H4980" s="2" t="s">
        <v>62</v>
      </c>
      <c r="I4980" s="2" t="s">
        <v>11601</v>
      </c>
      <c r="J4980" s="3" t="str">
        <f>HYPERLINK("https://www.boe.es/gazeta/dias/1814/01/15/pdfs/GRE-1814-8.pdf#page=6","Abrir facsímil")</f>
        <v>Abrir facsímil</v>
      </c>
      <c r="K4980" s="3" t="s">
        <v>64</v>
      </c>
    </row>
    <row r="4981" spans="1:11" ht="42" customHeight="1">
      <c r="A4981" s="2" t="s">
        <v>11602</v>
      </c>
      <c r="B4981" s="2" t="s">
        <v>11602</v>
      </c>
      <c r="C4981" s="2" t="s">
        <v>38</v>
      </c>
      <c r="D4981" s="2" t="s">
        <v>39</v>
      </c>
      <c r="E4981" s="5">
        <v>-31362</v>
      </c>
      <c r="F4981" s="3" t="s">
        <v>302</v>
      </c>
      <c r="G4981" s="3" t="s">
        <v>2032</v>
      </c>
      <c r="H4981" s="2" t="s">
        <v>62</v>
      </c>
      <c r="I4981" s="2" t="s">
        <v>11603</v>
      </c>
      <c r="J4981" s="3" t="str">
        <f>HYPERLINK("https://www.boe.es/gazeta/dias/1814/02/17/pdfs/GRE-1814-22.pdf#page=5","Abrir facsímil")</f>
        <v>Abrir facsímil</v>
      </c>
      <c r="K4981" s="3" t="s">
        <v>64</v>
      </c>
    </row>
    <row r="4982" spans="1:11" ht="42" customHeight="1">
      <c r="A4982" s="2" t="s">
        <v>11604</v>
      </c>
      <c r="B4982" s="2" t="s">
        <v>11605</v>
      </c>
      <c r="C4982" s="2" t="s">
        <v>38</v>
      </c>
      <c r="D4982" s="2" t="s">
        <v>39</v>
      </c>
      <c r="E4982" s="5">
        <v>-31220</v>
      </c>
      <c r="F4982" s="3" t="s">
        <v>122</v>
      </c>
      <c r="G4982" s="3" t="s">
        <v>52</v>
      </c>
      <c r="H4982" s="2" t="s">
        <v>62</v>
      </c>
      <c r="I4982" s="2" t="s">
        <v>11606</v>
      </c>
      <c r="J4982" s="3" t="str">
        <f>HYPERLINK("https://www.boe.es/gazeta/dias/1814/07/09/pdfs/GMD-1814-96.pdf#page=8","Abrir facsímil")</f>
        <v>Abrir facsímil</v>
      </c>
      <c r="K4982" s="3" t="s">
        <v>64</v>
      </c>
    </row>
    <row r="4983" spans="1:11" ht="42" customHeight="1">
      <c r="A4983" s="2" t="s">
        <v>11607</v>
      </c>
      <c r="B4983" s="2" t="s">
        <v>11607</v>
      </c>
      <c r="C4983" s="2" t="s">
        <v>38</v>
      </c>
      <c r="D4983" s="2" t="s">
        <v>39</v>
      </c>
      <c r="E4983" s="5">
        <v>-31397</v>
      </c>
      <c r="F4983" s="3" t="s">
        <v>929</v>
      </c>
      <c r="G4983" s="3" t="s">
        <v>41</v>
      </c>
      <c r="H4983" s="2" t="s">
        <v>62</v>
      </c>
      <c r="I4983" s="2" t="s">
        <v>11608</v>
      </c>
      <c r="J4983" s="3" t="str">
        <f>HYPERLINK("https://www.boe.es/gazeta/dias/1814/01/13/pdfs/GRE-1814-7.pdf#page=4","Abrir facsímil")</f>
        <v>Abrir facsímil</v>
      </c>
      <c r="K4983" s="3" t="s">
        <v>64</v>
      </c>
    </row>
    <row r="4984" spans="1:11" ht="42" customHeight="1">
      <c r="A4984" s="2" t="s">
        <v>11607</v>
      </c>
      <c r="B4984" s="2" t="s">
        <v>11607</v>
      </c>
      <c r="C4984" s="2" t="s">
        <v>38</v>
      </c>
      <c r="D4984" s="2" t="s">
        <v>39</v>
      </c>
      <c r="E4984" s="5">
        <v>-31374</v>
      </c>
      <c r="F4984" s="3" t="s">
        <v>474</v>
      </c>
      <c r="G4984" s="3" t="s">
        <v>82</v>
      </c>
      <c r="H4984" s="2" t="s">
        <v>62</v>
      </c>
      <c r="I4984" s="2" t="s">
        <v>11609</v>
      </c>
      <c r="J4984" s="3" t="str">
        <f>HYPERLINK("https://www.boe.es/gazeta/dias/1814/02/05/pdfs/GRE-1814-17.pdf#page=3","Abrir facsímil")</f>
        <v>Abrir facsímil</v>
      </c>
      <c r="K4984" s="3" t="s">
        <v>64</v>
      </c>
    </row>
    <row r="4985" spans="1:11" ht="42" customHeight="1">
      <c r="A4985" s="2" t="s">
        <v>11610</v>
      </c>
      <c r="B4985" s="2" t="s">
        <v>11611</v>
      </c>
      <c r="C4985" s="2" t="s">
        <v>38</v>
      </c>
      <c r="D4985" s="2" t="s">
        <v>39</v>
      </c>
      <c r="E4985" s="5">
        <v>-31362</v>
      </c>
      <c r="F4985" s="3" t="s">
        <v>302</v>
      </c>
      <c r="G4985" s="3" t="s">
        <v>82</v>
      </c>
      <c r="H4985" s="2" t="s">
        <v>62</v>
      </c>
      <c r="I4985" s="2" t="s">
        <v>11612</v>
      </c>
      <c r="J4985" s="3" t="str">
        <f>HYPERLINK("https://www.boe.es/gazeta/dias/1814/02/17/pdfs/GRE-1814-22.pdf#page=3","Abrir facsímil")</f>
        <v>Abrir facsímil</v>
      </c>
      <c r="K4985" s="3" t="s">
        <v>64</v>
      </c>
    </row>
    <row r="4986" spans="1:11" ht="42" customHeight="1">
      <c r="A4986" s="2" t="s">
        <v>11613</v>
      </c>
      <c r="B4986" s="2" t="s">
        <v>11614</v>
      </c>
      <c r="C4986" s="2" t="s">
        <v>38</v>
      </c>
      <c r="D4986" s="2" t="s">
        <v>39</v>
      </c>
      <c r="E4986" s="5">
        <v>-31362</v>
      </c>
      <c r="F4986" s="3" t="s">
        <v>302</v>
      </c>
      <c r="G4986" s="3" t="s">
        <v>2032</v>
      </c>
      <c r="H4986" s="2" t="s">
        <v>62</v>
      </c>
      <c r="I4986" s="2" t="s">
        <v>11615</v>
      </c>
      <c r="J4986" s="3" t="str">
        <f>HYPERLINK("https://www.boe.es/gazeta/dias/1814/02/17/pdfs/GRE-1814-22.pdf#page=5","Abrir facsímil")</f>
        <v>Abrir facsímil</v>
      </c>
      <c r="K4986" s="3" t="s">
        <v>64</v>
      </c>
    </row>
    <row r="4987" spans="1:11" ht="42" customHeight="1">
      <c r="A4987" s="2" t="s">
        <v>11616</v>
      </c>
      <c r="B4987" s="2" t="s">
        <v>11616</v>
      </c>
      <c r="C4987" s="2" t="s">
        <v>38</v>
      </c>
      <c r="D4987" s="2" t="s">
        <v>39</v>
      </c>
      <c r="E4987" s="5">
        <v>-31339</v>
      </c>
      <c r="F4987" s="3" t="s">
        <v>641</v>
      </c>
      <c r="G4987" s="3" t="s">
        <v>4934</v>
      </c>
      <c r="H4987" s="2" t="s">
        <v>62</v>
      </c>
      <c r="I4987" s="2" t="s">
        <v>11617</v>
      </c>
      <c r="J4987" s="3" t="str">
        <f>HYPERLINK("https://www.boe.es/gazeta/dias/1814/03/12/pdfs/GRE-1814-35.pdf#page=7","Abrir facsímil")</f>
        <v>Abrir facsímil</v>
      </c>
      <c r="K4987" s="3" t="s">
        <v>64</v>
      </c>
    </row>
    <row r="4988" spans="1:11" ht="42" customHeight="1">
      <c r="A4988" s="2" t="s">
        <v>11618</v>
      </c>
      <c r="B4988" s="2" t="s">
        <v>11619</v>
      </c>
      <c r="C4988" s="2" t="s">
        <v>26</v>
      </c>
      <c r="D4988" s="2" t="s">
        <v>27</v>
      </c>
      <c r="E4988" s="5">
        <v>-31091</v>
      </c>
      <c r="F4988" s="3" t="s">
        <v>1156</v>
      </c>
      <c r="G4988" s="3" t="s">
        <v>52</v>
      </c>
      <c r="H4988" s="2" t="s">
        <v>62</v>
      </c>
      <c r="I4988" s="2" t="s">
        <v>11620</v>
      </c>
      <c r="J4988" s="3" t="str">
        <f>HYPERLINK("https://www.boe.es/gazeta/dias/1814/11/15/pdfs/GMD-1814-152.pdf#page=8","Abrir facsímil")</f>
        <v>Abrir facsímil</v>
      </c>
      <c r="K4988" s="3" t="s">
        <v>64</v>
      </c>
    </row>
    <row r="4989" spans="1:11" ht="42" customHeight="1">
      <c r="A4989" s="2" t="s">
        <v>11621</v>
      </c>
      <c r="B4989" s="2" t="s">
        <v>11622</v>
      </c>
      <c r="C4989" s="2" t="s">
        <v>26</v>
      </c>
      <c r="D4989" s="2" t="s">
        <v>27</v>
      </c>
      <c r="E4989" s="5">
        <v>-31101</v>
      </c>
      <c r="F4989" s="3" t="s">
        <v>2095</v>
      </c>
      <c r="G4989" s="3" t="s">
        <v>52</v>
      </c>
      <c r="H4989" s="2" t="s">
        <v>62</v>
      </c>
      <c r="I4989" s="2" t="s">
        <v>11623</v>
      </c>
      <c r="J4989" s="3" t="str">
        <f>HYPERLINK("https://www.boe.es/gazeta/dias/1814/11/05/pdfs/GMD-1814-148.pdf#page=8","Abrir facsímil")</f>
        <v>Abrir facsímil</v>
      </c>
      <c r="K4989" s="3" t="s">
        <v>64</v>
      </c>
    </row>
    <row r="4990" spans="1:11" ht="42" customHeight="1">
      <c r="A4990" s="2" t="s">
        <v>11624</v>
      </c>
      <c r="B4990" s="2" t="s">
        <v>11625</v>
      </c>
      <c r="C4990" s="2" t="s">
        <v>38</v>
      </c>
      <c r="D4990" s="2" t="s">
        <v>39</v>
      </c>
      <c r="E4990" s="5">
        <v>-31262</v>
      </c>
      <c r="F4990" s="3" t="s">
        <v>254</v>
      </c>
      <c r="G4990" s="3" t="s">
        <v>82</v>
      </c>
      <c r="H4990" s="2" t="s">
        <v>62</v>
      </c>
      <c r="I4990" s="2" t="s">
        <v>11626</v>
      </c>
      <c r="J4990" s="3" t="str">
        <f>HYPERLINK("https://www.boe.es/gazeta/dias/1814/05/28/pdfs/GMD-1814-78.pdf#page=3","Abrir facsímil")</f>
        <v>Abrir facsímil</v>
      </c>
      <c r="K4990" s="3" t="s">
        <v>64</v>
      </c>
    </row>
    <row r="4991" spans="1:11" ht="42" customHeight="1">
      <c r="A4991" s="2" t="s">
        <v>11627</v>
      </c>
      <c r="B4991" s="2" t="s">
        <v>11628</v>
      </c>
      <c r="C4991" s="2" t="s">
        <v>38</v>
      </c>
      <c r="D4991" s="2" t="s">
        <v>39</v>
      </c>
      <c r="E4991" s="5">
        <v>-31399</v>
      </c>
      <c r="F4991" s="3" t="s">
        <v>218</v>
      </c>
      <c r="G4991" s="3" t="s">
        <v>57</v>
      </c>
      <c r="H4991" s="2" t="s">
        <v>62</v>
      </c>
      <c r="I4991" s="2" t="s">
        <v>11629</v>
      </c>
      <c r="J4991" s="3" t="str">
        <f>HYPERLINK("https://www.boe.es/gazeta/dias/1814/01/11/pdfs/GRE-1814-6.pdf#page=6","Abrir facsímil")</f>
        <v>Abrir facsímil</v>
      </c>
      <c r="K4991" s="3" t="s">
        <v>64</v>
      </c>
    </row>
    <row r="4992" spans="1:11" ht="42" customHeight="1">
      <c r="A4992" s="2" t="s">
        <v>11630</v>
      </c>
      <c r="B4992" s="2" t="s">
        <v>11631</v>
      </c>
      <c r="C4992" s="2" t="s">
        <v>105</v>
      </c>
      <c r="D4992" s="2" t="s">
        <v>18</v>
      </c>
      <c r="E4992" s="5">
        <v>-31241</v>
      </c>
      <c r="F4992" s="3" t="s">
        <v>703</v>
      </c>
      <c r="G4992" s="3" t="s">
        <v>82</v>
      </c>
      <c r="H4992" s="2" t="s">
        <v>62</v>
      </c>
      <c r="I4992" s="2" t="s">
        <v>11632</v>
      </c>
      <c r="J4992" s="3" t="str">
        <f>HYPERLINK("https://www.boe.es/gazeta/dias/1814/06/18/pdfs/GMD-1814-87.pdf#page=3","Abrir facsímil")</f>
        <v>Abrir facsímil</v>
      </c>
      <c r="K4992" s="3" t="s">
        <v>64</v>
      </c>
    </row>
    <row r="4993" spans="1:11" ht="42" customHeight="1">
      <c r="A4993" s="2" t="s">
        <v>11633</v>
      </c>
      <c r="B4993" s="2" t="s">
        <v>11633</v>
      </c>
      <c r="C4993" s="2" t="s">
        <v>38</v>
      </c>
      <c r="D4993" s="2" t="s">
        <v>39</v>
      </c>
      <c r="E4993" s="5">
        <v>-31215</v>
      </c>
      <c r="F4993" s="3" t="s">
        <v>372</v>
      </c>
      <c r="G4993" s="3" t="s">
        <v>373</v>
      </c>
      <c r="H4993" s="2" t="s">
        <v>62</v>
      </c>
      <c r="I4993" s="2" t="s">
        <v>11634</v>
      </c>
      <c r="J4993" s="3" t="str">
        <f>HYPERLINK("https://www.boe.es/gazeta/dias/1814/07/14/pdfs/GMD-1814-98.pdf#page=7","Abrir facsímil")</f>
        <v>Abrir facsímil</v>
      </c>
      <c r="K4993" s="3" t="s">
        <v>64</v>
      </c>
    </row>
    <row r="4994" spans="1:11" ht="42" customHeight="1">
      <c r="A4994" s="2" t="s">
        <v>11633</v>
      </c>
      <c r="B4994" s="2" t="s">
        <v>11633</v>
      </c>
      <c r="C4994" s="2" t="s">
        <v>45</v>
      </c>
      <c r="D4994" s="2" t="s">
        <v>18</v>
      </c>
      <c r="E4994" s="5">
        <v>-31143</v>
      </c>
      <c r="F4994" s="3" t="s">
        <v>787</v>
      </c>
      <c r="G4994" s="3" t="s">
        <v>52</v>
      </c>
      <c r="H4994" s="2" t="s">
        <v>62</v>
      </c>
      <c r="I4994" s="2" t="s">
        <v>11635</v>
      </c>
      <c r="J4994" s="3" t="str">
        <f>HYPERLINK("https://www.boe.es/gazeta/dias/1814/09/24/pdfs/GMD-1814-130.pdf#page=8","Abrir facsímil")</f>
        <v>Abrir facsímil</v>
      </c>
      <c r="K4994" s="3" t="s">
        <v>64</v>
      </c>
    </row>
    <row r="4995" spans="1:11" ht="42" customHeight="1">
      <c r="A4995" s="2" t="s">
        <v>11636</v>
      </c>
      <c r="B4995" s="2" t="s">
        <v>11637</v>
      </c>
      <c r="C4995" s="2" t="s">
        <v>38</v>
      </c>
      <c r="D4995" s="2" t="s">
        <v>39</v>
      </c>
      <c r="E4995" s="5">
        <v>-31238</v>
      </c>
      <c r="F4995" s="3" t="s">
        <v>127</v>
      </c>
      <c r="G4995" s="3" t="s">
        <v>322</v>
      </c>
      <c r="H4995" s="2" t="s">
        <v>62</v>
      </c>
      <c r="I4995" s="2" t="s">
        <v>11638</v>
      </c>
      <c r="J4995" s="3" t="str">
        <f>HYPERLINK("https://www.boe.es/gazeta/dias/1814/06/21/pdfs/GMD-1814-88.pdf#page=12","Abrir facsímil")</f>
        <v>Abrir facsímil</v>
      </c>
      <c r="K4995" s="3" t="s">
        <v>64</v>
      </c>
    </row>
    <row r="4996" spans="1:11" ht="42" customHeight="1">
      <c r="A4996" s="2" t="s">
        <v>11639</v>
      </c>
      <c r="B4996" s="2" t="s">
        <v>11640</v>
      </c>
      <c r="C4996" s="2" t="s">
        <v>105</v>
      </c>
      <c r="D4996" s="2" t="s">
        <v>18</v>
      </c>
      <c r="E4996" s="5">
        <v>-31096</v>
      </c>
      <c r="F4996" s="3" t="s">
        <v>223</v>
      </c>
      <c r="G4996" s="3" t="s">
        <v>972</v>
      </c>
      <c r="H4996" s="2" t="s">
        <v>62</v>
      </c>
      <c r="I4996" s="2" t="s">
        <v>11641</v>
      </c>
      <c r="J4996" s="3" t="str">
        <f>HYPERLINK("https://www.boe.es/gazeta/dias/1814/11/10/pdfs/GMD-1814-150.pdf#page=8","Abrir facsímil")</f>
        <v>Abrir facsímil</v>
      </c>
      <c r="K4996" s="3" t="s">
        <v>64</v>
      </c>
    </row>
    <row r="4997" spans="1:11" ht="42" customHeight="1">
      <c r="A4997" s="2" t="s">
        <v>11642</v>
      </c>
      <c r="B4997" s="2" t="s">
        <v>11643</v>
      </c>
      <c r="C4997" s="2" t="s">
        <v>38</v>
      </c>
      <c r="D4997" s="2" t="s">
        <v>39</v>
      </c>
      <c r="E4997" s="5">
        <v>-31122</v>
      </c>
      <c r="F4997" s="3" t="s">
        <v>28</v>
      </c>
      <c r="G4997" s="3" t="s">
        <v>107</v>
      </c>
      <c r="H4997" s="2" t="s">
        <v>62</v>
      </c>
      <c r="I4997" s="2" t="s">
        <v>11644</v>
      </c>
      <c r="J4997" s="3" t="str">
        <f>HYPERLINK("https://www.boe.es/gazeta/dias/1814/10/15/pdfs/GMD-1814-139.pdf#page=1","Abrir facsímil")</f>
        <v>Abrir facsímil</v>
      </c>
      <c r="K4997" s="3" t="s">
        <v>64</v>
      </c>
    </row>
    <row r="4998" spans="1:11" ht="42" customHeight="1">
      <c r="A4998" s="2" t="s">
        <v>11645</v>
      </c>
      <c r="B4998" s="2" t="s">
        <v>11646</v>
      </c>
      <c r="C4998" s="2" t="s">
        <v>38</v>
      </c>
      <c r="D4998" s="2" t="s">
        <v>39</v>
      </c>
      <c r="E4998" s="5">
        <v>-31080</v>
      </c>
      <c r="F4998" s="3" t="s">
        <v>286</v>
      </c>
      <c r="G4998" s="3" t="s">
        <v>677</v>
      </c>
      <c r="H4998" s="2" t="s">
        <v>62</v>
      </c>
      <c r="I4998" s="2" t="s">
        <v>11647</v>
      </c>
      <c r="J4998" s="3" t="str">
        <f>HYPERLINK("https://www.boe.es/gazeta/dias/1814/11/26/pdfs/GMD-1814-157.pdf#page=7","Abrir facsímil")</f>
        <v>Abrir facsímil</v>
      </c>
      <c r="K4998" s="3" t="s">
        <v>64</v>
      </c>
    </row>
    <row r="4999" spans="1:11" ht="42" customHeight="1">
      <c r="A4999" s="2" t="s">
        <v>11648</v>
      </c>
      <c r="B4999" s="2" t="s">
        <v>11649</v>
      </c>
      <c r="C4999" s="2" t="s">
        <v>45</v>
      </c>
      <c r="D4999" s="2" t="s">
        <v>18</v>
      </c>
      <c r="E4999" s="5">
        <v>-31304</v>
      </c>
      <c r="F4999" s="3" t="s">
        <v>1964</v>
      </c>
      <c r="G4999" s="3" t="s">
        <v>3403</v>
      </c>
      <c r="H4999" s="2" t="s">
        <v>21</v>
      </c>
      <c r="I4999" s="2" t="s">
        <v>11650</v>
      </c>
      <c r="J4999" s="3" t="str">
        <f>HYPERLINK("https://www.boe.es/gazeta/dias/1814/04/16/pdfs/GRE-1814-55.pdf#page=8","Abrir facsímil")</f>
        <v>Abrir facsímil</v>
      </c>
      <c r="K4999" s="3" t="s">
        <v>23</v>
      </c>
    </row>
    <row r="5000" spans="1:11" ht="42" customHeight="1">
      <c r="A5000" s="2" t="s">
        <v>11651</v>
      </c>
      <c r="B5000" s="2" t="s">
        <v>11652</v>
      </c>
      <c r="C5000" s="2" t="s">
        <v>17</v>
      </c>
      <c r="D5000" s="2" t="s">
        <v>18</v>
      </c>
      <c r="E5000" s="5">
        <v>-31390</v>
      </c>
      <c r="F5000" s="3" t="s">
        <v>349</v>
      </c>
      <c r="G5000" s="3" t="s">
        <v>52</v>
      </c>
      <c r="H5000" s="2" t="s">
        <v>62</v>
      </c>
      <c r="I5000" s="2" t="s">
        <v>11653</v>
      </c>
      <c r="J5000" s="3" t="str">
        <f>HYPERLINK("https://www.boe.es/gazeta/dias/1814/01/20/pdfs/GRE-1814-10.pdf#page=8","Abrir facsímil")</f>
        <v>Abrir facsímil</v>
      </c>
      <c r="K5000" s="3" t="s">
        <v>64</v>
      </c>
    </row>
    <row r="5001" spans="1:11" ht="42" customHeight="1">
      <c r="A5001" s="2" t="s">
        <v>11654</v>
      </c>
      <c r="B5001" s="2" t="s">
        <v>11655</v>
      </c>
      <c r="C5001" s="2" t="s">
        <v>45</v>
      </c>
      <c r="D5001" s="2" t="s">
        <v>18</v>
      </c>
      <c r="E5001" s="5">
        <v>-31131</v>
      </c>
      <c r="F5001" s="3" t="s">
        <v>132</v>
      </c>
      <c r="G5001" s="3" t="s">
        <v>20</v>
      </c>
      <c r="H5001" s="2" t="s">
        <v>62</v>
      </c>
      <c r="I5001" s="2" t="s">
        <v>11656</v>
      </c>
      <c r="J5001" s="3" t="str">
        <f>HYPERLINK("https://www.boe.es/gazeta/dias/1814/10/06/pdfs/GMD-1814-135.pdf#page=7","Abrir facsímil")</f>
        <v>Abrir facsímil</v>
      </c>
      <c r="K5001" s="3" t="s">
        <v>64</v>
      </c>
    </row>
    <row r="5002" spans="1:11" ht="42" customHeight="1">
      <c r="A5002" s="2" t="s">
        <v>11657</v>
      </c>
      <c r="B5002" s="2" t="s">
        <v>11658</v>
      </c>
      <c r="C5002" s="2" t="s">
        <v>38</v>
      </c>
      <c r="D5002" s="2" t="s">
        <v>39</v>
      </c>
      <c r="E5002" s="5">
        <v>-31203</v>
      </c>
      <c r="F5002" s="3" t="s">
        <v>512</v>
      </c>
      <c r="G5002" s="3" t="s">
        <v>513</v>
      </c>
      <c r="H5002" s="2" t="s">
        <v>62</v>
      </c>
      <c r="I5002" s="2" t="s">
        <v>11659</v>
      </c>
      <c r="J5002" s="3" t="str">
        <f>HYPERLINK("https://www.boe.es/gazeta/dias/1814/07/26/pdfs/GMD-1814-103.pdf#page=2","Abrir facsímil")</f>
        <v>Abrir facsímil</v>
      </c>
      <c r="K5002" s="3" t="s">
        <v>64</v>
      </c>
    </row>
    <row r="5003" spans="1:11" ht="42" customHeight="1">
      <c r="A5003" s="2" t="s">
        <v>11660</v>
      </c>
      <c r="B5003" s="2" t="s">
        <v>11660</v>
      </c>
      <c r="C5003" s="2" t="s">
        <v>38</v>
      </c>
      <c r="D5003" s="2" t="s">
        <v>39</v>
      </c>
      <c r="E5003" s="5">
        <v>-31255</v>
      </c>
      <c r="F5003" s="3" t="s">
        <v>983</v>
      </c>
      <c r="G5003" s="3" t="s">
        <v>107</v>
      </c>
      <c r="H5003" s="2" t="s">
        <v>62</v>
      </c>
      <c r="I5003" s="2" t="s">
        <v>11661</v>
      </c>
      <c r="J5003" s="3" t="str">
        <f>HYPERLINK("https://www.boe.es/gazeta/dias/1814/06/04/pdfs/GMD-1814-81.pdf#page=1","Abrir facsímil")</f>
        <v>Abrir facsímil</v>
      </c>
      <c r="K5003" s="3" t="s">
        <v>64</v>
      </c>
    </row>
    <row r="5004" spans="1:11" ht="42" customHeight="1">
      <c r="A5004" s="2" t="s">
        <v>11662</v>
      </c>
      <c r="B5004" s="2" t="s">
        <v>11663</v>
      </c>
      <c r="C5004" s="2" t="s">
        <v>38</v>
      </c>
      <c r="D5004" s="2" t="s">
        <v>39</v>
      </c>
      <c r="E5004" s="5">
        <v>-31257</v>
      </c>
      <c r="F5004" s="3" t="s">
        <v>437</v>
      </c>
      <c r="G5004" s="3" t="s">
        <v>87</v>
      </c>
      <c r="H5004" s="2" t="s">
        <v>62</v>
      </c>
      <c r="I5004" s="2" t="s">
        <v>11664</v>
      </c>
      <c r="J5004" s="3" t="str">
        <f>HYPERLINK("https://www.boe.es/gazeta/dias/1814/06/02/pdfs/GMD-1814-80.pdf#page=2","Abrir facsímil")</f>
        <v>Abrir facsímil</v>
      </c>
      <c r="K5004" s="3" t="s">
        <v>64</v>
      </c>
    </row>
    <row r="5005" spans="1:11" ht="42" customHeight="1">
      <c r="A5005" s="2" t="s">
        <v>11662</v>
      </c>
      <c r="B5005" s="2" t="s">
        <v>11663</v>
      </c>
      <c r="C5005" s="2" t="s">
        <v>38</v>
      </c>
      <c r="D5005" s="2" t="s">
        <v>39</v>
      </c>
      <c r="E5005" s="5">
        <v>-31227</v>
      </c>
      <c r="F5005" s="3" t="s">
        <v>102</v>
      </c>
      <c r="G5005" s="3" t="s">
        <v>107</v>
      </c>
      <c r="H5005" s="2" t="s">
        <v>62</v>
      </c>
      <c r="I5005" s="2" t="s">
        <v>11665</v>
      </c>
      <c r="J5005" s="3" t="str">
        <f>HYPERLINK("https://www.boe.es/gazeta/dias/1814/07/02/pdfs/GMD-1814-93.pdf#page=1","Abrir facsímil")</f>
        <v>Abrir facsímil</v>
      </c>
      <c r="K5005" s="3" t="s">
        <v>64</v>
      </c>
    </row>
    <row r="5006" spans="1:11" ht="42" customHeight="1">
      <c r="A5006" s="2" t="s">
        <v>11662</v>
      </c>
      <c r="B5006" s="2" t="s">
        <v>11663</v>
      </c>
      <c r="C5006" s="2" t="s">
        <v>38</v>
      </c>
      <c r="D5006" s="2" t="s">
        <v>39</v>
      </c>
      <c r="E5006" s="5">
        <v>-31185</v>
      </c>
      <c r="F5006" s="3" t="s">
        <v>1238</v>
      </c>
      <c r="G5006" s="3" t="s">
        <v>11666</v>
      </c>
      <c r="H5006" s="2" t="s">
        <v>62</v>
      </c>
      <c r="I5006" s="2" t="s">
        <v>11667</v>
      </c>
      <c r="J5006" s="3" t="str">
        <f>HYPERLINK("https://www.boe.es/gazeta/dias/1814/08/13/pdfs/GMD-1814-111.pdf#page=2","Abrir facsímil")</f>
        <v>Abrir facsímil</v>
      </c>
      <c r="K5006" s="3" t="s">
        <v>64</v>
      </c>
    </row>
    <row r="5007" spans="1:11" ht="42" customHeight="1">
      <c r="A5007" s="2" t="s">
        <v>11662</v>
      </c>
      <c r="B5007" s="2" t="s">
        <v>11663</v>
      </c>
      <c r="C5007" s="2" t="s">
        <v>38</v>
      </c>
      <c r="D5007" s="2" t="s">
        <v>39</v>
      </c>
      <c r="E5007" s="5">
        <v>-31150</v>
      </c>
      <c r="F5007" s="3" t="s">
        <v>106</v>
      </c>
      <c r="G5007" s="3" t="s">
        <v>3046</v>
      </c>
      <c r="H5007" s="2" t="s">
        <v>62</v>
      </c>
      <c r="I5007" s="2" t="s">
        <v>11668</v>
      </c>
      <c r="J5007" s="3" t="str">
        <f>HYPERLINK("https://www.boe.es/gazeta/dias/1814/09/17/pdfs/GMD-1814-127.pdf#page=2","Abrir facsímil")</f>
        <v>Abrir facsímil</v>
      </c>
      <c r="K5007" s="3" t="s">
        <v>64</v>
      </c>
    </row>
    <row r="5008" spans="1:11" ht="42" customHeight="1">
      <c r="A5008" s="2" t="s">
        <v>11662</v>
      </c>
      <c r="B5008" s="2" t="s">
        <v>11663</v>
      </c>
      <c r="C5008" s="2" t="s">
        <v>38</v>
      </c>
      <c r="D5008" s="2" t="s">
        <v>39</v>
      </c>
      <c r="E5008" s="5">
        <v>-31112</v>
      </c>
      <c r="F5008" s="3" t="s">
        <v>707</v>
      </c>
      <c r="G5008" s="3" t="s">
        <v>107</v>
      </c>
      <c r="H5008" s="2" t="s">
        <v>62</v>
      </c>
      <c r="I5008" s="2" t="s">
        <v>11669</v>
      </c>
      <c r="J5008" s="3" t="str">
        <f>HYPERLINK("https://www.boe.es/gazeta/dias/1814/10/25/pdfs/GMD-1814-143.pdf#page=1","Abrir facsímil")</f>
        <v>Abrir facsímil</v>
      </c>
      <c r="K5008" s="3" t="s">
        <v>64</v>
      </c>
    </row>
    <row r="5009" spans="1:11" ht="42" customHeight="1">
      <c r="A5009" s="2" t="s">
        <v>11670</v>
      </c>
      <c r="B5009" s="2" t="s">
        <v>11670</v>
      </c>
      <c r="C5009" s="2" t="s">
        <v>38</v>
      </c>
      <c r="D5009" s="2" t="s">
        <v>39</v>
      </c>
      <c r="E5009" s="5">
        <v>-31405</v>
      </c>
      <c r="F5009" s="3" t="s">
        <v>1754</v>
      </c>
      <c r="G5009" s="3" t="s">
        <v>82</v>
      </c>
      <c r="H5009" s="2" t="s">
        <v>62</v>
      </c>
      <c r="I5009" s="2" t="s">
        <v>11671</v>
      </c>
      <c r="J5009" s="3" t="str">
        <f>HYPERLINK("https://www.boe.es/gazeta/dias/1814/01/05/pdfs/GRE-1814-5.pdf#page=3","Abrir facsímil")</f>
        <v>Abrir facsímil</v>
      </c>
      <c r="K5009" s="3" t="s">
        <v>64</v>
      </c>
    </row>
    <row r="5010" spans="1:11" ht="42" customHeight="1">
      <c r="A5010" s="2" t="s">
        <v>11670</v>
      </c>
      <c r="B5010" s="2" t="s">
        <v>11670</v>
      </c>
      <c r="C5010" s="2" t="s">
        <v>38</v>
      </c>
      <c r="D5010" s="2" t="s">
        <v>39</v>
      </c>
      <c r="E5010" s="5">
        <v>-31402</v>
      </c>
      <c r="F5010" s="3" t="s">
        <v>1754</v>
      </c>
      <c r="G5010" s="3" t="s">
        <v>82</v>
      </c>
      <c r="H5010" s="2" t="s">
        <v>62</v>
      </c>
      <c r="I5010" s="2" t="s">
        <v>11671</v>
      </c>
      <c r="J5010" s="3" t="str">
        <f>HYPERLINK("https://www.boe.es/gazeta/dias/1814/01/08/pdfs/GRE-1814-5.pdf#page=3","Abrir facsímil")</f>
        <v>Abrir facsímil</v>
      </c>
      <c r="K5010" s="3" t="s">
        <v>64</v>
      </c>
    </row>
    <row r="5011" spans="1:11" ht="42" customHeight="1">
      <c r="A5011" s="2" t="s">
        <v>11672</v>
      </c>
      <c r="B5011" s="2" t="s">
        <v>11672</v>
      </c>
      <c r="C5011" s="2" t="s">
        <v>38</v>
      </c>
      <c r="D5011" s="2" t="s">
        <v>39</v>
      </c>
      <c r="E5011" s="5">
        <v>-31133</v>
      </c>
      <c r="F5011" s="3" t="s">
        <v>184</v>
      </c>
      <c r="G5011" s="3" t="s">
        <v>20</v>
      </c>
      <c r="H5011" s="2" t="s">
        <v>62</v>
      </c>
      <c r="I5011" s="2" t="s">
        <v>11673</v>
      </c>
      <c r="J5011" s="3" t="str">
        <f>HYPERLINK("https://www.boe.es/gazeta/dias/1814/10/04/pdfs/GMD-1814-134.pdf#page=7","Abrir facsímil")</f>
        <v>Abrir facsímil</v>
      </c>
      <c r="K5011" s="3" t="s">
        <v>64</v>
      </c>
    </row>
    <row r="5012" spans="1:11" ht="42" customHeight="1">
      <c r="A5012" s="2" t="s">
        <v>11672</v>
      </c>
      <c r="B5012" s="2" t="s">
        <v>11672</v>
      </c>
      <c r="C5012" s="2" t="s">
        <v>17</v>
      </c>
      <c r="D5012" s="2" t="s">
        <v>18</v>
      </c>
      <c r="E5012" s="5">
        <v>-31119</v>
      </c>
      <c r="F5012" s="3" t="s">
        <v>136</v>
      </c>
      <c r="G5012" s="3" t="s">
        <v>384</v>
      </c>
      <c r="H5012" s="2" t="s">
        <v>62</v>
      </c>
      <c r="I5012" s="2" t="s">
        <v>11674</v>
      </c>
      <c r="J5012" s="3" t="str">
        <f>HYPERLINK("https://www.boe.es/gazeta/dias/1814/10/18/pdfs/GMD-1814-140.pdf#page=11","Abrir facsímil")</f>
        <v>Abrir facsímil</v>
      </c>
      <c r="K5012" s="3" t="s">
        <v>64</v>
      </c>
    </row>
    <row r="5013" spans="1:11" ht="42" customHeight="1">
      <c r="A5013" s="2" t="s">
        <v>11675</v>
      </c>
      <c r="B5013" s="2" t="s">
        <v>11675</v>
      </c>
      <c r="C5013" s="2" t="s">
        <v>309</v>
      </c>
      <c r="D5013" s="2" t="s">
        <v>18</v>
      </c>
      <c r="E5013" s="5">
        <v>-31185</v>
      </c>
      <c r="F5013" s="3" t="s">
        <v>1238</v>
      </c>
      <c r="G5013" s="3" t="s">
        <v>3166</v>
      </c>
      <c r="H5013" s="2" t="s">
        <v>62</v>
      </c>
      <c r="I5013" s="2" t="s">
        <v>11676</v>
      </c>
      <c r="J5013" s="3" t="str">
        <f>HYPERLINK("https://www.boe.es/gazeta/dias/1814/08/13/pdfs/GMD-1814-111.pdf#page=7","Abrir facsímil")</f>
        <v>Abrir facsímil</v>
      </c>
      <c r="K5013" s="3" t="s">
        <v>64</v>
      </c>
    </row>
    <row r="5014" spans="1:11" ht="42" customHeight="1">
      <c r="A5014" s="2" t="s">
        <v>11677</v>
      </c>
      <c r="B5014" s="2" t="s">
        <v>11677</v>
      </c>
      <c r="C5014" s="2" t="s">
        <v>38</v>
      </c>
      <c r="D5014" s="2" t="s">
        <v>39</v>
      </c>
      <c r="E5014" s="5">
        <v>-31210</v>
      </c>
      <c r="F5014" s="3" t="s">
        <v>141</v>
      </c>
      <c r="G5014" s="3" t="s">
        <v>20</v>
      </c>
      <c r="H5014" s="2" t="s">
        <v>62</v>
      </c>
      <c r="I5014" s="2" t="s">
        <v>11678</v>
      </c>
      <c r="J5014" s="3" t="str">
        <f>HYPERLINK("https://www.boe.es/gazeta/dias/1814/07/19/pdfs/GMD-1814-100.pdf#page=7","Abrir facsímil")</f>
        <v>Abrir facsímil</v>
      </c>
      <c r="K5014" s="3" t="s">
        <v>64</v>
      </c>
    </row>
    <row r="5015" spans="1:11" ht="42" customHeight="1">
      <c r="A5015" s="2" t="s">
        <v>11679</v>
      </c>
      <c r="B5015" s="2" t="s">
        <v>11680</v>
      </c>
      <c r="C5015" s="2" t="s">
        <v>17</v>
      </c>
      <c r="D5015" s="2" t="s">
        <v>18</v>
      </c>
      <c r="E5015" s="5">
        <v>-31119</v>
      </c>
      <c r="F5015" s="3" t="s">
        <v>136</v>
      </c>
      <c r="G5015" s="3" t="s">
        <v>704</v>
      </c>
      <c r="H5015" s="2" t="s">
        <v>62</v>
      </c>
      <c r="I5015" s="2" t="s">
        <v>11681</v>
      </c>
      <c r="J5015" s="3" t="str">
        <f>HYPERLINK("https://www.boe.es/gazeta/dias/1814/10/18/pdfs/GMD-1814-140.pdf#page=10","Abrir facsímil")</f>
        <v>Abrir facsímil</v>
      </c>
      <c r="K5015" s="3" t="s">
        <v>64</v>
      </c>
    </row>
    <row r="5016" spans="1:11" ht="42" customHeight="1">
      <c r="A5016" s="2" t="s">
        <v>11682</v>
      </c>
      <c r="B5016" s="2" t="s">
        <v>11683</v>
      </c>
      <c r="C5016" s="2" t="s">
        <v>105</v>
      </c>
      <c r="D5016" s="2" t="s">
        <v>18</v>
      </c>
      <c r="E5016" s="5">
        <v>-31096</v>
      </c>
      <c r="F5016" s="3" t="s">
        <v>223</v>
      </c>
      <c r="G5016" s="3" t="s">
        <v>972</v>
      </c>
      <c r="H5016" s="2" t="s">
        <v>62</v>
      </c>
      <c r="I5016" s="2" t="s">
        <v>11684</v>
      </c>
      <c r="J5016" s="3" t="str">
        <f>HYPERLINK("https://www.boe.es/gazeta/dias/1814/11/10/pdfs/GMD-1814-150.pdf#page=8","Abrir facsímil")</f>
        <v>Abrir facsímil</v>
      </c>
      <c r="K5016" s="3" t="s">
        <v>64</v>
      </c>
    </row>
    <row r="5017" spans="1:11" ht="42" customHeight="1">
      <c r="A5017" s="2" t="s">
        <v>11685</v>
      </c>
      <c r="B5017" s="2" t="s">
        <v>11686</v>
      </c>
      <c r="C5017" s="2" t="s">
        <v>38</v>
      </c>
      <c r="D5017" s="2" t="s">
        <v>39</v>
      </c>
      <c r="E5017" s="5">
        <v>-31175</v>
      </c>
      <c r="F5017" s="3" t="s">
        <v>145</v>
      </c>
      <c r="G5017" s="3" t="s">
        <v>1918</v>
      </c>
      <c r="H5017" s="2" t="s">
        <v>62</v>
      </c>
      <c r="I5017" s="2" t="s">
        <v>11687</v>
      </c>
      <c r="J5017" s="3" t="str">
        <f>HYPERLINK("https://www.boe.es/gazeta/dias/1814/08/23/pdfs/GMD-1814-115.pdf#page=8","Abrir facsímil")</f>
        <v>Abrir facsímil</v>
      </c>
      <c r="K5017" s="3" t="s">
        <v>64</v>
      </c>
    </row>
    <row r="5018" spans="1:11" ht="42" customHeight="1">
      <c r="A5018" s="2" t="s">
        <v>11688</v>
      </c>
      <c r="B5018" s="2" t="s">
        <v>11688</v>
      </c>
      <c r="C5018" s="2" t="s">
        <v>26</v>
      </c>
      <c r="D5018" s="2" t="s">
        <v>27</v>
      </c>
      <c r="E5018" s="5">
        <v>-31122</v>
      </c>
      <c r="F5018" s="3" t="s">
        <v>28</v>
      </c>
      <c r="G5018" s="3" t="s">
        <v>57</v>
      </c>
      <c r="H5018" s="2" t="s">
        <v>62</v>
      </c>
      <c r="I5018" s="2" t="s">
        <v>11689</v>
      </c>
      <c r="J5018" s="3" t="str">
        <f>HYPERLINK("https://www.boe.es/gazeta/dias/1814/10/15/pdfs/GMD-1814-139.pdf#page=6","Abrir facsímil")</f>
        <v>Abrir facsímil</v>
      </c>
      <c r="K5018" s="3" t="s">
        <v>64</v>
      </c>
    </row>
    <row r="5019" spans="1:11" ht="42" customHeight="1">
      <c r="A5019" s="2" t="s">
        <v>11690</v>
      </c>
      <c r="B5019" s="2" t="s">
        <v>11690</v>
      </c>
      <c r="C5019" s="2" t="s">
        <v>38</v>
      </c>
      <c r="D5019" s="2" t="s">
        <v>39</v>
      </c>
      <c r="E5019" s="5">
        <v>-31397</v>
      </c>
      <c r="F5019" s="3" t="s">
        <v>929</v>
      </c>
      <c r="G5019" s="3" t="s">
        <v>107</v>
      </c>
      <c r="H5019" s="2" t="s">
        <v>62</v>
      </c>
      <c r="I5019" s="2" t="s">
        <v>11691</v>
      </c>
      <c r="J5019" s="3" t="str">
        <f>HYPERLINK("https://www.boe.es/gazeta/dias/1814/01/13/pdfs/GRE-1814-7.pdf#page=1","Abrir facsímil")</f>
        <v>Abrir facsímil</v>
      </c>
      <c r="K5019" s="3" t="s">
        <v>64</v>
      </c>
    </row>
    <row r="5020" spans="1:11" ht="42" customHeight="1">
      <c r="A5020" s="2" t="s">
        <v>11690</v>
      </c>
      <c r="B5020" s="2" t="s">
        <v>11690</v>
      </c>
      <c r="C5020" s="2" t="s">
        <v>38</v>
      </c>
      <c r="D5020" s="2" t="s">
        <v>39</v>
      </c>
      <c r="E5020" s="5">
        <v>-31292</v>
      </c>
      <c r="F5020" s="3" t="s">
        <v>557</v>
      </c>
      <c r="G5020" s="3" t="s">
        <v>1678</v>
      </c>
      <c r="H5020" s="2" t="s">
        <v>62</v>
      </c>
      <c r="I5020" s="2" t="s">
        <v>11692</v>
      </c>
      <c r="J5020" s="3" t="str">
        <f>HYPERLINK("https://www.boe.es/gazeta/dias/1814/04/28/pdfs/GRE-1814-63.pdf#page=3","Abrir facsímil")</f>
        <v>Abrir facsímil</v>
      </c>
      <c r="K5020" s="3" t="s">
        <v>64</v>
      </c>
    </row>
    <row r="5021" spans="1:11" ht="42" customHeight="1">
      <c r="A5021" s="2" t="s">
        <v>11693</v>
      </c>
      <c r="B5021" s="2" t="s">
        <v>11694</v>
      </c>
      <c r="C5021" s="2" t="s">
        <v>38</v>
      </c>
      <c r="D5021" s="2" t="s">
        <v>39</v>
      </c>
      <c r="E5021" s="5">
        <v>-31124</v>
      </c>
      <c r="F5021" s="3" t="s">
        <v>383</v>
      </c>
      <c r="G5021" s="3" t="s">
        <v>574</v>
      </c>
      <c r="H5021" s="2" t="s">
        <v>62</v>
      </c>
      <c r="I5021" s="2" t="s">
        <v>11695</v>
      </c>
      <c r="J5021" s="3" t="str">
        <f>HYPERLINK("https://www.boe.es/gazeta/dias/1814/10/13/pdfs/GMD-1814-138.pdf#page=10","Abrir facsímil")</f>
        <v>Abrir facsímil</v>
      </c>
      <c r="K5021" s="3" t="s">
        <v>64</v>
      </c>
    </row>
    <row r="5022" spans="1:11" ht="42" customHeight="1">
      <c r="A5022" s="2" t="s">
        <v>11696</v>
      </c>
      <c r="B5022" s="2" t="s">
        <v>11697</v>
      </c>
      <c r="C5022" s="2" t="s">
        <v>144</v>
      </c>
      <c r="D5022" s="2" t="s">
        <v>18</v>
      </c>
      <c r="E5022" s="5">
        <v>-31304</v>
      </c>
      <c r="F5022" s="3" t="s">
        <v>1964</v>
      </c>
      <c r="G5022" s="3" t="s">
        <v>3403</v>
      </c>
      <c r="H5022" s="2" t="s">
        <v>62</v>
      </c>
      <c r="I5022" s="2" t="s">
        <v>11698</v>
      </c>
      <c r="J5022" s="3" t="str">
        <f>HYPERLINK("https://www.boe.es/gazeta/dias/1814/04/16/pdfs/GRE-1814-55.pdf#page=8","Abrir facsímil")</f>
        <v>Abrir facsímil</v>
      </c>
      <c r="K5022" s="3" t="s">
        <v>64</v>
      </c>
    </row>
    <row r="5023" spans="1:11" ht="42" customHeight="1">
      <c r="A5023" s="2" t="s">
        <v>11699</v>
      </c>
      <c r="B5023" s="2" t="s">
        <v>11700</v>
      </c>
      <c r="C5023" s="2" t="s">
        <v>38</v>
      </c>
      <c r="D5023" s="2" t="s">
        <v>39</v>
      </c>
      <c r="E5023" s="5">
        <v>-31075</v>
      </c>
      <c r="F5023" s="3" t="s">
        <v>537</v>
      </c>
      <c r="G5023" s="3" t="s">
        <v>41</v>
      </c>
      <c r="H5023" s="2" t="s">
        <v>21</v>
      </c>
      <c r="I5023" s="2" t="s">
        <v>11701</v>
      </c>
      <c r="J5023" s="3" t="str">
        <f>HYPERLINK("https://www.boe.es/gazeta/dias/1814/12/01/pdfs/GMD-1814-159.pdf#page=4","Abrir facsímil")</f>
        <v>Abrir facsímil</v>
      </c>
      <c r="K5023" s="3" t="s">
        <v>23</v>
      </c>
    </row>
    <row r="5024" spans="1:11" ht="42" customHeight="1">
      <c r="A5024" s="2" t="s">
        <v>11702</v>
      </c>
      <c r="B5024" s="2" t="s">
        <v>11703</v>
      </c>
      <c r="C5024" s="2" t="s">
        <v>32</v>
      </c>
      <c r="D5024" s="2" t="s">
        <v>18</v>
      </c>
      <c r="E5024" s="5">
        <v>-31271</v>
      </c>
      <c r="F5024" s="3" t="s">
        <v>243</v>
      </c>
      <c r="G5024" s="3" t="s">
        <v>52</v>
      </c>
      <c r="H5024" s="2" t="s">
        <v>62</v>
      </c>
      <c r="I5024" s="2" t="s">
        <v>11704</v>
      </c>
      <c r="J5024" s="3" t="str">
        <f>HYPERLINK("https://www.boe.es/gazeta/dias/1814/05/19/pdfs/GMD-1814-74.pdf#page=8","Abrir facsímil")</f>
        <v>Abrir facsímil</v>
      </c>
      <c r="K5024" s="3" t="s">
        <v>64</v>
      </c>
    </row>
    <row r="5025" spans="1:11" ht="42" customHeight="1">
      <c r="A5025" s="2" t="s">
        <v>11705</v>
      </c>
      <c r="B5025" s="2" t="s">
        <v>11705</v>
      </c>
      <c r="C5025" s="2" t="s">
        <v>38</v>
      </c>
      <c r="D5025" s="2" t="s">
        <v>39</v>
      </c>
      <c r="E5025" s="5">
        <v>-31229</v>
      </c>
      <c r="F5025" s="3" t="s">
        <v>502</v>
      </c>
      <c r="G5025" s="3" t="s">
        <v>41</v>
      </c>
      <c r="H5025" s="2" t="s">
        <v>62</v>
      </c>
      <c r="I5025" s="2" t="s">
        <v>11706</v>
      </c>
      <c r="J5025" s="3" t="str">
        <f>HYPERLINK("https://www.boe.es/gazeta/dias/1814/06/30/pdfs/GMD-1814-92.pdf#page=4","Abrir facsímil")</f>
        <v>Abrir facsímil</v>
      </c>
      <c r="K5025" s="3" t="s">
        <v>64</v>
      </c>
    </row>
    <row r="5026" spans="1:11" ht="42" customHeight="1">
      <c r="A5026" s="2" t="s">
        <v>11707</v>
      </c>
      <c r="B5026" s="2" t="s">
        <v>11708</v>
      </c>
      <c r="C5026" s="2" t="s">
        <v>17</v>
      </c>
      <c r="D5026" s="2" t="s">
        <v>18</v>
      </c>
      <c r="E5026" s="5">
        <v>-31124</v>
      </c>
      <c r="F5026" s="3" t="s">
        <v>383</v>
      </c>
      <c r="G5026" s="3" t="s">
        <v>574</v>
      </c>
      <c r="H5026" s="2" t="s">
        <v>62</v>
      </c>
      <c r="I5026" s="2" t="s">
        <v>11709</v>
      </c>
      <c r="J5026" s="3" t="str">
        <f>HYPERLINK("https://www.boe.es/gazeta/dias/1814/10/13/pdfs/GMD-1814-138.pdf#page=10","Abrir facsímil")</f>
        <v>Abrir facsímil</v>
      </c>
      <c r="K5026" s="3" t="s">
        <v>64</v>
      </c>
    </row>
    <row r="5027" spans="1:11" ht="42" customHeight="1">
      <c r="A5027" s="2" t="s">
        <v>11710</v>
      </c>
      <c r="B5027" s="2" t="s">
        <v>11711</v>
      </c>
      <c r="C5027" s="2" t="s">
        <v>26</v>
      </c>
      <c r="D5027" s="2" t="s">
        <v>27</v>
      </c>
      <c r="E5027" s="5">
        <v>-31353</v>
      </c>
      <c r="F5027" s="3" t="s">
        <v>247</v>
      </c>
      <c r="G5027" s="3" t="s">
        <v>52</v>
      </c>
      <c r="H5027" s="2" t="s">
        <v>62</v>
      </c>
      <c r="I5027" s="2" t="s">
        <v>11712</v>
      </c>
      <c r="J5027" s="3" t="str">
        <f>HYPERLINK("https://www.boe.es/gazeta/dias/1814/02/26/pdfs/GRE-1814-27.pdf#page=8","Abrir facsímil")</f>
        <v>Abrir facsímil</v>
      </c>
      <c r="K5027" s="3" t="s">
        <v>64</v>
      </c>
    </row>
    <row r="5028" spans="1:11" ht="42" customHeight="1">
      <c r="A5028" s="2" t="s">
        <v>11713</v>
      </c>
      <c r="B5028" s="2" t="s">
        <v>11714</v>
      </c>
      <c r="C5028" s="2" t="s">
        <v>45</v>
      </c>
      <c r="D5028" s="2" t="s">
        <v>18</v>
      </c>
      <c r="E5028" s="5">
        <v>-31077</v>
      </c>
      <c r="F5028" s="3" t="s">
        <v>414</v>
      </c>
      <c r="G5028" s="3" t="s">
        <v>20</v>
      </c>
      <c r="H5028" s="2" t="s">
        <v>21</v>
      </c>
      <c r="I5028" s="2" t="s">
        <v>11715</v>
      </c>
      <c r="J5028" s="3" t="str">
        <f>HYPERLINK("https://www.boe.es/gazeta/dias/1814/11/29/pdfs/GMD-1814-158.pdf#page=7","Abrir facsímil")</f>
        <v>Abrir facsímil</v>
      </c>
      <c r="K5028" s="3" t="s">
        <v>23</v>
      </c>
    </row>
    <row r="5029" spans="1:11" ht="42" customHeight="1">
      <c r="A5029" s="2" t="s">
        <v>11716</v>
      </c>
      <c r="B5029" s="2" t="s">
        <v>11717</v>
      </c>
      <c r="C5029" s="2" t="s">
        <v>38</v>
      </c>
      <c r="D5029" s="2" t="s">
        <v>39</v>
      </c>
      <c r="E5029" s="5">
        <v>-31318</v>
      </c>
      <c r="F5029" s="3" t="s">
        <v>400</v>
      </c>
      <c r="G5029" s="3" t="s">
        <v>99</v>
      </c>
      <c r="H5029" s="2" t="s">
        <v>62</v>
      </c>
      <c r="I5029" s="2" t="s">
        <v>11718</v>
      </c>
      <c r="J5029" s="3" t="str">
        <f>HYPERLINK("https://www.boe.es/gazeta/dias/1814/04/02/pdfs/GRE-1814-47.pdf#page=5","Abrir facsímil")</f>
        <v>Abrir facsímil</v>
      </c>
      <c r="K5029" s="3" t="s">
        <v>64</v>
      </c>
    </row>
    <row r="5030" spans="1:11" ht="42" customHeight="1">
      <c r="A5030" s="2" t="s">
        <v>11719</v>
      </c>
      <c r="B5030" s="2" t="s">
        <v>11720</v>
      </c>
      <c r="C5030" s="2" t="s">
        <v>38</v>
      </c>
      <c r="D5030" s="2" t="s">
        <v>39</v>
      </c>
      <c r="E5030" s="5">
        <v>-31350</v>
      </c>
      <c r="F5030" s="3" t="s">
        <v>377</v>
      </c>
      <c r="G5030" s="3" t="s">
        <v>2017</v>
      </c>
      <c r="H5030" s="2" t="s">
        <v>62</v>
      </c>
      <c r="I5030" s="2" t="s">
        <v>11721</v>
      </c>
      <c r="J5030" s="3" t="str">
        <f>HYPERLINK("https://www.boe.es/gazeta/dias/1814/03/01/pdfs/GRE-1814-28.pdf#page=6","Abrir facsímil")</f>
        <v>Abrir facsímil</v>
      </c>
      <c r="K5030" s="3" t="s">
        <v>64</v>
      </c>
    </row>
    <row r="5031" spans="1:11" ht="42" customHeight="1">
      <c r="A5031" s="2" t="s">
        <v>11722</v>
      </c>
      <c r="B5031" s="2" t="s">
        <v>11723</v>
      </c>
      <c r="C5031" s="2" t="s">
        <v>26</v>
      </c>
      <c r="D5031" s="2" t="s">
        <v>27</v>
      </c>
      <c r="E5031" s="5">
        <v>-31143</v>
      </c>
      <c r="F5031" s="3" t="s">
        <v>787</v>
      </c>
      <c r="G5031" s="3" t="s">
        <v>20</v>
      </c>
      <c r="H5031" s="2" t="s">
        <v>62</v>
      </c>
      <c r="I5031" s="2" t="s">
        <v>11724</v>
      </c>
      <c r="J5031" s="3" t="str">
        <f>HYPERLINK("https://www.boe.es/gazeta/dias/1814/09/24/pdfs/GMD-1814-130.pdf#page=7","Abrir facsímil")</f>
        <v>Abrir facsímil</v>
      </c>
      <c r="K5031" s="3" t="s">
        <v>64</v>
      </c>
    </row>
    <row r="5032" spans="1:11" ht="42" customHeight="1">
      <c r="A5032" s="2" t="s">
        <v>11725</v>
      </c>
      <c r="B5032" s="2" t="s">
        <v>11726</v>
      </c>
      <c r="C5032" s="2" t="s">
        <v>26</v>
      </c>
      <c r="D5032" s="2" t="s">
        <v>27</v>
      </c>
      <c r="E5032" s="5">
        <v>-31224</v>
      </c>
      <c r="F5032" s="3" t="s">
        <v>609</v>
      </c>
      <c r="G5032" s="3" t="s">
        <v>704</v>
      </c>
      <c r="H5032" s="2" t="s">
        <v>62</v>
      </c>
      <c r="I5032" s="2" t="s">
        <v>11727</v>
      </c>
      <c r="J5032" s="3" t="str">
        <f>HYPERLINK("https://www.boe.es/gazeta/dias/1814/07/05/pdfs/GMD-1814-94.pdf#page=10","Abrir facsímil")</f>
        <v>Abrir facsímil</v>
      </c>
      <c r="K5032" s="3" t="s">
        <v>64</v>
      </c>
    </row>
    <row r="5033" spans="1:11" ht="42" customHeight="1">
      <c r="A5033" s="2" t="s">
        <v>11725</v>
      </c>
      <c r="B5033" s="2" t="s">
        <v>11726</v>
      </c>
      <c r="C5033" s="2" t="s">
        <v>26</v>
      </c>
      <c r="D5033" s="2" t="s">
        <v>27</v>
      </c>
      <c r="E5033" s="5">
        <v>-31199</v>
      </c>
      <c r="F5033" s="3" t="s">
        <v>453</v>
      </c>
      <c r="G5033" s="3" t="s">
        <v>20</v>
      </c>
      <c r="H5033" s="2" t="s">
        <v>62</v>
      </c>
      <c r="I5033" s="2" t="s">
        <v>11728</v>
      </c>
      <c r="J5033" s="3" t="str">
        <f>HYPERLINK("https://www.boe.es/gazeta/dias/1814/07/30/pdfs/GMD-1814-105.pdf#page=7","Abrir facsímil")</f>
        <v>Abrir facsímil</v>
      </c>
      <c r="K5033" s="3" t="s">
        <v>64</v>
      </c>
    </row>
    <row r="5034" spans="1:11" ht="42" customHeight="1">
      <c r="A5034" s="2" t="s">
        <v>11725</v>
      </c>
      <c r="B5034" s="2" t="s">
        <v>11726</v>
      </c>
      <c r="C5034" s="2" t="s">
        <v>26</v>
      </c>
      <c r="D5034" s="2" t="s">
        <v>27</v>
      </c>
      <c r="E5034" s="5">
        <v>-31185</v>
      </c>
      <c r="F5034" s="3" t="s">
        <v>1238</v>
      </c>
      <c r="G5034" s="3" t="s">
        <v>1359</v>
      </c>
      <c r="H5034" s="2" t="s">
        <v>62</v>
      </c>
      <c r="I5034" s="2" t="s">
        <v>11729</v>
      </c>
      <c r="J5034" s="3" t="str">
        <f>HYPERLINK("https://www.boe.es/gazeta/dias/1814/08/13/pdfs/GMD-1814-111.pdf#page=6","Abrir facsímil")</f>
        <v>Abrir facsímil</v>
      </c>
      <c r="K5034" s="3" t="s">
        <v>64</v>
      </c>
    </row>
    <row r="5035" spans="1:11" ht="42" customHeight="1">
      <c r="A5035" s="2" t="s">
        <v>11725</v>
      </c>
      <c r="B5035" s="2" t="s">
        <v>11726</v>
      </c>
      <c r="C5035" s="2" t="s">
        <v>26</v>
      </c>
      <c r="D5035" s="2" t="s">
        <v>27</v>
      </c>
      <c r="E5035" s="5">
        <v>-31161</v>
      </c>
      <c r="F5035" s="3" t="s">
        <v>407</v>
      </c>
      <c r="G5035" s="3" t="s">
        <v>1361</v>
      </c>
      <c r="H5035" s="2" t="s">
        <v>62</v>
      </c>
      <c r="I5035" s="2" t="s">
        <v>11730</v>
      </c>
      <c r="J5035" s="3" t="str">
        <f>HYPERLINK("https://www.boe.es/gazeta/dias/1814/09/06/pdfs/GMD-1814-122.pdf#page=7","Abrir facsímil")</f>
        <v>Abrir facsímil</v>
      </c>
      <c r="K5035" s="3" t="s">
        <v>64</v>
      </c>
    </row>
    <row r="5036" spans="1:11" ht="42" customHeight="1">
      <c r="A5036" s="2" t="s">
        <v>11725</v>
      </c>
      <c r="B5036" s="2" t="s">
        <v>11726</v>
      </c>
      <c r="C5036" s="2" t="s">
        <v>26</v>
      </c>
      <c r="D5036" s="2" t="s">
        <v>27</v>
      </c>
      <c r="E5036" s="5">
        <v>-31138</v>
      </c>
      <c r="F5036" s="3" t="s">
        <v>1363</v>
      </c>
      <c r="G5036" s="3" t="s">
        <v>1364</v>
      </c>
      <c r="H5036" s="2" t="s">
        <v>62</v>
      </c>
      <c r="I5036" s="2" t="s">
        <v>11731</v>
      </c>
      <c r="J5036" s="3" t="str">
        <f>HYPERLINK("https://www.boe.es/gazeta/dias/1814/09/29/pdfs/GMD-1814-132.pdf#page=7","Abrir facsímil")</f>
        <v>Abrir facsímil</v>
      </c>
      <c r="K5036" s="3" t="s">
        <v>64</v>
      </c>
    </row>
    <row r="5037" spans="1:11" ht="42" customHeight="1">
      <c r="A5037" s="2" t="s">
        <v>11725</v>
      </c>
      <c r="B5037" s="2" t="s">
        <v>11726</v>
      </c>
      <c r="C5037" s="2" t="s">
        <v>26</v>
      </c>
      <c r="D5037" s="2" t="s">
        <v>27</v>
      </c>
      <c r="E5037" s="5">
        <v>-31129</v>
      </c>
      <c r="F5037" s="3" t="s">
        <v>418</v>
      </c>
      <c r="G5037" s="3" t="s">
        <v>1366</v>
      </c>
      <c r="H5037" s="2" t="s">
        <v>62</v>
      </c>
      <c r="I5037" s="2" t="s">
        <v>11732</v>
      </c>
      <c r="J5037" s="3" t="str">
        <f>HYPERLINK("https://www.boe.es/gazeta/dias/1814/10/08/pdfs/GMD-1814-136.pdf#page=6","Abrir facsímil")</f>
        <v>Abrir facsímil</v>
      </c>
      <c r="K5037" s="3" t="s">
        <v>64</v>
      </c>
    </row>
    <row r="5038" spans="1:11" ht="42" customHeight="1">
      <c r="A5038" s="2" t="s">
        <v>11725</v>
      </c>
      <c r="B5038" s="2" t="s">
        <v>11726</v>
      </c>
      <c r="C5038" s="2" t="s">
        <v>26</v>
      </c>
      <c r="D5038" s="2" t="s">
        <v>27</v>
      </c>
      <c r="E5038" s="5">
        <v>-31126</v>
      </c>
      <c r="F5038" s="3" t="s">
        <v>56</v>
      </c>
      <c r="G5038" s="3" t="s">
        <v>57</v>
      </c>
      <c r="H5038" s="2" t="s">
        <v>62</v>
      </c>
      <c r="I5038" s="2" t="s">
        <v>11733</v>
      </c>
      <c r="J5038" s="3" t="str">
        <f>HYPERLINK("https://www.boe.es/gazeta/dias/1814/10/11/pdfs/GMD-1814-137.pdf#page=6","Abrir facsímil")</f>
        <v>Abrir facsímil</v>
      </c>
      <c r="K5038" s="3" t="s">
        <v>64</v>
      </c>
    </row>
    <row r="5039" spans="1:11" ht="42" customHeight="1">
      <c r="A5039" s="2" t="s">
        <v>11725</v>
      </c>
      <c r="B5039" s="2" t="s">
        <v>11726</v>
      </c>
      <c r="C5039" s="2" t="s">
        <v>26</v>
      </c>
      <c r="D5039" s="2" t="s">
        <v>27</v>
      </c>
      <c r="E5039" s="5">
        <v>-31124</v>
      </c>
      <c r="F5039" s="3" t="s">
        <v>383</v>
      </c>
      <c r="G5039" s="3" t="s">
        <v>841</v>
      </c>
      <c r="H5039" s="2" t="s">
        <v>62</v>
      </c>
      <c r="I5039" s="2" t="s">
        <v>11734</v>
      </c>
      <c r="J5039" s="3" t="str">
        <f>HYPERLINK("https://www.boe.es/gazeta/dias/1814/10/13/pdfs/GMD-1814-138.pdf#page=9","Abrir facsímil")</f>
        <v>Abrir facsímil</v>
      </c>
      <c r="K5039" s="3" t="s">
        <v>64</v>
      </c>
    </row>
    <row r="5040" spans="1:11" ht="42" customHeight="1">
      <c r="A5040" s="2" t="s">
        <v>11725</v>
      </c>
      <c r="B5040" s="2" t="s">
        <v>11726</v>
      </c>
      <c r="C5040" s="2" t="s">
        <v>26</v>
      </c>
      <c r="D5040" s="2" t="s">
        <v>27</v>
      </c>
      <c r="E5040" s="5">
        <v>-31122</v>
      </c>
      <c r="F5040" s="3" t="s">
        <v>28</v>
      </c>
      <c r="G5040" s="3" t="s">
        <v>57</v>
      </c>
      <c r="H5040" s="2" t="s">
        <v>62</v>
      </c>
      <c r="I5040" s="2" t="s">
        <v>11735</v>
      </c>
      <c r="J5040" s="3" t="str">
        <f>HYPERLINK("https://www.boe.es/gazeta/dias/1814/10/15/pdfs/GMD-1814-139.pdf#page=6","Abrir facsímil")</f>
        <v>Abrir facsímil</v>
      </c>
      <c r="K5040" s="3" t="s">
        <v>64</v>
      </c>
    </row>
    <row r="5041" spans="1:11" ht="42" customHeight="1">
      <c r="A5041" s="2" t="s">
        <v>11725</v>
      </c>
      <c r="B5041" s="2" t="s">
        <v>11726</v>
      </c>
      <c r="C5041" s="2" t="s">
        <v>26</v>
      </c>
      <c r="D5041" s="2" t="s">
        <v>27</v>
      </c>
      <c r="E5041" s="5">
        <v>-31103</v>
      </c>
      <c r="F5041" s="3" t="s">
        <v>1260</v>
      </c>
      <c r="G5041" s="3" t="s">
        <v>20</v>
      </c>
      <c r="H5041" s="2" t="s">
        <v>62</v>
      </c>
      <c r="I5041" s="2" t="s">
        <v>11736</v>
      </c>
      <c r="J5041" s="3" t="str">
        <f>HYPERLINK("https://www.boe.es/gazeta/dias/1814/11/03/pdfs/GMD-1814-147.pdf#page=7","Abrir facsímil")</f>
        <v>Abrir facsímil</v>
      </c>
      <c r="K5041" s="3" t="s">
        <v>64</v>
      </c>
    </row>
    <row r="5042" spans="1:11" ht="42" customHeight="1">
      <c r="A5042" s="2" t="s">
        <v>11737</v>
      </c>
      <c r="B5042" s="2" t="s">
        <v>11738</v>
      </c>
      <c r="C5042" s="2" t="s">
        <v>26</v>
      </c>
      <c r="D5042" s="2" t="s">
        <v>27</v>
      </c>
      <c r="E5042" s="5">
        <v>-31196</v>
      </c>
      <c r="F5042" s="3" t="s">
        <v>828</v>
      </c>
      <c r="G5042" s="3" t="s">
        <v>11739</v>
      </c>
      <c r="H5042" s="2" t="s">
        <v>62</v>
      </c>
      <c r="I5042" s="2" t="s">
        <v>11740</v>
      </c>
      <c r="J5042" s="3" t="str">
        <f>HYPERLINK("https://www.boe.es/gazeta/dias/1814/08/02/pdfs/GMD-1814-106.pdf#page=7","Abrir facsímil")</f>
        <v>Abrir facsímil</v>
      </c>
      <c r="K5042" s="3" t="s">
        <v>64</v>
      </c>
    </row>
    <row r="5043" spans="1:11" ht="42" customHeight="1">
      <c r="A5043" s="2" t="s">
        <v>11741</v>
      </c>
      <c r="B5043" s="2" t="s">
        <v>11742</v>
      </c>
      <c r="C5043" s="2" t="s">
        <v>26</v>
      </c>
      <c r="D5043" s="2" t="s">
        <v>27</v>
      </c>
      <c r="E5043" s="5">
        <v>-31192</v>
      </c>
      <c r="F5043" s="3" t="s">
        <v>388</v>
      </c>
      <c r="G5043" s="3" t="s">
        <v>20</v>
      </c>
      <c r="H5043" s="2" t="s">
        <v>62</v>
      </c>
      <c r="I5043" s="2" t="s">
        <v>11743</v>
      </c>
      <c r="J5043" s="3" t="str">
        <f>HYPERLINK("https://www.boe.es/gazeta/dias/1814/08/06/pdfs/GMD-1814-108.pdf#page=7","Abrir facsímil")</f>
        <v>Abrir facsímil</v>
      </c>
      <c r="K5043" s="3" t="s">
        <v>64</v>
      </c>
    </row>
    <row r="5044" spans="1:11" ht="42" customHeight="1">
      <c r="A5044" s="2" t="s">
        <v>11744</v>
      </c>
      <c r="B5044" s="2" t="s">
        <v>11745</v>
      </c>
      <c r="C5044" s="2" t="s">
        <v>38</v>
      </c>
      <c r="D5044" s="2" t="s">
        <v>39</v>
      </c>
      <c r="E5044" s="5">
        <v>-31192</v>
      </c>
      <c r="F5044" s="3" t="s">
        <v>388</v>
      </c>
      <c r="G5044" s="3" t="s">
        <v>20</v>
      </c>
      <c r="H5044" s="2" t="s">
        <v>62</v>
      </c>
      <c r="I5044" s="2" t="s">
        <v>11746</v>
      </c>
      <c r="J5044" s="3" t="str">
        <f>HYPERLINK("https://www.boe.es/gazeta/dias/1814/08/06/pdfs/GMD-1814-108.pdf#page=7","Abrir facsímil")</f>
        <v>Abrir facsímil</v>
      </c>
      <c r="K5044" s="3" t="s">
        <v>64</v>
      </c>
    </row>
    <row r="5045" spans="1:11" ht="42" customHeight="1">
      <c r="A5045" s="2" t="s">
        <v>11747</v>
      </c>
      <c r="B5045" s="2" t="s">
        <v>11748</v>
      </c>
      <c r="C5045" s="2" t="s">
        <v>38</v>
      </c>
      <c r="D5045" s="2" t="s">
        <v>39</v>
      </c>
      <c r="E5045" s="5">
        <v>-31112</v>
      </c>
      <c r="F5045" s="3" t="s">
        <v>707</v>
      </c>
      <c r="G5045" s="3" t="s">
        <v>20</v>
      </c>
      <c r="H5045" s="2" t="s">
        <v>62</v>
      </c>
      <c r="I5045" s="2" t="s">
        <v>11749</v>
      </c>
      <c r="J5045" s="3" t="str">
        <f>HYPERLINK("https://www.boe.es/gazeta/dias/1814/10/25/pdfs/GMD-1814-143.pdf#page=7","Abrir facsímil")</f>
        <v>Abrir facsímil</v>
      </c>
      <c r="K5045" s="3" t="s">
        <v>64</v>
      </c>
    </row>
    <row r="5046" spans="1:11" ht="42" customHeight="1">
      <c r="A5046" s="2" t="s">
        <v>11750</v>
      </c>
      <c r="B5046" s="2" t="s">
        <v>11751</v>
      </c>
      <c r="C5046" s="2" t="s">
        <v>38</v>
      </c>
      <c r="D5046" s="2" t="s">
        <v>39</v>
      </c>
      <c r="E5046" s="5">
        <v>-31252</v>
      </c>
      <c r="F5046" s="3" t="s">
        <v>364</v>
      </c>
      <c r="G5046" s="3" t="s">
        <v>82</v>
      </c>
      <c r="H5046" s="2" t="s">
        <v>62</v>
      </c>
      <c r="I5046" s="2" t="s">
        <v>11752</v>
      </c>
      <c r="J5046" s="3" t="str">
        <f>HYPERLINK("https://www.boe.es/gazeta/dias/1814/06/07/pdfs/GMD-1814-82.pdf#page=3","Abrir facsímil")</f>
        <v>Abrir facsímil</v>
      </c>
      <c r="K5046" s="3" t="s">
        <v>64</v>
      </c>
    </row>
    <row r="5047" spans="1:11" ht="42" customHeight="1">
      <c r="A5047" s="2" t="s">
        <v>11753</v>
      </c>
      <c r="B5047" s="2" t="s">
        <v>11754</v>
      </c>
      <c r="C5047" s="2" t="s">
        <v>38</v>
      </c>
      <c r="D5047" s="2" t="s">
        <v>39</v>
      </c>
      <c r="E5047" s="5">
        <v>-31404</v>
      </c>
      <c r="F5047" s="3" t="s">
        <v>630</v>
      </c>
      <c r="G5047" s="3" t="s">
        <v>1095</v>
      </c>
      <c r="H5047" s="2" t="s">
        <v>62</v>
      </c>
      <c r="I5047" s="2" t="s">
        <v>11755</v>
      </c>
      <c r="J5047" s="3" t="str">
        <f>HYPERLINK("https://www.boe.es/gazeta/dias/1814/01/06/pdfs/GRE-1814-3.pdf#page=7","Abrir facsímil")</f>
        <v>Abrir facsímil</v>
      </c>
      <c r="K5047" s="3" t="s">
        <v>64</v>
      </c>
    </row>
    <row r="5048" spans="1:11" ht="42" customHeight="1">
      <c r="A5048" s="2" t="s">
        <v>11756</v>
      </c>
      <c r="B5048" s="2" t="s">
        <v>11757</v>
      </c>
      <c r="C5048" s="2" t="s">
        <v>17</v>
      </c>
      <c r="D5048" s="2" t="s">
        <v>18</v>
      </c>
      <c r="E5048" s="5">
        <v>-31255</v>
      </c>
      <c r="F5048" s="3" t="s">
        <v>983</v>
      </c>
      <c r="G5048" s="3" t="s">
        <v>41</v>
      </c>
      <c r="H5048" s="2" t="s">
        <v>62</v>
      </c>
      <c r="I5048" s="2" t="s">
        <v>11758</v>
      </c>
      <c r="J5048" s="3" t="str">
        <f>HYPERLINK("https://www.boe.es/gazeta/dias/1814/06/04/pdfs/GMD-1814-81.pdf#page=4","Abrir facsímil")</f>
        <v>Abrir facsímil</v>
      </c>
      <c r="K5048" s="3" t="s">
        <v>64</v>
      </c>
    </row>
    <row r="5049" spans="1:11" ht="42" customHeight="1">
      <c r="A5049" s="2" t="s">
        <v>11759</v>
      </c>
      <c r="B5049" s="2" t="s">
        <v>11760</v>
      </c>
      <c r="C5049" s="2" t="s">
        <v>309</v>
      </c>
      <c r="D5049" s="2" t="s">
        <v>18</v>
      </c>
      <c r="E5049" s="5">
        <v>-31250</v>
      </c>
      <c r="F5049" s="3" t="s">
        <v>177</v>
      </c>
      <c r="G5049" s="3" t="s">
        <v>52</v>
      </c>
      <c r="H5049" s="2" t="s">
        <v>62</v>
      </c>
      <c r="I5049" s="2" t="s">
        <v>11761</v>
      </c>
      <c r="J5049" s="3" t="str">
        <f>HYPERLINK("https://www.boe.es/gazeta/dias/1814/06/09/pdfs/GMD-1814-83.pdf#page=8","Abrir facsímil")</f>
        <v>Abrir facsímil</v>
      </c>
      <c r="K5049" s="3" t="s">
        <v>64</v>
      </c>
    </row>
    <row r="5050" spans="1:11" ht="42" customHeight="1">
      <c r="A5050" s="2" t="s">
        <v>11759</v>
      </c>
      <c r="B5050" s="2" t="s">
        <v>11760</v>
      </c>
      <c r="C5050" s="2" t="s">
        <v>17</v>
      </c>
      <c r="D5050" s="2" t="s">
        <v>18</v>
      </c>
      <c r="E5050" s="5">
        <v>-31224</v>
      </c>
      <c r="F5050" s="3" t="s">
        <v>609</v>
      </c>
      <c r="G5050" s="3" t="s">
        <v>384</v>
      </c>
      <c r="H5050" s="2" t="s">
        <v>62</v>
      </c>
      <c r="I5050" s="2" t="s">
        <v>11762</v>
      </c>
      <c r="J5050" s="3" t="str">
        <f>HYPERLINK("https://www.boe.es/gazeta/dias/1814/07/05/pdfs/GMD-1814-94.pdf#page=11","Abrir facsímil")</f>
        <v>Abrir facsímil</v>
      </c>
      <c r="K5050" s="3" t="s">
        <v>64</v>
      </c>
    </row>
    <row r="5051" spans="1:11" ht="42" customHeight="1">
      <c r="A5051" s="2" t="s">
        <v>11759</v>
      </c>
      <c r="B5051" s="2" t="s">
        <v>11760</v>
      </c>
      <c r="C5051" s="2" t="s">
        <v>26</v>
      </c>
      <c r="D5051" s="2" t="s">
        <v>27</v>
      </c>
      <c r="E5051" s="5">
        <v>-31222</v>
      </c>
      <c r="F5051" s="3" t="s">
        <v>153</v>
      </c>
      <c r="G5051" s="3" t="s">
        <v>704</v>
      </c>
      <c r="H5051" s="2" t="s">
        <v>62</v>
      </c>
      <c r="I5051" s="2" t="s">
        <v>11763</v>
      </c>
      <c r="J5051" s="3" t="str">
        <f>HYPERLINK("https://www.boe.es/gazeta/dias/1814/07/07/pdfs/GMD-1814-95.pdf#page=10","Abrir facsímil")</f>
        <v>Abrir facsímil</v>
      </c>
      <c r="K5051" s="3" t="s">
        <v>64</v>
      </c>
    </row>
    <row r="5052" spans="1:11" ht="42" customHeight="1">
      <c r="A5052" s="2" t="s">
        <v>11759</v>
      </c>
      <c r="B5052" s="2" t="s">
        <v>11760</v>
      </c>
      <c r="C5052" s="2" t="s">
        <v>26</v>
      </c>
      <c r="D5052" s="2" t="s">
        <v>27</v>
      </c>
      <c r="E5052" s="5">
        <v>-31206</v>
      </c>
      <c r="F5052" s="3" t="s">
        <v>1196</v>
      </c>
      <c r="G5052" s="3" t="s">
        <v>99</v>
      </c>
      <c r="H5052" s="2" t="s">
        <v>62</v>
      </c>
      <c r="I5052" s="2" t="s">
        <v>11764</v>
      </c>
      <c r="J5052" s="3" t="str">
        <f>HYPERLINK("https://www.boe.es/gazeta/dias/1814/07/23/pdfs/GMD-1814-102.pdf#page=5","Abrir facsímil")</f>
        <v>Abrir facsímil</v>
      </c>
      <c r="K5052" s="3" t="s">
        <v>64</v>
      </c>
    </row>
    <row r="5053" spans="1:11" ht="42" customHeight="1">
      <c r="A5053" s="2" t="s">
        <v>11759</v>
      </c>
      <c r="B5053" s="2" t="s">
        <v>11760</v>
      </c>
      <c r="C5053" s="2" t="s">
        <v>26</v>
      </c>
      <c r="D5053" s="2" t="s">
        <v>27</v>
      </c>
      <c r="E5053" s="5">
        <v>-31192</v>
      </c>
      <c r="F5053" s="3" t="s">
        <v>388</v>
      </c>
      <c r="G5053" s="3" t="s">
        <v>57</v>
      </c>
      <c r="H5053" s="2" t="s">
        <v>62</v>
      </c>
      <c r="I5053" s="2" t="s">
        <v>11765</v>
      </c>
      <c r="J5053" s="3" t="str">
        <f>HYPERLINK("https://www.boe.es/gazeta/dias/1814/08/06/pdfs/GMD-1814-108.pdf#page=6","Abrir facsímil")</f>
        <v>Abrir facsímil</v>
      </c>
      <c r="K5053" s="3" t="s">
        <v>64</v>
      </c>
    </row>
    <row r="5054" spans="1:11" ht="42" customHeight="1">
      <c r="A5054" s="2" t="s">
        <v>11759</v>
      </c>
      <c r="B5054" s="2" t="s">
        <v>11760</v>
      </c>
      <c r="C5054" s="2" t="s">
        <v>26</v>
      </c>
      <c r="D5054" s="2" t="s">
        <v>27</v>
      </c>
      <c r="E5054" s="5">
        <v>-31129</v>
      </c>
      <c r="F5054" s="3" t="s">
        <v>418</v>
      </c>
      <c r="G5054" s="3" t="s">
        <v>1366</v>
      </c>
      <c r="H5054" s="2" t="s">
        <v>62</v>
      </c>
      <c r="I5054" s="2" t="s">
        <v>11766</v>
      </c>
      <c r="J5054" s="3" t="str">
        <f>HYPERLINK("https://www.boe.es/gazeta/dias/1814/10/08/pdfs/GMD-1814-136.pdf#page=6","Abrir facsímil")</f>
        <v>Abrir facsímil</v>
      </c>
      <c r="K5054" s="3" t="s">
        <v>64</v>
      </c>
    </row>
    <row r="5055" spans="1:11" ht="42" customHeight="1">
      <c r="A5055" s="2" t="s">
        <v>11767</v>
      </c>
      <c r="B5055" s="2" t="s">
        <v>11768</v>
      </c>
      <c r="C5055" s="2" t="s">
        <v>26</v>
      </c>
      <c r="D5055" s="2" t="s">
        <v>27</v>
      </c>
      <c r="E5055" s="5">
        <v>-31133</v>
      </c>
      <c r="F5055" s="3" t="s">
        <v>184</v>
      </c>
      <c r="G5055" s="3" t="s">
        <v>1243</v>
      </c>
      <c r="H5055" s="2" t="s">
        <v>62</v>
      </c>
      <c r="I5055" s="2" t="s">
        <v>11769</v>
      </c>
      <c r="J5055" s="3" t="str">
        <f>HYPERLINK("https://www.boe.es/gazeta/dias/1814/10/04/pdfs/GMD-1814-134.pdf#page=8","Abrir facsímil")</f>
        <v>Abrir facsímil</v>
      </c>
      <c r="K5055" s="3" t="s">
        <v>64</v>
      </c>
    </row>
    <row r="5056" spans="1:11" ht="42" customHeight="1">
      <c r="A5056" s="2" t="s">
        <v>11770</v>
      </c>
      <c r="B5056" s="2" t="s">
        <v>11771</v>
      </c>
      <c r="C5056" s="2" t="s">
        <v>17</v>
      </c>
      <c r="D5056" s="2" t="s">
        <v>18</v>
      </c>
      <c r="E5056" s="5">
        <v>-31224</v>
      </c>
      <c r="F5056" s="3" t="s">
        <v>609</v>
      </c>
      <c r="G5056" s="3" t="s">
        <v>384</v>
      </c>
      <c r="H5056" s="2" t="s">
        <v>21</v>
      </c>
      <c r="I5056" s="2" t="s">
        <v>11772</v>
      </c>
      <c r="J5056" s="3" t="str">
        <f>HYPERLINK("https://www.boe.es/gazeta/dias/1814/07/05/pdfs/GMD-1814-94.pdf#page=11","Abrir facsímil")</f>
        <v>Abrir facsímil</v>
      </c>
      <c r="K5056" s="3" t="s">
        <v>23</v>
      </c>
    </row>
    <row r="5057" spans="1:11" ht="42" customHeight="1">
      <c r="A5057" s="2" t="s">
        <v>11773</v>
      </c>
      <c r="B5057" s="2" t="s">
        <v>11774</v>
      </c>
      <c r="C5057" s="2" t="s">
        <v>38</v>
      </c>
      <c r="D5057" s="2" t="s">
        <v>39</v>
      </c>
      <c r="E5057" s="5">
        <v>-31381</v>
      </c>
      <c r="F5057" s="3" t="s">
        <v>989</v>
      </c>
      <c r="G5057" s="3" t="s">
        <v>20</v>
      </c>
      <c r="H5057" s="2" t="s">
        <v>62</v>
      </c>
      <c r="I5057" s="2" t="s">
        <v>11775</v>
      </c>
      <c r="J5057" s="3" t="str">
        <f>HYPERLINK("https://www.boe.es/gazeta/dias/1814/01/29/pdfs/GRE-1814-14.pdf#page=7","Abrir facsímil")</f>
        <v>Abrir facsímil</v>
      </c>
      <c r="K5057" s="3" t="s">
        <v>64</v>
      </c>
    </row>
    <row r="5058" spans="1:11" ht="42" customHeight="1">
      <c r="A5058" s="2" t="s">
        <v>11776</v>
      </c>
      <c r="B5058" s="2" t="s">
        <v>11777</v>
      </c>
      <c r="C5058" s="2" t="s">
        <v>26</v>
      </c>
      <c r="D5058" s="2" t="s">
        <v>27</v>
      </c>
      <c r="E5058" s="5">
        <v>-31236</v>
      </c>
      <c r="F5058" s="3" t="s">
        <v>33</v>
      </c>
      <c r="G5058" s="3" t="s">
        <v>425</v>
      </c>
      <c r="H5058" s="2" t="s">
        <v>62</v>
      </c>
      <c r="I5058" s="2" t="s">
        <v>11778</v>
      </c>
      <c r="J5058" s="3" t="str">
        <f>HYPERLINK("https://www.boe.es/gazeta/dias/1814/06/23/pdfs/GMD-1814-89.pdf#page=8","Abrir facsímil")</f>
        <v>Abrir facsímil</v>
      </c>
      <c r="K5058" s="3" t="s">
        <v>64</v>
      </c>
    </row>
    <row r="5059" spans="1:11" ht="42" customHeight="1">
      <c r="A5059" s="2" t="s">
        <v>11779</v>
      </c>
      <c r="B5059" s="2" t="s">
        <v>11780</v>
      </c>
      <c r="C5059" s="2" t="s">
        <v>309</v>
      </c>
      <c r="D5059" s="2" t="s">
        <v>18</v>
      </c>
      <c r="E5059" s="5">
        <v>-31129</v>
      </c>
      <c r="F5059" s="3" t="s">
        <v>418</v>
      </c>
      <c r="G5059" s="3" t="s">
        <v>20</v>
      </c>
      <c r="H5059" s="2" t="s">
        <v>62</v>
      </c>
      <c r="I5059" s="2" t="s">
        <v>11781</v>
      </c>
      <c r="J5059" s="3" t="str">
        <f>HYPERLINK("https://www.boe.es/gazeta/dias/1814/10/08/pdfs/GMD-1814-136.pdf#page=7","Abrir facsímil")</f>
        <v>Abrir facsímil</v>
      </c>
      <c r="K5059" s="3" t="s">
        <v>64</v>
      </c>
    </row>
    <row r="5060" spans="1:11" ht="42" customHeight="1">
      <c r="A5060" s="2" t="s">
        <v>11782</v>
      </c>
      <c r="B5060" s="2" t="s">
        <v>11783</v>
      </c>
      <c r="C5060" s="2" t="s">
        <v>38</v>
      </c>
      <c r="D5060" s="2" t="s">
        <v>314</v>
      </c>
      <c r="E5060" s="5">
        <v>-31328</v>
      </c>
      <c r="F5060" s="3" t="s">
        <v>442</v>
      </c>
      <c r="G5060" s="3" t="s">
        <v>82</v>
      </c>
      <c r="H5060" s="2" t="s">
        <v>62</v>
      </c>
      <c r="I5060" s="2" t="s">
        <v>11784</v>
      </c>
      <c r="J5060" s="3" t="str">
        <f>HYPERLINK("https://www.boe.es/gazeta/dias/1814/03/23/pdfs/GRE-1814-40E.pdf#page=3","Abrir facsímil")</f>
        <v>Abrir facsímil</v>
      </c>
      <c r="K5060" s="3" t="s">
        <v>64</v>
      </c>
    </row>
    <row r="5061" spans="1:11" ht="42" customHeight="1">
      <c r="A5061" s="2" t="s">
        <v>11782</v>
      </c>
      <c r="B5061" s="2" t="s">
        <v>11783</v>
      </c>
      <c r="C5061" s="2" t="s">
        <v>38</v>
      </c>
      <c r="D5061" s="2" t="s">
        <v>314</v>
      </c>
      <c r="E5061" s="5">
        <v>-31328</v>
      </c>
      <c r="F5061" s="3" t="s">
        <v>442</v>
      </c>
      <c r="G5061" s="3" t="s">
        <v>41</v>
      </c>
      <c r="H5061" s="2" t="s">
        <v>62</v>
      </c>
      <c r="I5061" s="2" t="s">
        <v>11785</v>
      </c>
      <c r="J5061" s="3" t="str">
        <f>HYPERLINK("https://www.boe.es/gazeta/dias/1814/03/23/pdfs/GRE-1814-40E.pdf#page=4","Abrir facsímil")</f>
        <v>Abrir facsímil</v>
      </c>
      <c r="K5061" s="3" t="s">
        <v>64</v>
      </c>
    </row>
    <row r="5062" spans="1:11" ht="42" customHeight="1">
      <c r="A5062" s="2" t="s">
        <v>11782</v>
      </c>
      <c r="B5062" s="2" t="s">
        <v>11783</v>
      </c>
      <c r="C5062" s="2" t="s">
        <v>38</v>
      </c>
      <c r="D5062" s="2" t="s">
        <v>314</v>
      </c>
      <c r="E5062" s="5">
        <v>-31328</v>
      </c>
      <c r="F5062" s="3" t="s">
        <v>442</v>
      </c>
      <c r="G5062" s="3" t="s">
        <v>57</v>
      </c>
      <c r="H5062" s="2" t="s">
        <v>62</v>
      </c>
      <c r="I5062" s="2" t="s">
        <v>11786</v>
      </c>
      <c r="J5062" s="3" t="str">
        <f>HYPERLINK("https://www.boe.es/gazeta/dias/1814/03/23/pdfs/GRE-1814-40E.pdf#page=6","Abrir facsímil")</f>
        <v>Abrir facsímil</v>
      </c>
      <c r="K5062" s="3" t="s">
        <v>64</v>
      </c>
    </row>
    <row r="5063" spans="1:11" ht="42" customHeight="1">
      <c r="A5063" s="2" t="s">
        <v>11787</v>
      </c>
      <c r="B5063" s="2" t="s">
        <v>11788</v>
      </c>
      <c r="C5063" s="2" t="s">
        <v>38</v>
      </c>
      <c r="D5063" s="2" t="s">
        <v>39</v>
      </c>
      <c r="E5063" s="5">
        <v>-31054</v>
      </c>
      <c r="F5063" s="3" t="s">
        <v>952</v>
      </c>
      <c r="G5063" s="3" t="s">
        <v>52</v>
      </c>
      <c r="H5063" s="2" t="s">
        <v>62</v>
      </c>
      <c r="I5063" s="2" t="s">
        <v>11789</v>
      </c>
      <c r="J5063" s="3" t="str">
        <f>HYPERLINK("https://www.boe.es/gazeta/dias/1814/12/22/pdfs/GMD-1814-169.pdf#page=8","Abrir facsímil")</f>
        <v>Abrir facsímil</v>
      </c>
      <c r="K5063" s="3" t="s">
        <v>64</v>
      </c>
    </row>
    <row r="5064" spans="1:11" ht="42" customHeight="1">
      <c r="A5064" s="2" t="s">
        <v>11790</v>
      </c>
      <c r="B5064" s="2" t="s">
        <v>11791</v>
      </c>
      <c r="C5064" s="2" t="s">
        <v>38</v>
      </c>
      <c r="D5064" s="2" t="s">
        <v>39</v>
      </c>
      <c r="E5064" s="5">
        <v>-31133</v>
      </c>
      <c r="F5064" s="3" t="s">
        <v>184</v>
      </c>
      <c r="G5064" s="3" t="s">
        <v>20</v>
      </c>
      <c r="H5064" s="2" t="s">
        <v>62</v>
      </c>
      <c r="I5064" s="2" t="s">
        <v>11792</v>
      </c>
      <c r="J5064" s="3" t="str">
        <f>HYPERLINK("https://www.boe.es/gazeta/dias/1814/10/04/pdfs/GMD-1814-134.pdf#page=7","Abrir facsímil")</f>
        <v>Abrir facsímil</v>
      </c>
      <c r="K5064" s="3" t="s">
        <v>64</v>
      </c>
    </row>
    <row r="5065" spans="1:11" ht="42" customHeight="1">
      <c r="A5065" s="2" t="s">
        <v>11793</v>
      </c>
      <c r="B5065" s="2" t="s">
        <v>11793</v>
      </c>
      <c r="C5065" s="2" t="s">
        <v>32</v>
      </c>
      <c r="D5065" s="2" t="s">
        <v>18</v>
      </c>
      <c r="E5065" s="5">
        <v>-31154</v>
      </c>
      <c r="F5065" s="3" t="s">
        <v>688</v>
      </c>
      <c r="G5065" s="3" t="s">
        <v>831</v>
      </c>
      <c r="H5065" s="2" t="s">
        <v>62</v>
      </c>
      <c r="I5065" s="2" t="s">
        <v>11794</v>
      </c>
      <c r="J5065" s="3" t="str">
        <f>HYPERLINK("https://www.boe.es/gazeta/dias/1814/09/13/pdfs/GMD-1814-125.pdf#page=3","Abrir facsímil")</f>
        <v>Abrir facsímil</v>
      </c>
      <c r="K5065" s="3" t="s">
        <v>64</v>
      </c>
    </row>
    <row r="5066" spans="1:11" ht="42" customHeight="1">
      <c r="A5066" s="2" t="s">
        <v>11795</v>
      </c>
      <c r="B5066" s="2" t="s">
        <v>11795</v>
      </c>
      <c r="C5066" s="2" t="s">
        <v>38</v>
      </c>
      <c r="D5066" s="2" t="s">
        <v>314</v>
      </c>
      <c r="E5066" s="5">
        <v>-31341</v>
      </c>
      <c r="F5066" s="3" t="s">
        <v>354</v>
      </c>
      <c r="G5066" s="3" t="s">
        <v>82</v>
      </c>
      <c r="H5066" s="2" t="s">
        <v>62</v>
      </c>
      <c r="I5066" s="2" t="s">
        <v>11796</v>
      </c>
      <c r="J5066" s="3" t="str">
        <f>HYPERLINK("https://www.boe.es/gazeta/dias/1814/03/10/pdfs/GRE-1814-34E.pdf#page=3","Abrir facsímil")</f>
        <v>Abrir facsímil</v>
      </c>
      <c r="K5066" s="3" t="s">
        <v>64</v>
      </c>
    </row>
    <row r="5067" spans="1:11" ht="42" customHeight="1">
      <c r="A5067" s="2" t="s">
        <v>11797</v>
      </c>
      <c r="B5067" s="2" t="s">
        <v>11798</v>
      </c>
      <c r="C5067" s="2" t="s">
        <v>32</v>
      </c>
      <c r="D5067" s="2" t="s">
        <v>18</v>
      </c>
      <c r="E5067" s="5">
        <v>-31248</v>
      </c>
      <c r="F5067" s="3" t="s">
        <v>1123</v>
      </c>
      <c r="G5067" s="3" t="s">
        <v>5679</v>
      </c>
      <c r="H5067" s="2" t="s">
        <v>62</v>
      </c>
      <c r="I5067" s="2" t="s">
        <v>11799</v>
      </c>
      <c r="J5067" s="3" t="str">
        <f>HYPERLINK("https://www.boe.es/gazeta/dias/1814/06/11/pdfs/GMD-1814-84.pdf#page=8","Abrir facsímil")</f>
        <v>Abrir facsímil</v>
      </c>
      <c r="K5067" s="3" t="s">
        <v>64</v>
      </c>
    </row>
    <row r="5068" spans="1:11" ht="42" customHeight="1">
      <c r="A5068" s="2" t="s">
        <v>11800</v>
      </c>
      <c r="B5068" s="2" t="s">
        <v>11800</v>
      </c>
      <c r="C5068" s="2" t="s">
        <v>38</v>
      </c>
      <c r="D5068" s="2" t="s">
        <v>39</v>
      </c>
      <c r="E5068" s="5">
        <v>-31248</v>
      </c>
      <c r="F5068" s="3" t="s">
        <v>1123</v>
      </c>
      <c r="G5068" s="3" t="s">
        <v>107</v>
      </c>
      <c r="H5068" s="2" t="s">
        <v>62</v>
      </c>
      <c r="I5068" s="2" t="s">
        <v>11801</v>
      </c>
      <c r="J5068" s="3" t="str">
        <f>HYPERLINK("https://www.boe.es/gazeta/dias/1814/06/11/pdfs/GMD-1814-84.pdf#page=1","Abrir facsímil")</f>
        <v>Abrir facsímil</v>
      </c>
      <c r="K5068" s="3" t="s">
        <v>64</v>
      </c>
    </row>
    <row r="5069" spans="1:11" ht="42" customHeight="1">
      <c r="A5069" s="2" t="s">
        <v>11802</v>
      </c>
      <c r="B5069" s="2" t="s">
        <v>11803</v>
      </c>
      <c r="C5069" s="2" t="s">
        <v>38</v>
      </c>
      <c r="D5069" s="2" t="s">
        <v>39</v>
      </c>
      <c r="E5069" s="5">
        <v>-31220</v>
      </c>
      <c r="F5069" s="3" t="s">
        <v>122</v>
      </c>
      <c r="G5069" s="3" t="s">
        <v>41</v>
      </c>
      <c r="H5069" s="2" t="s">
        <v>62</v>
      </c>
      <c r="I5069" s="2" t="s">
        <v>11804</v>
      </c>
      <c r="J5069" s="3" t="str">
        <f>HYPERLINK("https://www.boe.es/gazeta/dias/1814/07/09/pdfs/GMD-1814-96.pdf#page=4","Abrir facsímil")</f>
        <v>Abrir facsímil</v>
      </c>
      <c r="K5069" s="3" t="s">
        <v>64</v>
      </c>
    </row>
    <row r="5070" spans="1:11" ht="42" customHeight="1">
      <c r="A5070" s="2" t="s">
        <v>11805</v>
      </c>
      <c r="B5070" s="2" t="s">
        <v>11805</v>
      </c>
      <c r="C5070" s="2" t="s">
        <v>26</v>
      </c>
      <c r="D5070" s="2" t="s">
        <v>27</v>
      </c>
      <c r="E5070" s="5">
        <v>-31052</v>
      </c>
      <c r="F5070" s="3" t="s">
        <v>1407</v>
      </c>
      <c r="G5070" s="3" t="s">
        <v>11806</v>
      </c>
      <c r="H5070" s="2" t="s">
        <v>62</v>
      </c>
      <c r="I5070" s="2" t="s">
        <v>11807</v>
      </c>
      <c r="J5070" s="3" t="str">
        <f>HYPERLINK("https://www.boe.es/gazeta/dias/1814/12/24/pdfs/GMD-1814-170.pdf#page=4","Abrir facsímil")</f>
        <v>Abrir facsímil</v>
      </c>
      <c r="K5070" s="3" t="s">
        <v>64</v>
      </c>
    </row>
    <row r="5071" spans="1:11" ht="42" customHeight="1">
      <c r="A5071" s="2" t="s">
        <v>11808</v>
      </c>
      <c r="B5071" s="2" t="s">
        <v>11809</v>
      </c>
      <c r="C5071" s="2" t="s">
        <v>38</v>
      </c>
      <c r="D5071" s="2" t="s">
        <v>39</v>
      </c>
      <c r="E5071" s="5">
        <v>-31196</v>
      </c>
      <c r="F5071" s="3" t="s">
        <v>828</v>
      </c>
      <c r="G5071" s="3" t="s">
        <v>52</v>
      </c>
      <c r="H5071" s="2" t="s">
        <v>62</v>
      </c>
      <c r="I5071" s="2" t="s">
        <v>11810</v>
      </c>
      <c r="J5071" s="3" t="str">
        <f>HYPERLINK("https://www.boe.es/gazeta/dias/1814/08/02/pdfs/GMD-1814-106.pdf#page=8","Abrir facsímil")</f>
        <v>Abrir facsímil</v>
      </c>
      <c r="K5071" s="3" t="s">
        <v>64</v>
      </c>
    </row>
    <row r="5072" spans="1:11" ht="42" customHeight="1">
      <c r="A5072" s="2" t="s">
        <v>11811</v>
      </c>
      <c r="B5072" s="2" t="s">
        <v>11812</v>
      </c>
      <c r="C5072" s="2" t="s">
        <v>38</v>
      </c>
      <c r="D5072" s="2" t="s">
        <v>39</v>
      </c>
      <c r="E5072" s="5">
        <v>-31327</v>
      </c>
      <c r="F5072" s="3" t="s">
        <v>180</v>
      </c>
      <c r="G5072" s="3" t="s">
        <v>41</v>
      </c>
      <c r="H5072" s="2" t="s">
        <v>62</v>
      </c>
      <c r="I5072" s="2" t="s">
        <v>11813</v>
      </c>
      <c r="J5072" s="3" t="str">
        <f>HYPERLINK("https://www.boe.es/gazeta/dias/1814/03/24/pdfs/GRE-1814-41.pdf#page=4","Abrir facsímil")</f>
        <v>Abrir facsímil</v>
      </c>
      <c r="K5072" s="3" t="s">
        <v>64</v>
      </c>
    </row>
    <row r="5073" spans="1:11" ht="42" customHeight="1">
      <c r="A5073" s="2" t="s">
        <v>11814</v>
      </c>
      <c r="B5073" s="2" t="s">
        <v>11815</v>
      </c>
      <c r="C5073" s="2" t="s">
        <v>45</v>
      </c>
      <c r="D5073" s="2" t="s">
        <v>18</v>
      </c>
      <c r="E5073" s="5">
        <v>-31117</v>
      </c>
      <c r="F5073" s="3" t="s">
        <v>172</v>
      </c>
      <c r="G5073" s="3" t="s">
        <v>392</v>
      </c>
      <c r="H5073" s="2" t="s">
        <v>62</v>
      </c>
      <c r="I5073" s="2" t="s">
        <v>11816</v>
      </c>
      <c r="J5073" s="3" t="str">
        <f>HYPERLINK("https://www.boe.es/gazeta/dias/1814/10/20/pdfs/GMD-1814-141.pdf#page=8","Abrir facsímil")</f>
        <v>Abrir facsímil</v>
      </c>
      <c r="K5073" s="3" t="s">
        <v>64</v>
      </c>
    </row>
    <row r="5074" spans="1:11" ht="42" customHeight="1">
      <c r="A5074" s="2" t="s">
        <v>11817</v>
      </c>
      <c r="B5074" s="2" t="s">
        <v>11818</v>
      </c>
      <c r="C5074" s="2" t="s">
        <v>38</v>
      </c>
      <c r="D5074" s="2" t="s">
        <v>39</v>
      </c>
      <c r="E5074" s="5">
        <v>-31175</v>
      </c>
      <c r="F5074" s="3" t="s">
        <v>145</v>
      </c>
      <c r="G5074" s="3" t="s">
        <v>1918</v>
      </c>
      <c r="H5074" s="2" t="s">
        <v>62</v>
      </c>
      <c r="I5074" s="2" t="s">
        <v>11819</v>
      </c>
      <c r="J5074" s="3" t="str">
        <f>HYPERLINK("https://www.boe.es/gazeta/dias/1814/08/23/pdfs/GMD-1814-115.pdf#page=8","Abrir facsímil")</f>
        <v>Abrir facsímil</v>
      </c>
      <c r="K5074" s="3" t="s">
        <v>64</v>
      </c>
    </row>
    <row r="5075" spans="1:11" ht="42" customHeight="1">
      <c r="A5075" s="2" t="s">
        <v>11820</v>
      </c>
      <c r="B5075" s="2" t="s">
        <v>11820</v>
      </c>
      <c r="C5075" s="2" t="s">
        <v>38</v>
      </c>
      <c r="D5075" s="2" t="s">
        <v>39</v>
      </c>
      <c r="E5075" s="5">
        <v>-31360</v>
      </c>
      <c r="F5075" s="3" t="s">
        <v>480</v>
      </c>
      <c r="G5075" s="3" t="s">
        <v>87</v>
      </c>
      <c r="H5075" s="2" t="s">
        <v>62</v>
      </c>
      <c r="I5075" s="2" t="s">
        <v>11821</v>
      </c>
      <c r="J5075" s="3" t="str">
        <f>HYPERLINK("https://www.boe.es/gazeta/dias/1814/02/19/pdfs/GRE-1814-23.pdf#page=2","Abrir facsímil")</f>
        <v>Abrir facsímil</v>
      </c>
      <c r="K5075" s="3" t="s">
        <v>64</v>
      </c>
    </row>
    <row r="5076" spans="1:11" ht="42" customHeight="1">
      <c r="A5076" s="2" t="s">
        <v>11822</v>
      </c>
      <c r="B5076" s="2" t="s">
        <v>11823</v>
      </c>
      <c r="C5076" s="2" t="s">
        <v>38</v>
      </c>
      <c r="D5076" s="2" t="s">
        <v>39</v>
      </c>
      <c r="E5076" s="5">
        <v>-31059</v>
      </c>
      <c r="F5076" s="3" t="s">
        <v>263</v>
      </c>
      <c r="G5076" s="3" t="s">
        <v>7951</v>
      </c>
      <c r="H5076" s="2" t="s">
        <v>62</v>
      </c>
      <c r="I5076" s="2" t="s">
        <v>11824</v>
      </c>
      <c r="J5076" s="3" t="str">
        <f>HYPERLINK("https://www.boe.es/gazeta/dias/1814/12/17/pdfs/GMD-1814-167.pdf#page=5","Abrir facsímil")</f>
        <v>Abrir facsímil</v>
      </c>
      <c r="K5076" s="3" t="s">
        <v>64</v>
      </c>
    </row>
    <row r="5077" spans="1:11" ht="42" customHeight="1">
      <c r="A5077" s="2" t="s">
        <v>11825</v>
      </c>
      <c r="B5077" s="2" t="s">
        <v>11826</v>
      </c>
      <c r="C5077" s="2" t="s">
        <v>38</v>
      </c>
      <c r="D5077" s="2" t="s">
        <v>39</v>
      </c>
      <c r="E5077" s="5">
        <v>-31308</v>
      </c>
      <c r="F5077" s="3" t="s">
        <v>210</v>
      </c>
      <c r="G5077" s="3" t="s">
        <v>20</v>
      </c>
      <c r="H5077" s="2" t="s">
        <v>62</v>
      </c>
      <c r="I5077" s="2" t="s">
        <v>11827</v>
      </c>
      <c r="J5077" s="3" t="str">
        <f>HYPERLINK("https://www.boe.es/gazeta/dias/1814/04/12/pdfs/GRE-1814-52.pdf#page=7","Abrir facsímil")</f>
        <v>Abrir facsímil</v>
      </c>
      <c r="K5077" s="3" t="s">
        <v>64</v>
      </c>
    </row>
    <row r="5078" spans="1:11" ht="42" customHeight="1">
      <c r="A5078" s="2" t="s">
        <v>11828</v>
      </c>
      <c r="B5078" s="2" t="s">
        <v>11829</v>
      </c>
      <c r="C5078" s="2" t="s">
        <v>38</v>
      </c>
      <c r="D5078" s="2" t="s">
        <v>39</v>
      </c>
      <c r="E5078" s="5">
        <v>-31250</v>
      </c>
      <c r="F5078" s="3" t="s">
        <v>177</v>
      </c>
      <c r="G5078" s="3" t="s">
        <v>52</v>
      </c>
      <c r="H5078" s="2" t="s">
        <v>62</v>
      </c>
      <c r="I5078" s="2" t="s">
        <v>11830</v>
      </c>
      <c r="J5078" s="3" t="str">
        <f>HYPERLINK("https://www.boe.es/gazeta/dias/1814/06/09/pdfs/GMD-1814-83.pdf#page=8","Abrir facsímil")</f>
        <v>Abrir facsímil</v>
      </c>
      <c r="K5078" s="3" t="s">
        <v>64</v>
      </c>
    </row>
    <row r="5079" spans="1:11" ht="42" customHeight="1">
      <c r="A5079" s="2" t="s">
        <v>11831</v>
      </c>
      <c r="B5079" s="2" t="s">
        <v>11832</v>
      </c>
      <c r="C5079" s="2" t="s">
        <v>26</v>
      </c>
      <c r="D5079" s="2" t="s">
        <v>27</v>
      </c>
      <c r="E5079" s="5">
        <v>-31077</v>
      </c>
      <c r="F5079" s="3" t="s">
        <v>414</v>
      </c>
      <c r="G5079" s="3" t="s">
        <v>20</v>
      </c>
      <c r="H5079" s="2" t="s">
        <v>62</v>
      </c>
      <c r="I5079" s="2" t="s">
        <v>11833</v>
      </c>
      <c r="J5079" s="3" t="str">
        <f>HYPERLINK("https://www.boe.es/gazeta/dias/1814/11/29/pdfs/GMD-1814-158.pdf#page=7","Abrir facsímil")</f>
        <v>Abrir facsímil</v>
      </c>
      <c r="K5079" s="3" t="s">
        <v>64</v>
      </c>
    </row>
    <row r="5080" spans="1:11" ht="42" customHeight="1">
      <c r="A5080" s="2" t="s">
        <v>11834</v>
      </c>
      <c r="B5080" s="2" t="s">
        <v>11834</v>
      </c>
      <c r="C5080" s="2" t="s">
        <v>26</v>
      </c>
      <c r="D5080" s="2" t="s">
        <v>27</v>
      </c>
      <c r="E5080" s="5">
        <v>-31171</v>
      </c>
      <c r="F5080" s="3" t="s">
        <v>157</v>
      </c>
      <c r="G5080" s="3" t="s">
        <v>82</v>
      </c>
      <c r="H5080" s="2" t="s">
        <v>62</v>
      </c>
      <c r="I5080" s="2" t="s">
        <v>11835</v>
      </c>
      <c r="J5080" s="3" t="str">
        <f>HYPERLINK("https://www.boe.es/gazeta/dias/1814/08/27/pdfs/GMD-1814-117.pdf#page=3","Abrir facsímil")</f>
        <v>Abrir facsímil</v>
      </c>
      <c r="K5080" s="3" t="s">
        <v>64</v>
      </c>
    </row>
    <row r="5081" spans="1:11" ht="42" customHeight="1">
      <c r="A5081" s="2" t="s">
        <v>11836</v>
      </c>
      <c r="B5081" s="2" t="s">
        <v>11836</v>
      </c>
      <c r="C5081" s="2" t="s">
        <v>38</v>
      </c>
      <c r="D5081" s="2" t="s">
        <v>39</v>
      </c>
      <c r="E5081" s="5">
        <v>-31404</v>
      </c>
      <c r="F5081" s="3" t="s">
        <v>630</v>
      </c>
      <c r="G5081" s="3" t="s">
        <v>57</v>
      </c>
      <c r="H5081" s="2" t="s">
        <v>62</v>
      </c>
      <c r="I5081" s="2" t="s">
        <v>11837</v>
      </c>
      <c r="J5081" s="3" t="str">
        <f>HYPERLINK("https://www.boe.es/gazeta/dias/1814/01/06/pdfs/GRE-1814-3.pdf#page=6","Abrir facsímil")</f>
        <v>Abrir facsímil</v>
      </c>
      <c r="K5081" s="3" t="s">
        <v>64</v>
      </c>
    </row>
    <row r="5082" spans="1:11" ht="42" customHeight="1">
      <c r="A5082" s="2" t="s">
        <v>11838</v>
      </c>
      <c r="B5082" s="2" t="s">
        <v>11839</v>
      </c>
      <c r="C5082" s="2" t="s">
        <v>38</v>
      </c>
      <c r="D5082" s="2" t="s">
        <v>39</v>
      </c>
      <c r="E5082" s="5">
        <v>-31325</v>
      </c>
      <c r="F5082" s="3" t="s">
        <v>67</v>
      </c>
      <c r="G5082" s="3" t="s">
        <v>20</v>
      </c>
      <c r="H5082" s="2" t="s">
        <v>62</v>
      </c>
      <c r="I5082" s="2" t="s">
        <v>11840</v>
      </c>
      <c r="J5082" s="3" t="str">
        <f>HYPERLINK("https://www.boe.es/gazeta/dias/1814/03/26/pdfs/GRE-1814-43.pdf#page=7","Abrir facsímil")</f>
        <v>Abrir facsímil</v>
      </c>
      <c r="K5082" s="3" t="s">
        <v>64</v>
      </c>
    </row>
    <row r="5083" spans="1:11" ht="42" customHeight="1">
      <c r="A5083" s="2" t="s">
        <v>11841</v>
      </c>
      <c r="B5083" s="2" t="s">
        <v>11842</v>
      </c>
      <c r="C5083" s="2" t="s">
        <v>26</v>
      </c>
      <c r="D5083" s="2" t="s">
        <v>27</v>
      </c>
      <c r="E5083" s="5">
        <v>-31115</v>
      </c>
      <c r="F5083" s="3" t="s">
        <v>805</v>
      </c>
      <c r="G5083" s="3" t="s">
        <v>99</v>
      </c>
      <c r="H5083" s="2" t="s">
        <v>21</v>
      </c>
      <c r="I5083" s="2" t="s">
        <v>11843</v>
      </c>
      <c r="J5083" s="3" t="str">
        <f>HYPERLINK("https://www.boe.es/gazeta/dias/1814/10/22/pdfs/GMD-1814-142.pdf#page=5","Abrir facsímil")</f>
        <v>Abrir facsímil</v>
      </c>
      <c r="K5083" s="3" t="s">
        <v>23</v>
      </c>
    </row>
    <row r="5084" spans="1:11" ht="42" customHeight="1">
      <c r="A5084" s="2" t="s">
        <v>11844</v>
      </c>
      <c r="B5084" s="2" t="s">
        <v>11845</v>
      </c>
      <c r="C5084" s="2" t="s">
        <v>17</v>
      </c>
      <c r="D5084" s="2" t="s">
        <v>18</v>
      </c>
      <c r="E5084" s="5">
        <v>-31115</v>
      </c>
      <c r="F5084" s="3" t="s">
        <v>805</v>
      </c>
      <c r="G5084" s="3" t="s">
        <v>20</v>
      </c>
      <c r="H5084" s="2" t="s">
        <v>62</v>
      </c>
      <c r="I5084" s="2" t="s">
        <v>11846</v>
      </c>
      <c r="J5084" s="3" t="str">
        <f>HYPERLINK("https://www.boe.es/gazeta/dias/1814/10/22/pdfs/GMD-1814-142.pdf#page=7","Abrir facsímil")</f>
        <v>Abrir facsímil</v>
      </c>
      <c r="K5084" s="3" t="s">
        <v>64</v>
      </c>
    </row>
    <row r="5085" spans="1:11" ht="42" customHeight="1">
      <c r="A5085" s="2" t="s">
        <v>11847</v>
      </c>
      <c r="B5085" s="2" t="s">
        <v>11848</v>
      </c>
      <c r="C5085" s="2" t="s">
        <v>17</v>
      </c>
      <c r="D5085" s="2" t="s">
        <v>18</v>
      </c>
      <c r="E5085" s="5">
        <v>-31110</v>
      </c>
      <c r="F5085" s="3" t="s">
        <v>149</v>
      </c>
      <c r="G5085" s="3" t="s">
        <v>52</v>
      </c>
      <c r="H5085" s="2" t="s">
        <v>62</v>
      </c>
      <c r="I5085" s="2" t="s">
        <v>11849</v>
      </c>
      <c r="J5085" s="3" t="str">
        <f>HYPERLINK("https://www.boe.es/gazeta/dias/1814/10/27/pdfs/GMD-1814-144.pdf#page=8","Abrir facsímil")</f>
        <v>Abrir facsímil</v>
      </c>
      <c r="K5085" s="3" t="s">
        <v>64</v>
      </c>
    </row>
    <row r="5086" spans="1:11" ht="42" customHeight="1">
      <c r="A5086" s="2" t="s">
        <v>11850</v>
      </c>
      <c r="B5086" s="2" t="s">
        <v>11851</v>
      </c>
      <c r="C5086" s="2" t="s">
        <v>45</v>
      </c>
      <c r="D5086" s="2" t="s">
        <v>18</v>
      </c>
      <c r="E5086" s="5">
        <v>-31262</v>
      </c>
      <c r="F5086" s="3" t="s">
        <v>254</v>
      </c>
      <c r="G5086" s="3" t="s">
        <v>666</v>
      </c>
      <c r="H5086" s="2" t="s">
        <v>62</v>
      </c>
      <c r="I5086" s="2" t="s">
        <v>11852</v>
      </c>
      <c r="J5086" s="3" t="str">
        <f>HYPERLINK("https://www.boe.es/gazeta/dias/1814/05/28/pdfs/GMD-1814-78.pdf#page=8","Abrir facsímil")</f>
        <v>Abrir facsímil</v>
      </c>
      <c r="K5086" s="3" t="s">
        <v>64</v>
      </c>
    </row>
    <row r="5087" spans="1:11" ht="42" customHeight="1">
      <c r="A5087" s="2" t="s">
        <v>11853</v>
      </c>
      <c r="B5087" s="2" t="s">
        <v>11854</v>
      </c>
      <c r="C5087" s="2" t="s">
        <v>38</v>
      </c>
      <c r="D5087" s="2" t="s">
        <v>39</v>
      </c>
      <c r="E5087" s="5">
        <v>-31210</v>
      </c>
      <c r="F5087" s="3" t="s">
        <v>141</v>
      </c>
      <c r="G5087" s="3" t="s">
        <v>99</v>
      </c>
      <c r="H5087" s="2" t="s">
        <v>62</v>
      </c>
      <c r="I5087" s="2" t="s">
        <v>11855</v>
      </c>
      <c r="J5087" s="3" t="str">
        <f>HYPERLINK("https://www.boe.es/gazeta/dias/1814/07/19/pdfs/GMD-1814-100.pdf#page=5","Abrir facsímil")</f>
        <v>Abrir facsímil</v>
      </c>
      <c r="K5087" s="3" t="s">
        <v>64</v>
      </c>
    </row>
    <row r="5088" spans="1:11" ht="42" customHeight="1">
      <c r="A5088" s="2" t="s">
        <v>11856</v>
      </c>
      <c r="B5088" s="2" t="s">
        <v>11857</v>
      </c>
      <c r="C5088" s="2" t="s">
        <v>38</v>
      </c>
      <c r="D5088" s="2" t="s">
        <v>39</v>
      </c>
      <c r="E5088" s="5">
        <v>-31210</v>
      </c>
      <c r="F5088" s="3" t="s">
        <v>141</v>
      </c>
      <c r="G5088" s="3" t="s">
        <v>99</v>
      </c>
      <c r="H5088" s="2" t="s">
        <v>62</v>
      </c>
      <c r="I5088" s="2" t="s">
        <v>11858</v>
      </c>
      <c r="J5088" s="3" t="str">
        <f>HYPERLINK("https://www.boe.es/gazeta/dias/1814/07/19/pdfs/GMD-1814-100.pdf#page=5","Abrir facsímil")</f>
        <v>Abrir facsímil</v>
      </c>
      <c r="K5088" s="3" t="s">
        <v>64</v>
      </c>
    </row>
    <row r="5089" spans="1:11" ht="42" customHeight="1">
      <c r="A5089" s="2" t="s">
        <v>11859</v>
      </c>
      <c r="B5089" s="2" t="s">
        <v>11860</v>
      </c>
      <c r="C5089" s="2" t="s">
        <v>38</v>
      </c>
      <c r="D5089" s="2" t="s">
        <v>39</v>
      </c>
      <c r="E5089" s="5">
        <v>-31171</v>
      </c>
      <c r="F5089" s="3" t="s">
        <v>157</v>
      </c>
      <c r="G5089" s="3" t="s">
        <v>57</v>
      </c>
      <c r="H5089" s="2" t="s">
        <v>62</v>
      </c>
      <c r="I5089" s="2" t="s">
        <v>11861</v>
      </c>
      <c r="J5089" s="3" t="str">
        <f>HYPERLINK("https://www.boe.es/gazeta/dias/1814/08/27/pdfs/GMD-1814-117.pdf#page=6","Abrir facsímil")</f>
        <v>Abrir facsímil</v>
      </c>
      <c r="K5089" s="3" t="s">
        <v>64</v>
      </c>
    </row>
    <row r="5090" spans="1:11" ht="42" customHeight="1">
      <c r="A5090" s="2" t="s">
        <v>11862</v>
      </c>
      <c r="B5090" s="2" t="s">
        <v>11863</v>
      </c>
      <c r="C5090" s="2" t="s">
        <v>26</v>
      </c>
      <c r="D5090" s="2" t="s">
        <v>27</v>
      </c>
      <c r="E5090" s="5">
        <v>-31262</v>
      </c>
      <c r="F5090" s="3" t="s">
        <v>254</v>
      </c>
      <c r="G5090" s="3" t="s">
        <v>99</v>
      </c>
      <c r="H5090" s="2" t="s">
        <v>62</v>
      </c>
      <c r="I5090" s="2" t="s">
        <v>11864</v>
      </c>
      <c r="J5090" s="3" t="str">
        <f>HYPERLINK("https://www.boe.es/gazeta/dias/1814/05/28/pdfs/GMD-1814-78.pdf#page=5","Abrir facsímil")</f>
        <v>Abrir facsímil</v>
      </c>
      <c r="K5090" s="3" t="s">
        <v>64</v>
      </c>
    </row>
    <row r="5091" spans="1:11" ht="42" customHeight="1">
      <c r="A5091" s="2" t="s">
        <v>11862</v>
      </c>
      <c r="B5091" s="2" t="s">
        <v>11863</v>
      </c>
      <c r="C5091" s="2" t="s">
        <v>26</v>
      </c>
      <c r="D5091" s="2" t="s">
        <v>27</v>
      </c>
      <c r="E5091" s="5">
        <v>-31252</v>
      </c>
      <c r="F5091" s="3" t="s">
        <v>364</v>
      </c>
      <c r="G5091" s="3" t="s">
        <v>365</v>
      </c>
      <c r="H5091" s="2" t="s">
        <v>62</v>
      </c>
      <c r="I5091" s="2" t="s">
        <v>11865</v>
      </c>
      <c r="J5091" s="3" t="str">
        <f>HYPERLINK("https://www.boe.es/gazeta/dias/1814/06/07/pdfs/GMD-1814-82.pdf#page=8","Abrir facsímil")</f>
        <v>Abrir facsímil</v>
      </c>
      <c r="K5091" s="3" t="s">
        <v>64</v>
      </c>
    </row>
    <row r="5092" spans="1:11" ht="42" customHeight="1">
      <c r="A5092" s="2" t="s">
        <v>11866</v>
      </c>
      <c r="B5092" s="2" t="s">
        <v>11867</v>
      </c>
      <c r="C5092" s="2" t="s">
        <v>38</v>
      </c>
      <c r="D5092" s="2" t="s">
        <v>39</v>
      </c>
      <c r="E5092" s="5">
        <v>-31252</v>
      </c>
      <c r="F5092" s="3" t="s">
        <v>364</v>
      </c>
      <c r="G5092" s="3" t="s">
        <v>1437</v>
      </c>
      <c r="H5092" s="2" t="s">
        <v>62</v>
      </c>
      <c r="I5092" s="2" t="s">
        <v>11868</v>
      </c>
      <c r="J5092" s="3" t="str">
        <f>HYPERLINK("https://www.boe.es/gazeta/dias/1814/06/07/pdfs/GMD-1814-82.pdf#page=11","Abrir facsímil")</f>
        <v>Abrir facsímil</v>
      </c>
      <c r="K5092" s="3" t="s">
        <v>64</v>
      </c>
    </row>
    <row r="5093" spans="1:11" ht="42" customHeight="1">
      <c r="A5093" s="2" t="s">
        <v>11869</v>
      </c>
      <c r="B5093" s="2" t="s">
        <v>11870</v>
      </c>
      <c r="C5093" s="2" t="s">
        <v>38</v>
      </c>
      <c r="D5093" s="2" t="s">
        <v>39</v>
      </c>
      <c r="E5093" s="5">
        <v>-31234</v>
      </c>
      <c r="F5093" s="3" t="s">
        <v>462</v>
      </c>
      <c r="G5093" s="3" t="s">
        <v>2864</v>
      </c>
      <c r="H5093" s="2" t="s">
        <v>62</v>
      </c>
      <c r="I5093" s="2" t="s">
        <v>11871</v>
      </c>
      <c r="J5093" s="3" t="str">
        <f>HYPERLINK("https://www.boe.es/gazeta/dias/1814/06/25/pdfs/GMD-1814-90.pdf#page=12","Abrir facsímil")</f>
        <v>Abrir facsímil</v>
      </c>
      <c r="K5093" s="3" t="s">
        <v>64</v>
      </c>
    </row>
    <row r="5094" spans="1:11" ht="42" customHeight="1">
      <c r="A5094" s="2" t="s">
        <v>11872</v>
      </c>
      <c r="B5094" s="2" t="s">
        <v>11873</v>
      </c>
      <c r="C5094" s="2" t="s">
        <v>17</v>
      </c>
      <c r="D5094" s="2" t="s">
        <v>18</v>
      </c>
      <c r="E5094" s="5">
        <v>-31133</v>
      </c>
      <c r="F5094" s="3" t="s">
        <v>184</v>
      </c>
      <c r="G5094" s="3" t="s">
        <v>20</v>
      </c>
      <c r="H5094" s="2" t="s">
        <v>62</v>
      </c>
      <c r="I5094" s="2" t="s">
        <v>11874</v>
      </c>
      <c r="J5094" s="3" t="str">
        <f>HYPERLINK("https://www.boe.es/gazeta/dias/1814/10/04/pdfs/GMD-1814-134.pdf#page=7","Abrir facsímil")</f>
        <v>Abrir facsímil</v>
      </c>
      <c r="K5094" s="3" t="s">
        <v>64</v>
      </c>
    </row>
    <row r="5095" spans="1:11" ht="42" customHeight="1">
      <c r="A5095" s="2" t="s">
        <v>11875</v>
      </c>
      <c r="B5095" s="2" t="s">
        <v>11876</v>
      </c>
      <c r="C5095" s="2" t="s">
        <v>38</v>
      </c>
      <c r="D5095" s="2" t="s">
        <v>39</v>
      </c>
      <c r="E5095" s="5">
        <v>-31171</v>
      </c>
      <c r="F5095" s="3" t="s">
        <v>157</v>
      </c>
      <c r="G5095" s="3" t="s">
        <v>158</v>
      </c>
      <c r="H5095" s="2" t="s">
        <v>21</v>
      </c>
      <c r="I5095" s="2" t="s">
        <v>11877</v>
      </c>
      <c r="J5095" s="3" t="str">
        <f>HYPERLINK("https://www.boe.es/gazeta/dias/1814/08/27/pdfs/GMD-1814-117.pdf#page=7","Abrir facsímil")</f>
        <v>Abrir facsímil</v>
      </c>
      <c r="K5095" s="3" t="s">
        <v>23</v>
      </c>
    </row>
    <row r="5096" spans="1:11" ht="42" customHeight="1">
      <c r="A5096" s="2" t="s">
        <v>11878</v>
      </c>
      <c r="B5096" s="2" t="s">
        <v>11879</v>
      </c>
      <c r="C5096" s="2" t="s">
        <v>38</v>
      </c>
      <c r="D5096" s="2" t="s">
        <v>39</v>
      </c>
      <c r="E5096" s="5">
        <v>-31145</v>
      </c>
      <c r="F5096" s="3" t="s">
        <v>523</v>
      </c>
      <c r="G5096" s="3" t="s">
        <v>20</v>
      </c>
      <c r="H5096" s="2" t="s">
        <v>21</v>
      </c>
      <c r="I5096" s="2" t="s">
        <v>11880</v>
      </c>
      <c r="J5096" s="3" t="str">
        <f>HYPERLINK("https://www.boe.es/gazeta/dias/1814/09/22/pdfs/GMD-1814-129.pdf#page=7","Abrir facsímil")</f>
        <v>Abrir facsímil</v>
      </c>
      <c r="K5096" s="3" t="s">
        <v>23</v>
      </c>
    </row>
    <row r="5097" spans="1:11" ht="42" customHeight="1">
      <c r="A5097" s="2" t="s">
        <v>11881</v>
      </c>
      <c r="B5097" s="2" t="s">
        <v>11882</v>
      </c>
      <c r="C5097" s="2" t="s">
        <v>144</v>
      </c>
      <c r="D5097" s="2" t="s">
        <v>18</v>
      </c>
      <c r="E5097" s="5">
        <v>-31119</v>
      </c>
      <c r="F5097" s="3" t="s">
        <v>136</v>
      </c>
      <c r="G5097" s="3" t="s">
        <v>322</v>
      </c>
      <c r="H5097" s="2" t="s">
        <v>62</v>
      </c>
      <c r="I5097" s="2" t="s">
        <v>11883</v>
      </c>
      <c r="J5097" s="3" t="str">
        <f>HYPERLINK("https://www.boe.es/gazeta/dias/1814/10/18/pdfs/GMD-1814-140.pdf#page=12","Abrir facsímil")</f>
        <v>Abrir facsímil</v>
      </c>
      <c r="K5097" s="3" t="s">
        <v>64</v>
      </c>
    </row>
    <row r="5098" spans="1:11" ht="42" customHeight="1">
      <c r="A5098" s="2" t="s">
        <v>11884</v>
      </c>
      <c r="B5098" s="2" t="s">
        <v>11885</v>
      </c>
      <c r="C5098" s="2" t="s">
        <v>17</v>
      </c>
      <c r="D5098" s="2" t="s">
        <v>18</v>
      </c>
      <c r="E5098" s="5">
        <v>-31098</v>
      </c>
      <c r="F5098" s="3" t="s">
        <v>290</v>
      </c>
      <c r="G5098" s="3" t="s">
        <v>310</v>
      </c>
      <c r="H5098" s="2" t="s">
        <v>62</v>
      </c>
      <c r="I5098" s="2" t="s">
        <v>11886</v>
      </c>
      <c r="J5098" s="3" t="str">
        <f>HYPERLINK("https://www.boe.es/gazeta/dias/1814/11/08/pdfs/GMD-1814-149.pdf#page=8","Abrir facsímil")</f>
        <v>Abrir facsímil</v>
      </c>
      <c r="K5098" s="3" t="s">
        <v>64</v>
      </c>
    </row>
    <row r="5099" spans="1:11" ht="42" customHeight="1">
      <c r="A5099" s="2" t="s">
        <v>11887</v>
      </c>
      <c r="B5099" s="2" t="s">
        <v>11888</v>
      </c>
      <c r="C5099" s="2" t="s">
        <v>32</v>
      </c>
      <c r="D5099" s="2" t="s">
        <v>18</v>
      </c>
      <c r="E5099" s="5">
        <v>-31187</v>
      </c>
      <c r="F5099" s="3" t="s">
        <v>518</v>
      </c>
      <c r="G5099" s="3" t="s">
        <v>52</v>
      </c>
      <c r="H5099" s="2" t="s">
        <v>21</v>
      </c>
      <c r="I5099" s="2" t="s">
        <v>11889</v>
      </c>
      <c r="J5099" s="3" t="str">
        <f>HYPERLINK("https://www.boe.es/gazeta/dias/1814/08/11/pdfs/GMD-1814-110.pdf#page=8","Abrir facsímil")</f>
        <v>Abrir facsímil</v>
      </c>
      <c r="K5099" s="3" t="s">
        <v>23</v>
      </c>
    </row>
    <row r="5100" spans="1:11" ht="42" customHeight="1">
      <c r="A5100" s="2" t="s">
        <v>11890</v>
      </c>
      <c r="B5100" s="2" t="s">
        <v>11891</v>
      </c>
      <c r="C5100" s="2" t="s">
        <v>144</v>
      </c>
      <c r="D5100" s="2" t="s">
        <v>18</v>
      </c>
      <c r="E5100" s="5">
        <v>-31208</v>
      </c>
      <c r="F5100" s="3" t="s">
        <v>509</v>
      </c>
      <c r="G5100" s="3" t="s">
        <v>3455</v>
      </c>
      <c r="H5100" s="2" t="s">
        <v>62</v>
      </c>
      <c r="I5100" s="2" t="s">
        <v>11892</v>
      </c>
      <c r="J5100" s="3" t="str">
        <f>HYPERLINK("https://www.boe.es/gazeta/dias/1814/07/21/pdfs/GMD-1814-101.pdf#page=8","Abrir facsímil")</f>
        <v>Abrir facsímil</v>
      </c>
      <c r="K5100" s="3" t="s">
        <v>64</v>
      </c>
    </row>
    <row r="5101" spans="1:11" ht="42" customHeight="1">
      <c r="A5101" s="2" t="s">
        <v>11893</v>
      </c>
      <c r="B5101" s="2" t="s">
        <v>11894</v>
      </c>
      <c r="C5101" s="2" t="s">
        <v>309</v>
      </c>
      <c r="D5101" s="2" t="s">
        <v>18</v>
      </c>
      <c r="E5101" s="5">
        <v>-31252</v>
      </c>
      <c r="F5101" s="3" t="s">
        <v>364</v>
      </c>
      <c r="G5101" s="3" t="s">
        <v>8092</v>
      </c>
      <c r="H5101" s="2" t="s">
        <v>62</v>
      </c>
      <c r="I5101" s="2" t="s">
        <v>11895</v>
      </c>
      <c r="J5101" s="3" t="str">
        <f>HYPERLINK("https://www.boe.es/gazeta/dias/1814/06/07/pdfs/GMD-1814-82.pdf#page=10","Abrir facsímil")</f>
        <v>Abrir facsímil</v>
      </c>
      <c r="K5101" s="3" t="s">
        <v>64</v>
      </c>
    </row>
    <row r="5102" spans="1:11" ht="42" customHeight="1">
      <c r="A5102" s="2" t="s">
        <v>11896</v>
      </c>
      <c r="B5102" s="2" t="s">
        <v>11897</v>
      </c>
      <c r="C5102" s="2" t="s">
        <v>26</v>
      </c>
      <c r="D5102" s="2" t="s">
        <v>27</v>
      </c>
      <c r="E5102" s="5">
        <v>-31077</v>
      </c>
      <c r="F5102" s="3" t="s">
        <v>414</v>
      </c>
      <c r="G5102" s="3" t="s">
        <v>57</v>
      </c>
      <c r="H5102" s="2" t="s">
        <v>62</v>
      </c>
      <c r="I5102" s="2" t="s">
        <v>11898</v>
      </c>
      <c r="J5102" s="3" t="str">
        <f>HYPERLINK("https://www.boe.es/gazeta/dias/1814/11/29/pdfs/GMD-1814-158.pdf#page=6","Abrir facsímil")</f>
        <v>Abrir facsímil</v>
      </c>
      <c r="K5102" s="3" t="s">
        <v>64</v>
      </c>
    </row>
    <row r="5103" spans="1:11" ht="42" customHeight="1">
      <c r="A5103" s="2" t="s">
        <v>11899</v>
      </c>
      <c r="B5103" s="2" t="s">
        <v>11900</v>
      </c>
      <c r="C5103" s="2" t="s">
        <v>26</v>
      </c>
      <c r="D5103" s="2" t="s">
        <v>27</v>
      </c>
      <c r="E5103" s="5">
        <v>-31171</v>
      </c>
      <c r="F5103" s="3" t="s">
        <v>157</v>
      </c>
      <c r="G5103" s="3" t="s">
        <v>158</v>
      </c>
      <c r="H5103" s="2" t="s">
        <v>62</v>
      </c>
      <c r="I5103" s="2" t="s">
        <v>11901</v>
      </c>
      <c r="J5103" s="3" t="str">
        <f>HYPERLINK("https://www.boe.es/gazeta/dias/1814/08/27/pdfs/GMD-1814-117.pdf#page=7","Abrir facsímil")</f>
        <v>Abrir facsímil</v>
      </c>
      <c r="K5103" s="3" t="s">
        <v>64</v>
      </c>
    </row>
    <row r="5104" spans="1:11" ht="42" customHeight="1">
      <c r="A5104" s="2" t="s">
        <v>11902</v>
      </c>
      <c r="B5104" s="2" t="s">
        <v>11903</v>
      </c>
      <c r="C5104" s="2" t="s">
        <v>38</v>
      </c>
      <c r="D5104" s="2" t="s">
        <v>39</v>
      </c>
      <c r="E5104" s="5">
        <v>-31180</v>
      </c>
      <c r="F5104" s="3" t="s">
        <v>520</v>
      </c>
      <c r="G5104" s="3" t="s">
        <v>57</v>
      </c>
      <c r="H5104" s="2" t="s">
        <v>62</v>
      </c>
      <c r="I5104" s="2" t="s">
        <v>11904</v>
      </c>
      <c r="J5104" s="3" t="str">
        <f>HYPERLINK("https://www.boe.es/gazeta/dias/1814/08/18/pdfs/GMD-1814-113.pdf#page=6","Abrir facsímil")</f>
        <v>Abrir facsímil</v>
      </c>
      <c r="K5104" s="3" t="s">
        <v>64</v>
      </c>
    </row>
    <row r="5105" spans="1:11" ht="42" customHeight="1">
      <c r="A5105" s="2" t="s">
        <v>11905</v>
      </c>
      <c r="B5105" s="2" t="s">
        <v>11906</v>
      </c>
      <c r="C5105" s="2" t="s">
        <v>38</v>
      </c>
      <c r="D5105" s="2" t="s">
        <v>39</v>
      </c>
      <c r="E5105" s="5">
        <v>-31180</v>
      </c>
      <c r="F5105" s="3" t="s">
        <v>520</v>
      </c>
      <c r="G5105" s="3" t="s">
        <v>57</v>
      </c>
      <c r="H5105" s="2" t="s">
        <v>62</v>
      </c>
      <c r="I5105" s="2" t="s">
        <v>11907</v>
      </c>
      <c r="J5105" s="3" t="str">
        <f>HYPERLINK("https://www.boe.es/gazeta/dias/1814/08/18/pdfs/GMD-1814-113.pdf#page=6","Abrir facsímil")</f>
        <v>Abrir facsímil</v>
      </c>
      <c r="K5105" s="3" t="s">
        <v>64</v>
      </c>
    </row>
    <row r="5106" spans="1:11" ht="42" customHeight="1">
      <c r="A5106" s="2" t="s">
        <v>11908</v>
      </c>
      <c r="B5106" s="2" t="s">
        <v>11909</v>
      </c>
      <c r="C5106" s="2" t="s">
        <v>38</v>
      </c>
      <c r="D5106" s="2" t="s">
        <v>39</v>
      </c>
      <c r="E5106" s="5">
        <v>-31187</v>
      </c>
      <c r="F5106" s="3" t="s">
        <v>518</v>
      </c>
      <c r="G5106" s="3" t="s">
        <v>5889</v>
      </c>
      <c r="H5106" s="2" t="s">
        <v>62</v>
      </c>
      <c r="I5106" s="2" t="s">
        <v>11910</v>
      </c>
      <c r="J5106" s="3" t="str">
        <f>HYPERLINK("https://www.boe.es/gazeta/dias/1814/08/11/pdfs/GMD-1814-110.pdf#page=6","Abrir facsímil")</f>
        <v>Abrir facsímil</v>
      </c>
      <c r="K5106" s="3" t="s">
        <v>64</v>
      </c>
    </row>
    <row r="5107" spans="1:11" ht="42" customHeight="1">
      <c r="A5107" s="2" t="s">
        <v>11911</v>
      </c>
      <c r="B5107" s="2" t="s">
        <v>11912</v>
      </c>
      <c r="C5107" s="2" t="s">
        <v>17</v>
      </c>
      <c r="D5107" s="2" t="s">
        <v>18</v>
      </c>
      <c r="E5107" s="5">
        <v>-31318</v>
      </c>
      <c r="F5107" s="3" t="s">
        <v>400</v>
      </c>
      <c r="G5107" s="3" t="s">
        <v>57</v>
      </c>
      <c r="H5107" s="2" t="s">
        <v>62</v>
      </c>
      <c r="I5107" s="2" t="s">
        <v>11913</v>
      </c>
      <c r="J5107" s="3" t="str">
        <f>HYPERLINK("https://www.boe.es/gazeta/dias/1814/04/02/pdfs/GRE-1814-47.pdf#page=6","Abrir facsímil")</f>
        <v>Abrir facsímil</v>
      </c>
      <c r="K5107" s="3" t="s">
        <v>64</v>
      </c>
    </row>
    <row r="5108" spans="1:11" ht="42" customHeight="1">
      <c r="A5108" s="2" t="s">
        <v>11914</v>
      </c>
      <c r="B5108" s="2" t="s">
        <v>11915</v>
      </c>
      <c r="C5108" s="2" t="s">
        <v>38</v>
      </c>
      <c r="D5108" s="2" t="s">
        <v>39</v>
      </c>
      <c r="E5108" s="5">
        <v>-31308</v>
      </c>
      <c r="F5108" s="3" t="s">
        <v>210</v>
      </c>
      <c r="G5108" s="3" t="s">
        <v>20</v>
      </c>
      <c r="H5108" s="2" t="s">
        <v>62</v>
      </c>
      <c r="I5108" s="2" t="s">
        <v>11916</v>
      </c>
      <c r="J5108" s="3" t="str">
        <f>HYPERLINK("https://www.boe.es/gazeta/dias/1814/04/12/pdfs/GRE-1814-52.pdf#page=7","Abrir facsímil")</f>
        <v>Abrir facsímil</v>
      </c>
      <c r="K5108" s="3" t="s">
        <v>64</v>
      </c>
    </row>
    <row r="5109" spans="1:11" ht="42" customHeight="1">
      <c r="A5109" s="2" t="s">
        <v>11917</v>
      </c>
      <c r="B5109" s="2" t="s">
        <v>11918</v>
      </c>
      <c r="C5109" s="2" t="s">
        <v>45</v>
      </c>
      <c r="D5109" s="2" t="s">
        <v>18</v>
      </c>
      <c r="E5109" s="5">
        <v>-31068</v>
      </c>
      <c r="F5109" s="3" t="s">
        <v>548</v>
      </c>
      <c r="G5109" s="3" t="s">
        <v>20</v>
      </c>
      <c r="H5109" s="2" t="s">
        <v>62</v>
      </c>
      <c r="I5109" s="2" t="s">
        <v>11919</v>
      </c>
      <c r="J5109" s="3" t="str">
        <f>HYPERLINK("https://www.boe.es/gazeta/dias/1814/12/08/pdfs/GMD-1814-162.pdf#page=7","Abrir facsímil")</f>
        <v>Abrir facsímil</v>
      </c>
      <c r="K5109" s="3" t="s">
        <v>64</v>
      </c>
    </row>
    <row r="5110" spans="1:11" ht="42" customHeight="1">
      <c r="A5110" s="2" t="s">
        <v>11920</v>
      </c>
      <c r="B5110" s="2" t="s">
        <v>11921</v>
      </c>
      <c r="C5110" s="2" t="s">
        <v>26</v>
      </c>
      <c r="D5110" s="2" t="s">
        <v>27</v>
      </c>
      <c r="E5110" s="5">
        <v>-31087</v>
      </c>
      <c r="F5110" s="3" t="s">
        <v>118</v>
      </c>
      <c r="G5110" s="3" t="s">
        <v>52</v>
      </c>
      <c r="H5110" s="2" t="s">
        <v>62</v>
      </c>
      <c r="I5110" s="2" t="s">
        <v>11922</v>
      </c>
      <c r="J5110" s="3" t="str">
        <f>HYPERLINK("https://www.boe.es/gazeta/dias/1814/11/19/pdfs/GMD-1814-154.pdf#page=8","Abrir facsímil")</f>
        <v>Abrir facsímil</v>
      </c>
      <c r="K5110" s="3" t="s">
        <v>64</v>
      </c>
    </row>
    <row r="5111" spans="1:11" ht="42" customHeight="1">
      <c r="A5111" s="2" t="s">
        <v>11923</v>
      </c>
      <c r="B5111" s="2" t="s">
        <v>11924</v>
      </c>
      <c r="C5111" s="2" t="s">
        <v>32</v>
      </c>
      <c r="D5111" s="2" t="s">
        <v>18</v>
      </c>
      <c r="E5111" s="5">
        <v>-31355</v>
      </c>
      <c r="F5111" s="3" t="s">
        <v>50</v>
      </c>
      <c r="G5111" s="3" t="s">
        <v>2740</v>
      </c>
      <c r="H5111" s="2" t="s">
        <v>62</v>
      </c>
      <c r="I5111" s="2" t="s">
        <v>11925</v>
      </c>
      <c r="J5111" s="3" t="str">
        <f>HYPERLINK("https://www.boe.es/gazeta/dias/1814/02/24/pdfs/GRE-1814-26.pdf#page=6","Abrir facsímil")</f>
        <v>Abrir facsímil</v>
      </c>
      <c r="K5111" s="3" t="s">
        <v>64</v>
      </c>
    </row>
    <row r="5112" spans="1:11" ht="42" customHeight="1">
      <c r="A5112" s="2" t="s">
        <v>11926</v>
      </c>
      <c r="B5112" s="2" t="s">
        <v>11927</v>
      </c>
      <c r="C5112" s="2" t="s">
        <v>17</v>
      </c>
      <c r="D5112" s="2" t="s">
        <v>18</v>
      </c>
      <c r="E5112" s="5">
        <v>-31224</v>
      </c>
      <c r="F5112" s="3" t="s">
        <v>609</v>
      </c>
      <c r="G5112" s="3" t="s">
        <v>57</v>
      </c>
      <c r="H5112" s="2" t="s">
        <v>21</v>
      </c>
      <c r="I5112" s="2" t="s">
        <v>11928</v>
      </c>
      <c r="J5112" s="3" t="str">
        <f>HYPERLINK("https://www.boe.es/gazeta/dias/1814/07/05/pdfs/GMD-1814-94.pdf#page=6","Abrir facsímil")</f>
        <v>Abrir facsímil</v>
      </c>
      <c r="K5112" s="3" t="s">
        <v>23</v>
      </c>
    </row>
    <row r="5113" spans="1:11" ht="42" customHeight="1">
      <c r="A5113" s="2" t="s">
        <v>11926</v>
      </c>
      <c r="B5113" s="2" t="s">
        <v>11927</v>
      </c>
      <c r="C5113" s="2" t="s">
        <v>26</v>
      </c>
      <c r="D5113" s="2" t="s">
        <v>27</v>
      </c>
      <c r="E5113" s="5">
        <v>-31217</v>
      </c>
      <c r="F5113" s="3" t="s">
        <v>506</v>
      </c>
      <c r="G5113" s="3" t="s">
        <v>704</v>
      </c>
      <c r="H5113" s="2" t="s">
        <v>21</v>
      </c>
      <c r="I5113" s="2" t="s">
        <v>11929</v>
      </c>
      <c r="J5113" s="3" t="str">
        <f>HYPERLINK("https://www.boe.es/gazeta/dias/1814/07/12/pdfs/GMD-1814-97.pdf#page=10","Abrir facsímil")</f>
        <v>Abrir facsímil</v>
      </c>
      <c r="K5113" s="3" t="s">
        <v>23</v>
      </c>
    </row>
    <row r="5114" spans="1:11" ht="42" customHeight="1">
      <c r="A5114" s="2" t="s">
        <v>11930</v>
      </c>
      <c r="B5114" s="2" t="s">
        <v>11931</v>
      </c>
      <c r="C5114" s="2" t="s">
        <v>38</v>
      </c>
      <c r="D5114" s="2" t="s">
        <v>39</v>
      </c>
      <c r="E5114" s="5">
        <v>-31252</v>
      </c>
      <c r="F5114" s="3" t="s">
        <v>364</v>
      </c>
      <c r="G5114" s="3" t="s">
        <v>8092</v>
      </c>
      <c r="H5114" s="2" t="s">
        <v>21</v>
      </c>
      <c r="I5114" s="2" t="s">
        <v>11932</v>
      </c>
      <c r="J5114" s="3" t="str">
        <f>HYPERLINK("https://www.boe.es/gazeta/dias/1814/06/07/pdfs/GMD-1814-82.pdf#page=10","Abrir facsímil")</f>
        <v>Abrir facsímil</v>
      </c>
      <c r="K5114" s="3" t="s">
        <v>23</v>
      </c>
    </row>
    <row r="5115" spans="1:11" ht="42" customHeight="1">
      <c r="A5115" s="2" t="s">
        <v>11933</v>
      </c>
      <c r="B5115" s="2" t="s">
        <v>11934</v>
      </c>
      <c r="C5115" s="2" t="s">
        <v>38</v>
      </c>
      <c r="D5115" s="2" t="s">
        <v>39</v>
      </c>
      <c r="E5115" s="5">
        <v>-31252</v>
      </c>
      <c r="F5115" s="3" t="s">
        <v>364</v>
      </c>
      <c r="G5115" s="3" t="s">
        <v>1437</v>
      </c>
      <c r="H5115" s="2" t="s">
        <v>21</v>
      </c>
      <c r="I5115" s="2" t="s">
        <v>11935</v>
      </c>
      <c r="J5115" s="3" t="str">
        <f>HYPERLINK("https://www.boe.es/gazeta/dias/1814/06/07/pdfs/GMD-1814-82.pdf#page=11","Abrir facsímil")</f>
        <v>Abrir facsímil</v>
      </c>
      <c r="K5115" s="3" t="s">
        <v>23</v>
      </c>
    </row>
    <row r="5116" spans="1:11" ht="42" customHeight="1">
      <c r="A5116" s="2" t="s">
        <v>11933</v>
      </c>
      <c r="B5116" s="2" t="s">
        <v>11934</v>
      </c>
      <c r="C5116" s="2" t="s">
        <v>38</v>
      </c>
      <c r="D5116" s="2" t="s">
        <v>39</v>
      </c>
      <c r="E5116" s="5">
        <v>-31236</v>
      </c>
      <c r="F5116" s="3" t="s">
        <v>33</v>
      </c>
      <c r="G5116" s="3" t="s">
        <v>322</v>
      </c>
      <c r="H5116" s="2" t="s">
        <v>21</v>
      </c>
      <c r="I5116" s="2" t="s">
        <v>11936</v>
      </c>
      <c r="J5116" s="3" t="str">
        <f>HYPERLINK("https://www.boe.es/gazeta/dias/1814/06/23/pdfs/GMD-1814-89.pdf#page=12","Abrir facsímil")</f>
        <v>Abrir facsímil</v>
      </c>
      <c r="K5116" s="3" t="s">
        <v>23</v>
      </c>
    </row>
    <row r="5117" spans="1:11" ht="42" customHeight="1">
      <c r="A5117" s="2" t="s">
        <v>11933</v>
      </c>
      <c r="B5117" s="2" t="s">
        <v>11934</v>
      </c>
      <c r="C5117" s="2" t="s">
        <v>26</v>
      </c>
      <c r="D5117" s="2" t="s">
        <v>27</v>
      </c>
      <c r="E5117" s="5">
        <v>-31229</v>
      </c>
      <c r="F5117" s="3" t="s">
        <v>502</v>
      </c>
      <c r="G5117" s="3" t="s">
        <v>704</v>
      </c>
      <c r="H5117" s="2" t="s">
        <v>21</v>
      </c>
      <c r="I5117" s="2" t="s">
        <v>11937</v>
      </c>
      <c r="J5117" s="3" t="str">
        <f>HYPERLINK("https://www.boe.es/gazeta/dias/1814/06/30/pdfs/GMD-1814-92.pdf#page=10","Abrir facsímil")</f>
        <v>Abrir facsímil</v>
      </c>
      <c r="K5117" s="3" t="s">
        <v>23</v>
      </c>
    </row>
    <row r="5118" spans="1:11" ht="42" customHeight="1">
      <c r="A5118" s="2" t="s">
        <v>11933</v>
      </c>
      <c r="B5118" s="2" t="s">
        <v>11934</v>
      </c>
      <c r="C5118" s="2" t="s">
        <v>26</v>
      </c>
      <c r="D5118" s="2" t="s">
        <v>27</v>
      </c>
      <c r="E5118" s="5">
        <v>-31220</v>
      </c>
      <c r="F5118" s="3" t="s">
        <v>122</v>
      </c>
      <c r="G5118" s="3" t="s">
        <v>57</v>
      </c>
      <c r="H5118" s="2" t="s">
        <v>21</v>
      </c>
      <c r="I5118" s="2" t="s">
        <v>11938</v>
      </c>
      <c r="J5118" s="3" t="str">
        <f>HYPERLINK("https://www.boe.es/gazeta/dias/1814/07/09/pdfs/GMD-1814-96.pdf#page=6","Abrir facsímil")</f>
        <v>Abrir facsímil</v>
      </c>
      <c r="K5118" s="3" t="s">
        <v>23</v>
      </c>
    </row>
    <row r="5119" spans="1:11" ht="42" customHeight="1">
      <c r="A5119" s="2" t="s">
        <v>11933</v>
      </c>
      <c r="B5119" s="2" t="s">
        <v>11934</v>
      </c>
      <c r="C5119" s="2" t="s">
        <v>26</v>
      </c>
      <c r="D5119" s="2" t="s">
        <v>27</v>
      </c>
      <c r="E5119" s="5">
        <v>-31220</v>
      </c>
      <c r="F5119" s="3" t="s">
        <v>122</v>
      </c>
      <c r="G5119" s="3" t="s">
        <v>20</v>
      </c>
      <c r="H5119" s="2" t="s">
        <v>21</v>
      </c>
      <c r="I5119" s="2" t="s">
        <v>11939</v>
      </c>
      <c r="J5119" s="3" t="str">
        <f>HYPERLINK("https://www.boe.es/gazeta/dias/1814/07/09/pdfs/GMD-1814-96.pdf#page=7","Abrir facsímil")</f>
        <v>Abrir facsímil</v>
      </c>
      <c r="K5119" s="3" t="s">
        <v>23</v>
      </c>
    </row>
    <row r="5120" spans="1:11" ht="42" customHeight="1">
      <c r="A5120" s="2" t="s">
        <v>11940</v>
      </c>
      <c r="B5120" s="2" t="s">
        <v>11941</v>
      </c>
      <c r="C5120" s="2" t="s">
        <v>26</v>
      </c>
      <c r="D5120" s="2" t="s">
        <v>27</v>
      </c>
      <c r="E5120" s="5">
        <v>-31201</v>
      </c>
      <c r="F5120" s="3" t="s">
        <v>863</v>
      </c>
      <c r="G5120" s="3" t="s">
        <v>52</v>
      </c>
      <c r="H5120" s="2" t="s">
        <v>21</v>
      </c>
      <c r="I5120" s="2" t="s">
        <v>11942</v>
      </c>
      <c r="J5120" s="3" t="str">
        <f>HYPERLINK("https://www.boe.es/gazeta/dias/1814/07/28/pdfs/GMD-1814-104.pdf#page=8","Abrir facsímil")</f>
        <v>Abrir facsímil</v>
      </c>
      <c r="K5120" s="3" t="s">
        <v>23</v>
      </c>
    </row>
    <row r="5121" spans="1:11" ht="42" customHeight="1">
      <c r="A5121" s="2" t="s">
        <v>11943</v>
      </c>
      <c r="B5121" s="2" t="s">
        <v>11944</v>
      </c>
      <c r="C5121" s="2" t="s">
        <v>38</v>
      </c>
      <c r="D5121" s="2" t="s">
        <v>39</v>
      </c>
      <c r="E5121" s="5">
        <v>-31122</v>
      </c>
      <c r="F5121" s="3" t="s">
        <v>28</v>
      </c>
      <c r="G5121" s="3" t="s">
        <v>20</v>
      </c>
      <c r="H5121" s="2" t="s">
        <v>62</v>
      </c>
      <c r="I5121" s="2" t="s">
        <v>11945</v>
      </c>
      <c r="J5121" s="3" t="str">
        <f>HYPERLINK("https://www.boe.es/gazeta/dias/1814/10/15/pdfs/GMD-1814-139.pdf#page=7","Abrir facsímil")</f>
        <v>Abrir facsímil</v>
      </c>
      <c r="K5121" s="3" t="s">
        <v>64</v>
      </c>
    </row>
    <row r="5122" spans="1:11" ht="42" customHeight="1">
      <c r="A5122" s="2" t="s">
        <v>11946</v>
      </c>
      <c r="B5122" s="2" t="s">
        <v>11947</v>
      </c>
      <c r="C5122" s="2" t="s">
        <v>144</v>
      </c>
      <c r="D5122" s="2" t="s">
        <v>18</v>
      </c>
      <c r="E5122" s="5">
        <v>-31171</v>
      </c>
      <c r="F5122" s="3" t="s">
        <v>157</v>
      </c>
      <c r="G5122" s="3" t="s">
        <v>52</v>
      </c>
      <c r="H5122" s="2" t="s">
        <v>62</v>
      </c>
      <c r="I5122" s="2" t="s">
        <v>11948</v>
      </c>
      <c r="J5122" s="3" t="str">
        <f>HYPERLINK("https://www.boe.es/gazeta/dias/1814/08/27/pdfs/GMD-1814-117.pdf#page=8","Abrir facsímil")</f>
        <v>Abrir facsímil</v>
      </c>
      <c r="K5122" s="3" t="s">
        <v>64</v>
      </c>
    </row>
    <row r="5123" spans="1:11" ht="42" customHeight="1">
      <c r="A5123" s="2" t="s">
        <v>11949</v>
      </c>
      <c r="B5123" s="2" t="s">
        <v>11950</v>
      </c>
      <c r="C5123" s="2" t="s">
        <v>687</v>
      </c>
      <c r="D5123" s="2" t="s">
        <v>27</v>
      </c>
      <c r="E5123" s="5">
        <v>-31115</v>
      </c>
      <c r="F5123" s="3" t="s">
        <v>805</v>
      </c>
      <c r="G5123" s="3" t="s">
        <v>52</v>
      </c>
      <c r="H5123" s="2" t="s">
        <v>62</v>
      </c>
      <c r="I5123" s="2" t="s">
        <v>11951</v>
      </c>
      <c r="J5123" s="3" t="str">
        <f>HYPERLINK("https://www.boe.es/gazeta/dias/1814/10/22/pdfs/GMD-1814-142.pdf#page=8","Abrir facsímil")</f>
        <v>Abrir facsímil</v>
      </c>
      <c r="K5123" s="3" t="s">
        <v>64</v>
      </c>
    </row>
    <row r="5124" spans="1:11" ht="42" customHeight="1">
      <c r="A5124" s="2" t="s">
        <v>11952</v>
      </c>
      <c r="B5124" s="2" t="s">
        <v>11953</v>
      </c>
      <c r="C5124" s="2" t="s">
        <v>17</v>
      </c>
      <c r="D5124" s="2" t="s">
        <v>18</v>
      </c>
      <c r="E5124" s="5">
        <v>-31122</v>
      </c>
      <c r="F5124" s="3" t="s">
        <v>28</v>
      </c>
      <c r="G5124" s="3" t="s">
        <v>20</v>
      </c>
      <c r="H5124" s="2" t="s">
        <v>62</v>
      </c>
      <c r="I5124" s="2" t="s">
        <v>11954</v>
      </c>
      <c r="J5124" s="3" t="str">
        <f>HYPERLINK("https://www.boe.es/gazeta/dias/1814/10/15/pdfs/GMD-1814-139.pdf#page=7","Abrir facsímil")</f>
        <v>Abrir facsímil</v>
      </c>
      <c r="K5124" s="3" t="s">
        <v>64</v>
      </c>
    </row>
    <row r="5125" spans="1:11" ht="42" customHeight="1">
      <c r="A5125" s="2" t="s">
        <v>11955</v>
      </c>
      <c r="B5125" s="2" t="s">
        <v>11956</v>
      </c>
      <c r="C5125" s="2" t="s">
        <v>144</v>
      </c>
      <c r="D5125" s="2" t="s">
        <v>18</v>
      </c>
      <c r="E5125" s="5">
        <v>-31208</v>
      </c>
      <c r="F5125" s="3" t="s">
        <v>509</v>
      </c>
      <c r="G5125" s="3" t="s">
        <v>3455</v>
      </c>
      <c r="H5125" s="2" t="s">
        <v>62</v>
      </c>
      <c r="I5125" s="2" t="s">
        <v>11957</v>
      </c>
      <c r="J5125" s="3" t="str">
        <f>HYPERLINK("https://www.boe.es/gazeta/dias/1814/07/21/pdfs/GMD-1814-101.pdf#page=8","Abrir facsímil")</f>
        <v>Abrir facsímil</v>
      </c>
      <c r="K5125" s="3" t="s">
        <v>64</v>
      </c>
    </row>
    <row r="5126" spans="1:11" ht="42" customHeight="1">
      <c r="A5126" s="2" t="s">
        <v>11958</v>
      </c>
      <c r="B5126" s="2" t="s">
        <v>11959</v>
      </c>
      <c r="C5126" s="2" t="s">
        <v>38</v>
      </c>
      <c r="D5126" s="2" t="s">
        <v>39</v>
      </c>
      <c r="E5126" s="5">
        <v>-31262</v>
      </c>
      <c r="F5126" s="3" t="s">
        <v>254</v>
      </c>
      <c r="G5126" s="3" t="s">
        <v>41</v>
      </c>
      <c r="H5126" s="2" t="s">
        <v>62</v>
      </c>
      <c r="I5126" s="2" t="s">
        <v>11960</v>
      </c>
      <c r="J5126" s="3" t="str">
        <f>HYPERLINK("https://www.boe.es/gazeta/dias/1814/05/28/pdfs/GMD-1814-78.pdf#page=4","Abrir facsímil")</f>
        <v>Abrir facsímil</v>
      </c>
      <c r="K5126" s="3" t="s">
        <v>64</v>
      </c>
    </row>
    <row r="5127" spans="1:11" ht="42" customHeight="1">
      <c r="A5127" s="2" t="s">
        <v>11961</v>
      </c>
      <c r="B5127" s="2" t="s">
        <v>11962</v>
      </c>
      <c r="C5127" s="2" t="s">
        <v>26</v>
      </c>
      <c r="D5127" s="2" t="s">
        <v>27</v>
      </c>
      <c r="E5127" s="5">
        <v>-31199</v>
      </c>
      <c r="F5127" s="3" t="s">
        <v>453</v>
      </c>
      <c r="G5127" s="3" t="s">
        <v>1027</v>
      </c>
      <c r="H5127" s="2" t="s">
        <v>62</v>
      </c>
      <c r="I5127" s="2" t="s">
        <v>11963</v>
      </c>
      <c r="J5127" s="3" t="str">
        <f>HYPERLINK("https://www.boe.es/gazeta/dias/1814/07/30/pdfs/GMD-1814-105.pdf#page=8","Abrir facsímil")</f>
        <v>Abrir facsímil</v>
      </c>
      <c r="K5127" s="3" t="s">
        <v>64</v>
      </c>
    </row>
    <row r="5128" spans="1:11" ht="42" customHeight="1">
      <c r="A5128" s="2" t="s">
        <v>11961</v>
      </c>
      <c r="B5128" s="2" t="s">
        <v>11962</v>
      </c>
      <c r="C5128" s="2" t="s">
        <v>17</v>
      </c>
      <c r="D5128" s="2" t="s">
        <v>18</v>
      </c>
      <c r="E5128" s="5">
        <v>-31059</v>
      </c>
      <c r="F5128" s="3" t="s">
        <v>263</v>
      </c>
      <c r="G5128" s="3" t="s">
        <v>297</v>
      </c>
      <c r="H5128" s="2" t="s">
        <v>62</v>
      </c>
      <c r="I5128" s="2" t="s">
        <v>11964</v>
      </c>
      <c r="J5128" s="3" t="str">
        <f>HYPERLINK("https://www.boe.es/gazeta/dias/1814/12/17/pdfs/GMD-1814-167.pdf#page=8","Abrir facsímil")</f>
        <v>Abrir facsímil</v>
      </c>
      <c r="K5128" s="3" t="s">
        <v>64</v>
      </c>
    </row>
    <row r="5129" spans="1:11" ht="42" customHeight="1">
      <c r="A5129" s="2" t="s">
        <v>11961</v>
      </c>
      <c r="B5129" s="2" t="s">
        <v>11962</v>
      </c>
      <c r="C5129" s="2" t="s">
        <v>26</v>
      </c>
      <c r="D5129" s="2" t="s">
        <v>27</v>
      </c>
      <c r="E5129" s="5">
        <v>-31056</v>
      </c>
      <c r="F5129" s="3" t="s">
        <v>540</v>
      </c>
      <c r="G5129" s="3" t="s">
        <v>577</v>
      </c>
      <c r="H5129" s="2" t="s">
        <v>62</v>
      </c>
      <c r="I5129" s="2" t="s">
        <v>11965</v>
      </c>
      <c r="J5129" s="3" t="str">
        <f>HYPERLINK("https://www.boe.es/gazeta/dias/1814/12/20/pdfs/GMD-1814-168.pdf#page=8","Abrir facsímil")</f>
        <v>Abrir facsímil</v>
      </c>
      <c r="K5129" s="3" t="s">
        <v>64</v>
      </c>
    </row>
    <row r="5130" spans="1:11" ht="42" customHeight="1">
      <c r="A5130" s="2" t="s">
        <v>11966</v>
      </c>
      <c r="B5130" s="2" t="s">
        <v>11967</v>
      </c>
      <c r="C5130" s="2" t="s">
        <v>38</v>
      </c>
      <c r="D5130" s="2" t="s">
        <v>39</v>
      </c>
      <c r="E5130" s="5">
        <v>-31133</v>
      </c>
      <c r="F5130" s="3" t="s">
        <v>184</v>
      </c>
      <c r="G5130" s="3" t="s">
        <v>20</v>
      </c>
      <c r="H5130" s="2" t="s">
        <v>62</v>
      </c>
      <c r="I5130" s="2" t="s">
        <v>11968</v>
      </c>
      <c r="J5130" s="3" t="str">
        <f>HYPERLINK("https://www.boe.es/gazeta/dias/1814/10/04/pdfs/GMD-1814-134.pdf#page=7","Abrir facsímil")</f>
        <v>Abrir facsímil</v>
      </c>
      <c r="K5130" s="3" t="s">
        <v>64</v>
      </c>
    </row>
    <row r="5131" spans="1:11" ht="42" customHeight="1">
      <c r="A5131" s="2" t="s">
        <v>11969</v>
      </c>
      <c r="B5131" s="2" t="s">
        <v>11970</v>
      </c>
      <c r="C5131" s="2" t="s">
        <v>38</v>
      </c>
      <c r="D5131" s="2" t="s">
        <v>39</v>
      </c>
      <c r="E5131" s="5">
        <v>-31131</v>
      </c>
      <c r="F5131" s="3" t="s">
        <v>132</v>
      </c>
      <c r="G5131" s="3" t="s">
        <v>20</v>
      </c>
      <c r="H5131" s="2" t="s">
        <v>62</v>
      </c>
      <c r="I5131" s="2" t="s">
        <v>11971</v>
      </c>
      <c r="J5131" s="3" t="str">
        <f>HYPERLINK("https://www.boe.es/gazeta/dias/1814/10/06/pdfs/GMD-1814-135.pdf#page=7","Abrir facsímil")</f>
        <v>Abrir facsímil</v>
      </c>
      <c r="K5131" s="3" t="s">
        <v>64</v>
      </c>
    </row>
    <row r="5132" spans="1:11" ht="42" customHeight="1">
      <c r="A5132" s="2" t="s">
        <v>11972</v>
      </c>
      <c r="B5132" s="2" t="s">
        <v>11973</v>
      </c>
      <c r="C5132" s="2" t="s">
        <v>38</v>
      </c>
      <c r="D5132" s="2" t="s">
        <v>39</v>
      </c>
      <c r="E5132" s="5">
        <v>-31094</v>
      </c>
      <c r="F5132" s="3" t="s">
        <v>761</v>
      </c>
      <c r="G5132" s="3" t="s">
        <v>20</v>
      </c>
      <c r="H5132" s="2" t="s">
        <v>62</v>
      </c>
      <c r="I5132" s="2" t="s">
        <v>11974</v>
      </c>
      <c r="J5132" s="3" t="str">
        <f>HYPERLINK("https://www.boe.es/gazeta/dias/1814/11/12/pdfs/GMD-1814-151.pdf#page=7","Abrir facsímil")</f>
        <v>Abrir facsímil</v>
      </c>
      <c r="K5132" s="3" t="s">
        <v>64</v>
      </c>
    </row>
    <row r="5133" spans="1:11" ht="42" customHeight="1">
      <c r="A5133" s="2" t="s">
        <v>11975</v>
      </c>
      <c r="B5133" s="2" t="s">
        <v>11976</v>
      </c>
      <c r="C5133" s="2" t="s">
        <v>17</v>
      </c>
      <c r="D5133" s="2" t="s">
        <v>18</v>
      </c>
      <c r="E5133" s="5">
        <v>-31122</v>
      </c>
      <c r="F5133" s="3" t="s">
        <v>28</v>
      </c>
      <c r="G5133" s="3" t="s">
        <v>20</v>
      </c>
      <c r="H5133" s="2" t="s">
        <v>62</v>
      </c>
      <c r="I5133" s="2" t="s">
        <v>11977</v>
      </c>
      <c r="J5133" s="3" t="str">
        <f>HYPERLINK("https://www.boe.es/gazeta/dias/1814/10/15/pdfs/GMD-1814-139.pdf#page=7","Abrir facsímil")</f>
        <v>Abrir facsímil</v>
      </c>
      <c r="K5133" s="3" t="s">
        <v>64</v>
      </c>
    </row>
    <row r="5134" spans="1:11" ht="42" customHeight="1">
      <c r="A5134" s="2" t="s">
        <v>11978</v>
      </c>
      <c r="B5134" s="2" t="s">
        <v>11979</v>
      </c>
      <c r="C5134" s="2" t="s">
        <v>38</v>
      </c>
      <c r="D5134" s="2" t="s">
        <v>39</v>
      </c>
      <c r="E5134" s="5">
        <v>-31094</v>
      </c>
      <c r="F5134" s="3" t="s">
        <v>761</v>
      </c>
      <c r="G5134" s="3" t="s">
        <v>20</v>
      </c>
      <c r="H5134" s="2" t="s">
        <v>62</v>
      </c>
      <c r="I5134" s="2" t="s">
        <v>11980</v>
      </c>
      <c r="J5134" s="3" t="str">
        <f>HYPERLINK("https://www.boe.es/gazeta/dias/1814/11/12/pdfs/GMD-1814-151.pdf#page=7","Abrir facsímil")</f>
        <v>Abrir facsímil</v>
      </c>
      <c r="K5134" s="3" t="s">
        <v>64</v>
      </c>
    </row>
    <row r="5135" spans="1:11" ht="42" customHeight="1">
      <c r="A5135" s="2" t="s">
        <v>11981</v>
      </c>
      <c r="B5135" s="2" t="s">
        <v>11982</v>
      </c>
      <c r="C5135" s="2" t="s">
        <v>144</v>
      </c>
      <c r="D5135" s="2" t="s">
        <v>18</v>
      </c>
      <c r="E5135" s="5">
        <v>-31227</v>
      </c>
      <c r="F5135" s="3" t="s">
        <v>102</v>
      </c>
      <c r="G5135" s="3" t="s">
        <v>52</v>
      </c>
      <c r="H5135" s="2" t="s">
        <v>62</v>
      </c>
      <c r="I5135" s="2" t="s">
        <v>11983</v>
      </c>
      <c r="J5135" s="3" t="str">
        <f>HYPERLINK("https://www.boe.es/gazeta/dias/1814/07/02/pdfs/GMD-1814-93.pdf#page=8","Abrir facsímil")</f>
        <v>Abrir facsímil</v>
      </c>
      <c r="K5135" s="3" t="s">
        <v>64</v>
      </c>
    </row>
    <row r="5136" spans="1:11" ht="42" customHeight="1">
      <c r="A5136" s="2" t="s">
        <v>11984</v>
      </c>
      <c r="B5136" s="2" t="s">
        <v>11985</v>
      </c>
      <c r="C5136" s="2" t="s">
        <v>45</v>
      </c>
      <c r="D5136" s="2" t="s">
        <v>18</v>
      </c>
      <c r="E5136" s="5">
        <v>-31068</v>
      </c>
      <c r="F5136" s="3" t="s">
        <v>548</v>
      </c>
      <c r="G5136" s="3" t="s">
        <v>20</v>
      </c>
      <c r="H5136" s="2" t="s">
        <v>62</v>
      </c>
      <c r="I5136" s="2" t="s">
        <v>11986</v>
      </c>
      <c r="J5136" s="3" t="str">
        <f>HYPERLINK("https://www.boe.es/gazeta/dias/1814/12/08/pdfs/GMD-1814-162.pdf#page=7","Abrir facsímil")</f>
        <v>Abrir facsímil</v>
      </c>
      <c r="K5136" s="3" t="s">
        <v>64</v>
      </c>
    </row>
    <row r="5137" spans="1:11" ht="42" customHeight="1">
      <c r="A5137" s="2" t="s">
        <v>11987</v>
      </c>
      <c r="B5137" s="2" t="s">
        <v>11988</v>
      </c>
      <c r="C5137" s="2" t="s">
        <v>26</v>
      </c>
      <c r="D5137" s="2" t="s">
        <v>27</v>
      </c>
      <c r="E5137" s="5">
        <v>-31082</v>
      </c>
      <c r="F5137" s="3" t="s">
        <v>535</v>
      </c>
      <c r="G5137" s="3" t="s">
        <v>2461</v>
      </c>
      <c r="H5137" s="2" t="s">
        <v>62</v>
      </c>
      <c r="I5137" s="2" t="s">
        <v>11989</v>
      </c>
      <c r="J5137" s="3" t="str">
        <f>HYPERLINK("https://www.boe.es/gazeta/dias/1814/11/24/pdfs/GMD-1814-156.pdf#page=7","Abrir facsímil")</f>
        <v>Abrir facsímil</v>
      </c>
      <c r="K5137" s="3" t="s">
        <v>64</v>
      </c>
    </row>
    <row r="5138" spans="1:11" ht="42" customHeight="1">
      <c r="A5138" s="2" t="s">
        <v>11990</v>
      </c>
      <c r="B5138" s="2" t="s">
        <v>11991</v>
      </c>
      <c r="C5138" s="2" t="s">
        <v>38</v>
      </c>
      <c r="D5138" s="2" t="s">
        <v>39</v>
      </c>
      <c r="E5138" s="5">
        <v>-31187</v>
      </c>
      <c r="F5138" s="3" t="s">
        <v>518</v>
      </c>
      <c r="G5138" s="3" t="s">
        <v>52</v>
      </c>
      <c r="H5138" s="2" t="s">
        <v>62</v>
      </c>
      <c r="I5138" s="2" t="s">
        <v>11992</v>
      </c>
      <c r="J5138" s="3" t="str">
        <f>HYPERLINK("https://www.boe.es/gazeta/dias/1814/08/11/pdfs/GMD-1814-110.pdf#page=8","Abrir facsímil")</f>
        <v>Abrir facsímil</v>
      </c>
      <c r="K5138" s="3" t="s">
        <v>64</v>
      </c>
    </row>
    <row r="5139" spans="1:11" ht="42" customHeight="1">
      <c r="A5139" s="2" t="s">
        <v>11993</v>
      </c>
      <c r="B5139" s="2" t="s">
        <v>11994</v>
      </c>
      <c r="C5139" s="2" t="s">
        <v>38</v>
      </c>
      <c r="D5139" s="2" t="s">
        <v>314</v>
      </c>
      <c r="E5139" s="5">
        <v>-31296</v>
      </c>
      <c r="F5139" s="3" t="s">
        <v>315</v>
      </c>
      <c r="G5139" s="3" t="s">
        <v>52</v>
      </c>
      <c r="H5139" s="2" t="s">
        <v>62</v>
      </c>
      <c r="I5139" s="2" t="s">
        <v>11995</v>
      </c>
      <c r="J5139" s="3" t="str">
        <f>HYPERLINK("https://www.boe.es/gazeta/dias/1814/04/24/pdfs/GRE-1814-60E.pdf#page=8","Abrir facsímil")</f>
        <v>Abrir facsímil</v>
      </c>
      <c r="K5139" s="3" t="s">
        <v>64</v>
      </c>
    </row>
    <row r="5140" spans="1:11" ht="42" customHeight="1">
      <c r="A5140" s="2" t="s">
        <v>11996</v>
      </c>
      <c r="B5140" s="2" t="s">
        <v>11997</v>
      </c>
      <c r="C5140" s="2" t="s">
        <v>17</v>
      </c>
      <c r="D5140" s="2" t="s">
        <v>18</v>
      </c>
      <c r="E5140" s="5">
        <v>-31152</v>
      </c>
      <c r="F5140" s="3" t="s">
        <v>199</v>
      </c>
      <c r="G5140" s="3" t="s">
        <v>20</v>
      </c>
      <c r="H5140" s="2" t="s">
        <v>62</v>
      </c>
      <c r="I5140" s="2" t="s">
        <v>11998</v>
      </c>
      <c r="J5140" s="3" t="str">
        <f>HYPERLINK("https://www.boe.es/gazeta/dias/1814/09/15/pdfs/GMD-1814-126.pdf#page=7","Abrir facsímil")</f>
        <v>Abrir facsímil</v>
      </c>
      <c r="K5140" s="3" t="s">
        <v>64</v>
      </c>
    </row>
    <row r="5141" spans="1:11" ht="42" customHeight="1">
      <c r="A5141" s="2" t="s">
        <v>11999</v>
      </c>
      <c r="B5141" s="2" t="s">
        <v>12000</v>
      </c>
      <c r="C5141" s="2" t="s">
        <v>38</v>
      </c>
      <c r="D5141" s="2" t="s">
        <v>39</v>
      </c>
      <c r="E5141" s="5">
        <v>-31110</v>
      </c>
      <c r="F5141" s="3" t="s">
        <v>149</v>
      </c>
      <c r="G5141" s="3" t="s">
        <v>99</v>
      </c>
      <c r="H5141" s="2" t="s">
        <v>21</v>
      </c>
      <c r="I5141" s="2" t="s">
        <v>12001</v>
      </c>
      <c r="J5141" s="3" t="str">
        <f>HYPERLINK("https://www.boe.es/gazeta/dias/1814/10/27/pdfs/GMD-1814-144.pdf#page=5","Abrir facsímil")</f>
        <v>Abrir facsímil</v>
      </c>
      <c r="K5141" s="3" t="s">
        <v>23</v>
      </c>
    </row>
    <row r="5142" spans="1:11" ht="42" customHeight="1">
      <c r="A5142" s="2" t="s">
        <v>12002</v>
      </c>
      <c r="B5142" s="2" t="s">
        <v>12003</v>
      </c>
      <c r="C5142" s="2" t="s">
        <v>38</v>
      </c>
      <c r="D5142" s="2" t="s">
        <v>314</v>
      </c>
      <c r="E5142" s="5">
        <v>-31296</v>
      </c>
      <c r="F5142" s="3" t="s">
        <v>315</v>
      </c>
      <c r="G5142" s="3" t="s">
        <v>20</v>
      </c>
      <c r="H5142" s="2" t="s">
        <v>21</v>
      </c>
      <c r="I5142" s="2" t="s">
        <v>12004</v>
      </c>
      <c r="J5142" s="3" t="str">
        <f>HYPERLINK("https://www.boe.es/gazeta/dias/1814/04/24/pdfs/GRE-1814-60E.pdf#page=7","Abrir facsímil")</f>
        <v>Abrir facsímil</v>
      </c>
      <c r="K5142" s="3" t="s">
        <v>23</v>
      </c>
    </row>
    <row r="5143" spans="1:11" ht="42" customHeight="1">
      <c r="A5143" s="2" t="s">
        <v>12005</v>
      </c>
      <c r="B5143" s="2" t="s">
        <v>12006</v>
      </c>
      <c r="C5143" s="2" t="s">
        <v>38</v>
      </c>
      <c r="D5143" s="2" t="s">
        <v>39</v>
      </c>
      <c r="E5143" s="5">
        <v>-31227</v>
      </c>
      <c r="F5143" s="3" t="s">
        <v>102</v>
      </c>
      <c r="G5143" s="3" t="s">
        <v>99</v>
      </c>
      <c r="H5143" s="2" t="s">
        <v>21</v>
      </c>
      <c r="I5143" s="2" t="s">
        <v>12007</v>
      </c>
      <c r="J5143" s="3" t="str">
        <f>HYPERLINK("https://www.boe.es/gazeta/dias/1814/07/02/pdfs/GMD-1814-93.pdf#page=5","Abrir facsímil")</f>
        <v>Abrir facsímil</v>
      </c>
      <c r="K5143" s="3" t="s">
        <v>23</v>
      </c>
    </row>
    <row r="5144" spans="1:11" ht="42" customHeight="1">
      <c r="A5144" s="2" t="s">
        <v>12008</v>
      </c>
      <c r="B5144" s="2" t="s">
        <v>12009</v>
      </c>
      <c r="C5144" s="2" t="s">
        <v>45</v>
      </c>
      <c r="D5144" s="2" t="s">
        <v>18</v>
      </c>
      <c r="E5144" s="5">
        <v>-31182</v>
      </c>
      <c r="F5144" s="3" t="s">
        <v>19</v>
      </c>
      <c r="G5144" s="3" t="s">
        <v>20</v>
      </c>
      <c r="H5144" s="2" t="s">
        <v>21</v>
      </c>
      <c r="I5144" s="2" t="s">
        <v>12010</v>
      </c>
      <c r="J5144" s="3" t="str">
        <f>HYPERLINK("https://www.boe.es/gazeta/dias/1814/08/16/pdfs/GMD-1814-112.pdf#page=7","Abrir facsímil")</f>
        <v>Abrir facsímil</v>
      </c>
      <c r="K5144" s="3" t="s">
        <v>23</v>
      </c>
    </row>
    <row r="5145" spans="1:11" ht="42" customHeight="1">
      <c r="A5145" s="2" t="s">
        <v>12011</v>
      </c>
      <c r="B5145" s="2" t="s">
        <v>12012</v>
      </c>
      <c r="C5145" s="2" t="s">
        <v>26</v>
      </c>
      <c r="D5145" s="2" t="s">
        <v>27</v>
      </c>
      <c r="E5145" s="5">
        <v>-31220</v>
      </c>
      <c r="F5145" s="3" t="s">
        <v>122</v>
      </c>
      <c r="G5145" s="3" t="s">
        <v>20</v>
      </c>
      <c r="H5145" s="2" t="s">
        <v>62</v>
      </c>
      <c r="I5145" s="2" t="s">
        <v>12013</v>
      </c>
      <c r="J5145" s="3" t="str">
        <f>HYPERLINK("https://www.boe.es/gazeta/dias/1814/07/09/pdfs/GMD-1814-96.pdf#page=7","Abrir facsímil")</f>
        <v>Abrir facsímil</v>
      </c>
      <c r="K5145" s="3" t="s">
        <v>64</v>
      </c>
    </row>
    <row r="5146" spans="1:11" ht="42" customHeight="1">
      <c r="A5146" s="2" t="s">
        <v>12014</v>
      </c>
      <c r="B5146" s="2" t="s">
        <v>12015</v>
      </c>
      <c r="C5146" s="2" t="s">
        <v>17</v>
      </c>
      <c r="D5146" s="2" t="s">
        <v>18</v>
      </c>
      <c r="E5146" s="5">
        <v>-31217</v>
      </c>
      <c r="F5146" s="3" t="s">
        <v>506</v>
      </c>
      <c r="G5146" s="3" t="s">
        <v>3014</v>
      </c>
      <c r="H5146" s="2" t="s">
        <v>62</v>
      </c>
      <c r="I5146" s="2" t="s">
        <v>12016</v>
      </c>
      <c r="J5146" s="3" t="str">
        <f>HYPERLINK("https://www.boe.es/gazeta/dias/1814/07/12/pdfs/GMD-1814-97.pdf#page=8","Abrir facsímil")</f>
        <v>Abrir facsímil</v>
      </c>
      <c r="K5146" s="3" t="s">
        <v>64</v>
      </c>
    </row>
    <row r="5147" spans="1:11" ht="42" customHeight="1">
      <c r="A5147" s="2" t="s">
        <v>12017</v>
      </c>
      <c r="B5147" s="2" t="s">
        <v>12018</v>
      </c>
      <c r="C5147" s="2" t="s">
        <v>45</v>
      </c>
      <c r="D5147" s="2" t="s">
        <v>18</v>
      </c>
      <c r="E5147" s="5">
        <v>-31206</v>
      </c>
      <c r="F5147" s="3" t="s">
        <v>1196</v>
      </c>
      <c r="G5147" s="3" t="s">
        <v>20</v>
      </c>
      <c r="H5147" s="2" t="s">
        <v>62</v>
      </c>
      <c r="I5147" s="2" t="s">
        <v>12019</v>
      </c>
      <c r="J5147" s="3" t="str">
        <f>HYPERLINK("https://www.boe.es/gazeta/dias/1814/07/23/pdfs/GMD-1814-102.pdf#page=7","Abrir facsímil")</f>
        <v>Abrir facsímil</v>
      </c>
      <c r="K5147" s="3" t="s">
        <v>64</v>
      </c>
    </row>
    <row r="5148" spans="1:11" ht="42" customHeight="1">
      <c r="A5148" s="2" t="s">
        <v>12020</v>
      </c>
      <c r="B5148" s="2" t="s">
        <v>12021</v>
      </c>
      <c r="C5148" s="2" t="s">
        <v>26</v>
      </c>
      <c r="D5148" s="2" t="s">
        <v>27</v>
      </c>
      <c r="E5148" s="5">
        <v>-31140</v>
      </c>
      <c r="F5148" s="3" t="s">
        <v>525</v>
      </c>
      <c r="G5148" s="3" t="s">
        <v>99</v>
      </c>
      <c r="H5148" s="2" t="s">
        <v>62</v>
      </c>
      <c r="I5148" s="2" t="s">
        <v>12022</v>
      </c>
      <c r="J5148" s="3" t="str">
        <f>HYPERLINK("https://www.boe.es/gazeta/dias/1814/09/27/pdfs/GMD-1814-131.pdf#page=5","Abrir facsímil")</f>
        <v>Abrir facsímil</v>
      </c>
      <c r="K5148" s="3" t="s">
        <v>64</v>
      </c>
    </row>
    <row r="5149" spans="1:11" ht="42" customHeight="1">
      <c r="A5149" s="2" t="s">
        <v>12023</v>
      </c>
      <c r="B5149" s="2" t="s">
        <v>12024</v>
      </c>
      <c r="C5149" s="2" t="s">
        <v>26</v>
      </c>
      <c r="D5149" s="2" t="s">
        <v>27</v>
      </c>
      <c r="E5149" s="5">
        <v>-31250</v>
      </c>
      <c r="F5149" s="3" t="s">
        <v>177</v>
      </c>
      <c r="G5149" s="3" t="s">
        <v>52</v>
      </c>
      <c r="H5149" s="2" t="s">
        <v>62</v>
      </c>
      <c r="I5149" s="2" t="s">
        <v>12025</v>
      </c>
      <c r="J5149" s="3" t="str">
        <f>HYPERLINK("https://www.boe.es/gazeta/dias/1814/06/09/pdfs/GMD-1814-83.pdf#page=8","Abrir facsímil")</f>
        <v>Abrir facsímil</v>
      </c>
      <c r="K5149" s="3" t="s">
        <v>64</v>
      </c>
    </row>
    <row r="5150" spans="1:11" ht="42" customHeight="1">
      <c r="A5150" s="2" t="s">
        <v>12023</v>
      </c>
      <c r="B5150" s="2" t="s">
        <v>12024</v>
      </c>
      <c r="C5150" s="2" t="s">
        <v>26</v>
      </c>
      <c r="D5150" s="2" t="s">
        <v>27</v>
      </c>
      <c r="E5150" s="5">
        <v>-31201</v>
      </c>
      <c r="F5150" s="3" t="s">
        <v>863</v>
      </c>
      <c r="G5150" s="3" t="s">
        <v>99</v>
      </c>
      <c r="H5150" s="2" t="s">
        <v>62</v>
      </c>
      <c r="I5150" s="2" t="s">
        <v>12026</v>
      </c>
      <c r="J5150" s="3" t="str">
        <f>HYPERLINK("https://www.boe.es/gazeta/dias/1814/07/28/pdfs/GMD-1814-104.pdf#page=5","Abrir facsímil")</f>
        <v>Abrir facsímil</v>
      </c>
      <c r="K5150" s="3" t="s">
        <v>64</v>
      </c>
    </row>
    <row r="5151" spans="1:11" ht="42" customHeight="1">
      <c r="A5151" s="2" t="s">
        <v>12027</v>
      </c>
      <c r="B5151" s="2" t="s">
        <v>12028</v>
      </c>
      <c r="C5151" s="2" t="s">
        <v>17</v>
      </c>
      <c r="D5151" s="2" t="s">
        <v>18</v>
      </c>
      <c r="E5151" s="5">
        <v>-31243</v>
      </c>
      <c r="F5151" s="3" t="s">
        <v>500</v>
      </c>
      <c r="G5151" s="3" t="s">
        <v>10851</v>
      </c>
      <c r="H5151" s="2" t="s">
        <v>62</v>
      </c>
      <c r="I5151" s="2" t="s">
        <v>12029</v>
      </c>
      <c r="J5151" s="3" t="str">
        <f>HYPERLINK("https://www.boe.es/gazeta/dias/1814/06/16/pdfs/GMD-1814-86.pdf#page=8","Abrir facsímil")</f>
        <v>Abrir facsímil</v>
      </c>
      <c r="K5151" s="3" t="s">
        <v>64</v>
      </c>
    </row>
    <row r="5152" spans="1:11" ht="42" customHeight="1">
      <c r="A5152" s="2" t="s">
        <v>12030</v>
      </c>
      <c r="B5152" s="2" t="s">
        <v>12031</v>
      </c>
      <c r="C5152" s="2" t="s">
        <v>26</v>
      </c>
      <c r="D5152" s="2" t="s">
        <v>27</v>
      </c>
      <c r="E5152" s="5">
        <v>-31126</v>
      </c>
      <c r="F5152" s="3" t="s">
        <v>56</v>
      </c>
      <c r="G5152" s="3" t="s">
        <v>2616</v>
      </c>
      <c r="H5152" s="2" t="s">
        <v>62</v>
      </c>
      <c r="I5152" s="2" t="s">
        <v>12032</v>
      </c>
      <c r="J5152" s="3" t="str">
        <f>HYPERLINK("https://www.boe.es/gazeta/dias/1814/10/11/pdfs/GMD-1814-137.pdf#page=7","Abrir facsímil")</f>
        <v>Abrir facsímil</v>
      </c>
      <c r="K5152" s="3" t="s">
        <v>64</v>
      </c>
    </row>
    <row r="5153" spans="1:11" ht="42" customHeight="1">
      <c r="A5153" s="2" t="s">
        <v>12033</v>
      </c>
      <c r="B5153" s="2" t="s">
        <v>12034</v>
      </c>
      <c r="C5153" s="2" t="s">
        <v>17</v>
      </c>
      <c r="D5153" s="2" t="s">
        <v>18</v>
      </c>
      <c r="E5153" s="5">
        <v>-31308</v>
      </c>
      <c r="F5153" s="3" t="s">
        <v>210</v>
      </c>
      <c r="G5153" s="3" t="s">
        <v>20</v>
      </c>
      <c r="H5153" s="2" t="s">
        <v>62</v>
      </c>
      <c r="I5153" s="2" t="s">
        <v>12035</v>
      </c>
      <c r="J5153" s="3" t="str">
        <f>HYPERLINK("https://www.boe.es/gazeta/dias/1814/04/12/pdfs/GRE-1814-52.pdf#page=7","Abrir facsímil")</f>
        <v>Abrir facsímil</v>
      </c>
      <c r="K5153" s="3" t="s">
        <v>64</v>
      </c>
    </row>
    <row r="5154" spans="1:11" ht="42" customHeight="1">
      <c r="A5154" s="2" t="s">
        <v>12036</v>
      </c>
      <c r="B5154" s="2" t="s">
        <v>12037</v>
      </c>
      <c r="C5154" s="2" t="s">
        <v>38</v>
      </c>
      <c r="D5154" s="2" t="s">
        <v>39</v>
      </c>
      <c r="E5154" s="5">
        <v>-31194</v>
      </c>
      <c r="F5154" s="3" t="s">
        <v>333</v>
      </c>
      <c r="G5154" s="3" t="s">
        <v>57</v>
      </c>
      <c r="H5154" s="2" t="s">
        <v>62</v>
      </c>
      <c r="I5154" s="2" t="s">
        <v>12038</v>
      </c>
      <c r="J5154" s="3" t="str">
        <f>HYPERLINK("https://www.boe.es/gazeta/dias/1814/08/04/pdfs/GMD-1814-107.pdf#page=6","Abrir facsímil")</f>
        <v>Abrir facsímil</v>
      </c>
      <c r="K5154" s="3" t="s">
        <v>64</v>
      </c>
    </row>
    <row r="5155" spans="1:11" ht="42" customHeight="1">
      <c r="A5155" s="2" t="s">
        <v>12039</v>
      </c>
      <c r="B5155" s="2" t="s">
        <v>12040</v>
      </c>
      <c r="C5155" s="2" t="s">
        <v>45</v>
      </c>
      <c r="D5155" s="2" t="s">
        <v>18</v>
      </c>
      <c r="E5155" s="5">
        <v>-31129</v>
      </c>
      <c r="F5155" s="3" t="s">
        <v>418</v>
      </c>
      <c r="G5155" s="3" t="s">
        <v>20</v>
      </c>
      <c r="H5155" s="2" t="s">
        <v>62</v>
      </c>
      <c r="I5155" s="2" t="s">
        <v>12041</v>
      </c>
      <c r="J5155" s="3" t="str">
        <f>HYPERLINK("https://www.boe.es/gazeta/dias/1814/10/08/pdfs/GMD-1814-136.pdf#page=7","Abrir facsímil")</f>
        <v>Abrir facsímil</v>
      </c>
      <c r="K5155" s="3" t="s">
        <v>64</v>
      </c>
    </row>
    <row r="5156" spans="1:11" ht="42" customHeight="1">
      <c r="A5156" s="2" t="s">
        <v>12042</v>
      </c>
      <c r="B5156" s="2" t="s">
        <v>12042</v>
      </c>
      <c r="C5156" s="2" t="s">
        <v>38</v>
      </c>
      <c r="D5156" s="2" t="s">
        <v>39</v>
      </c>
      <c r="E5156" s="5">
        <v>-31329</v>
      </c>
      <c r="F5156" s="3" t="s">
        <v>621</v>
      </c>
      <c r="G5156" s="3" t="s">
        <v>99</v>
      </c>
      <c r="H5156" s="2" t="s">
        <v>62</v>
      </c>
      <c r="I5156" s="2" t="s">
        <v>12043</v>
      </c>
      <c r="J5156" s="3" t="str">
        <f>HYPERLINK("https://www.boe.es/gazeta/dias/1814/03/22/pdfs/GRE-1814-39.pdf#page=5","Abrir facsímil")</f>
        <v>Abrir facsímil</v>
      </c>
      <c r="K5156" s="3" t="s">
        <v>64</v>
      </c>
    </row>
    <row r="5157" spans="1:11" ht="42" customHeight="1">
      <c r="A5157" s="2" t="s">
        <v>12044</v>
      </c>
      <c r="B5157" s="2" t="s">
        <v>12044</v>
      </c>
      <c r="C5157" s="2" t="s">
        <v>32</v>
      </c>
      <c r="D5157" s="2" t="s">
        <v>18</v>
      </c>
      <c r="E5157" s="5">
        <v>-31276</v>
      </c>
      <c r="F5157" s="3" t="s">
        <v>494</v>
      </c>
      <c r="G5157" s="3" t="s">
        <v>52</v>
      </c>
      <c r="H5157" s="2" t="s">
        <v>62</v>
      </c>
      <c r="I5157" s="2" t="s">
        <v>12045</v>
      </c>
      <c r="J5157" s="3" t="str">
        <f>HYPERLINK("https://www.boe.es/gazeta/dias/1814/05/14/pdfs/GMD-1814-71.pdf#page=8","Abrir facsímil")</f>
        <v>Abrir facsímil</v>
      </c>
      <c r="K5157" s="3" t="s">
        <v>64</v>
      </c>
    </row>
    <row r="5158" spans="1:11" ht="42" customHeight="1">
      <c r="A5158" s="2" t="s">
        <v>12046</v>
      </c>
      <c r="B5158" s="2" t="s">
        <v>12047</v>
      </c>
      <c r="C5158" s="2" t="s">
        <v>17</v>
      </c>
      <c r="D5158" s="2" t="s">
        <v>18</v>
      </c>
      <c r="E5158" s="5">
        <v>-31112</v>
      </c>
      <c r="F5158" s="3" t="s">
        <v>707</v>
      </c>
      <c r="G5158" s="3" t="s">
        <v>708</v>
      </c>
      <c r="H5158" s="2" t="s">
        <v>21</v>
      </c>
      <c r="I5158" s="2" t="s">
        <v>12048</v>
      </c>
      <c r="J5158" s="3" t="str">
        <f>HYPERLINK("https://www.boe.es/gazeta/dias/1814/10/25/pdfs/GMD-1814-143.pdf#page=8","Abrir facsímil")</f>
        <v>Abrir facsímil</v>
      </c>
      <c r="K5158" s="3" t="s">
        <v>23</v>
      </c>
    </row>
    <row r="5159" spans="1:11" ht="42" customHeight="1">
      <c r="A5159" s="2" t="s">
        <v>12049</v>
      </c>
      <c r="B5159" s="2" t="s">
        <v>12050</v>
      </c>
      <c r="C5159" s="2" t="s">
        <v>309</v>
      </c>
      <c r="D5159" s="2" t="s">
        <v>18</v>
      </c>
      <c r="E5159" s="5">
        <v>-31308</v>
      </c>
      <c r="F5159" s="3" t="s">
        <v>210</v>
      </c>
      <c r="G5159" s="3" t="s">
        <v>52</v>
      </c>
      <c r="H5159" s="2" t="s">
        <v>62</v>
      </c>
      <c r="I5159" s="2" t="s">
        <v>12051</v>
      </c>
      <c r="J5159" s="3" t="str">
        <f>HYPERLINK("https://www.boe.es/gazeta/dias/1814/04/12/pdfs/GRE-1814-52.pdf#page=8","Abrir facsímil")</f>
        <v>Abrir facsímil</v>
      </c>
      <c r="K5159" s="3" t="s">
        <v>64</v>
      </c>
    </row>
    <row r="5160" spans="1:11" ht="42" customHeight="1">
      <c r="A5160" s="2" t="s">
        <v>12052</v>
      </c>
      <c r="B5160" s="2" t="s">
        <v>12053</v>
      </c>
      <c r="C5160" s="2" t="s">
        <v>38</v>
      </c>
      <c r="D5160" s="2" t="s">
        <v>39</v>
      </c>
      <c r="E5160" s="5">
        <v>-31378</v>
      </c>
      <c r="F5160" s="3" t="s">
        <v>98</v>
      </c>
      <c r="G5160" s="3" t="s">
        <v>52</v>
      </c>
      <c r="H5160" s="2" t="s">
        <v>62</v>
      </c>
      <c r="I5160" s="2" t="s">
        <v>12054</v>
      </c>
      <c r="J5160" s="3" t="str">
        <f>HYPERLINK("https://www.boe.es/gazeta/dias/1814/02/01/pdfs/GRE-1814-15.pdf#page=8","Abrir facsímil")</f>
        <v>Abrir facsímil</v>
      </c>
      <c r="K5160" s="3" t="s">
        <v>64</v>
      </c>
    </row>
    <row r="5161" spans="1:11" ht="42" customHeight="1">
      <c r="A5161" s="2" t="s">
        <v>12055</v>
      </c>
      <c r="B5161" s="2" t="s">
        <v>12056</v>
      </c>
      <c r="C5161" s="2" t="s">
        <v>38</v>
      </c>
      <c r="D5161" s="2" t="s">
        <v>39</v>
      </c>
      <c r="E5161" s="5">
        <v>-31215</v>
      </c>
      <c r="F5161" s="3" t="s">
        <v>372</v>
      </c>
      <c r="G5161" s="3" t="s">
        <v>704</v>
      </c>
      <c r="H5161" s="2" t="s">
        <v>62</v>
      </c>
      <c r="I5161" s="2" t="s">
        <v>12057</v>
      </c>
      <c r="J5161" s="3" t="str">
        <f>HYPERLINK("https://www.boe.es/gazeta/dias/1814/07/14/pdfs/GMD-1814-98.pdf#page=10","Abrir facsímil")</f>
        <v>Abrir facsímil</v>
      </c>
      <c r="K5161" s="3" t="s">
        <v>64</v>
      </c>
    </row>
    <row r="5162" spans="1:11" ht="42" customHeight="1">
      <c r="A5162" s="2" t="s">
        <v>12055</v>
      </c>
      <c r="B5162" s="2" t="s">
        <v>12056</v>
      </c>
      <c r="C5162" s="2" t="s">
        <v>38</v>
      </c>
      <c r="D5162" s="2" t="s">
        <v>39</v>
      </c>
      <c r="E5162" s="5">
        <v>-31213</v>
      </c>
      <c r="F5162" s="3" t="s">
        <v>276</v>
      </c>
      <c r="G5162" s="3" t="s">
        <v>52</v>
      </c>
      <c r="H5162" s="2" t="s">
        <v>62</v>
      </c>
      <c r="I5162" s="2" t="s">
        <v>12058</v>
      </c>
      <c r="J5162" s="3" t="str">
        <f>HYPERLINK("https://www.boe.es/gazeta/dias/1814/07/16/pdfs/GMD-1814-99.pdf#page=8","Abrir facsímil")</f>
        <v>Abrir facsímil</v>
      </c>
      <c r="K5162" s="3" t="s">
        <v>64</v>
      </c>
    </row>
    <row r="5163" spans="1:11" ht="42" customHeight="1">
      <c r="A5163" s="2" t="s">
        <v>12055</v>
      </c>
      <c r="B5163" s="2" t="s">
        <v>12056</v>
      </c>
      <c r="C5163" s="2" t="s">
        <v>38</v>
      </c>
      <c r="D5163" s="2" t="s">
        <v>39</v>
      </c>
      <c r="E5163" s="5">
        <v>-31175</v>
      </c>
      <c r="F5163" s="3" t="s">
        <v>145</v>
      </c>
      <c r="G5163" s="3" t="s">
        <v>41</v>
      </c>
      <c r="H5163" s="2" t="s">
        <v>62</v>
      </c>
      <c r="I5163" s="2" t="s">
        <v>12059</v>
      </c>
      <c r="J5163" s="3" t="str">
        <f>HYPERLINK("https://www.boe.es/gazeta/dias/1814/08/23/pdfs/GMD-1814-115.pdf#page=4","Abrir facsímil")</f>
        <v>Abrir facsímil</v>
      </c>
      <c r="K5163" s="3" t="s">
        <v>64</v>
      </c>
    </row>
    <row r="5164" spans="1:11" ht="42" customHeight="1">
      <c r="A5164" s="2" t="s">
        <v>12055</v>
      </c>
      <c r="B5164" s="2" t="s">
        <v>12056</v>
      </c>
      <c r="C5164" s="2" t="s">
        <v>38</v>
      </c>
      <c r="D5164" s="2" t="s">
        <v>39</v>
      </c>
      <c r="E5164" s="5">
        <v>-31175</v>
      </c>
      <c r="F5164" s="3" t="s">
        <v>145</v>
      </c>
      <c r="G5164" s="3" t="s">
        <v>99</v>
      </c>
      <c r="H5164" s="2" t="s">
        <v>62</v>
      </c>
      <c r="I5164" s="2" t="s">
        <v>12060</v>
      </c>
      <c r="J5164" s="3" t="str">
        <f>HYPERLINK("https://www.boe.es/gazeta/dias/1814/08/23/pdfs/GMD-1814-115.pdf#page=5","Abrir facsímil")</f>
        <v>Abrir facsímil</v>
      </c>
      <c r="K5164" s="3" t="s">
        <v>64</v>
      </c>
    </row>
    <row r="5165" spans="1:11" ht="42" customHeight="1">
      <c r="A5165" s="2" t="s">
        <v>12061</v>
      </c>
      <c r="B5165" s="2" t="s">
        <v>12062</v>
      </c>
      <c r="C5165" s="2" t="s">
        <v>26</v>
      </c>
      <c r="D5165" s="2" t="s">
        <v>27</v>
      </c>
      <c r="E5165" s="5">
        <v>-31185</v>
      </c>
      <c r="F5165" s="3" t="s">
        <v>1238</v>
      </c>
      <c r="G5165" s="3" t="s">
        <v>52</v>
      </c>
      <c r="H5165" s="2" t="s">
        <v>62</v>
      </c>
      <c r="I5165" s="2" t="s">
        <v>12063</v>
      </c>
      <c r="J5165" s="3" t="str">
        <f>HYPERLINK("https://www.boe.es/gazeta/dias/1814/08/13/pdfs/GMD-1814-111.pdf#page=8","Abrir facsímil")</f>
        <v>Abrir facsímil</v>
      </c>
      <c r="K5165" s="3" t="s">
        <v>64</v>
      </c>
    </row>
    <row r="5166" spans="1:11" ht="42" customHeight="1">
      <c r="A5166" s="2" t="s">
        <v>12064</v>
      </c>
      <c r="B5166" s="2" t="s">
        <v>12065</v>
      </c>
      <c r="C5166" s="2" t="s">
        <v>38</v>
      </c>
      <c r="D5166" s="2" t="s">
        <v>39</v>
      </c>
      <c r="E5166" s="5">
        <v>-31124</v>
      </c>
      <c r="F5166" s="3" t="s">
        <v>383</v>
      </c>
      <c r="G5166" s="3" t="s">
        <v>574</v>
      </c>
      <c r="H5166" s="2" t="s">
        <v>62</v>
      </c>
      <c r="I5166" s="2" t="s">
        <v>12066</v>
      </c>
      <c r="J5166" s="3" t="str">
        <f>HYPERLINK("https://www.boe.es/gazeta/dias/1814/10/13/pdfs/GMD-1814-138.pdf#page=10","Abrir facsímil")</f>
        <v>Abrir facsímil</v>
      </c>
      <c r="K5166" s="3" t="s">
        <v>64</v>
      </c>
    </row>
    <row r="5167" spans="1:11" ht="42" customHeight="1">
      <c r="A5167" s="2" t="s">
        <v>12067</v>
      </c>
      <c r="B5167" s="2" t="s">
        <v>12068</v>
      </c>
      <c r="C5167" s="2" t="s">
        <v>38</v>
      </c>
      <c r="D5167" s="2" t="s">
        <v>39</v>
      </c>
      <c r="E5167" s="5">
        <v>-31276</v>
      </c>
      <c r="F5167" s="3" t="s">
        <v>494</v>
      </c>
      <c r="G5167" s="3" t="s">
        <v>99</v>
      </c>
      <c r="H5167" s="2" t="s">
        <v>62</v>
      </c>
      <c r="I5167" s="2" t="s">
        <v>12069</v>
      </c>
      <c r="J5167" s="3" t="str">
        <f>HYPERLINK("https://www.boe.es/gazeta/dias/1814/05/14/pdfs/GMD-1814-71.pdf#page=5","Abrir facsímil")</f>
        <v>Abrir facsímil</v>
      </c>
      <c r="K5167" s="3" t="s">
        <v>64</v>
      </c>
    </row>
    <row r="5168" spans="1:11" ht="42" customHeight="1">
      <c r="A5168" s="2" t="s">
        <v>12070</v>
      </c>
      <c r="B5168" s="2" t="s">
        <v>12071</v>
      </c>
      <c r="C5168" s="2" t="s">
        <v>38</v>
      </c>
      <c r="D5168" s="2" t="s">
        <v>39</v>
      </c>
      <c r="E5168" s="5">
        <v>-31213</v>
      </c>
      <c r="F5168" s="3" t="s">
        <v>276</v>
      </c>
      <c r="G5168" s="3" t="s">
        <v>57</v>
      </c>
      <c r="H5168" s="2" t="s">
        <v>62</v>
      </c>
      <c r="I5168" s="2" t="s">
        <v>12072</v>
      </c>
      <c r="J5168" s="3" t="str">
        <f>HYPERLINK("https://www.boe.es/gazeta/dias/1814/07/16/pdfs/GMD-1814-99.pdf#page=6","Abrir facsímil")</f>
        <v>Abrir facsímil</v>
      </c>
      <c r="K5168" s="3" t="s">
        <v>64</v>
      </c>
    </row>
    <row r="5169" spans="1:11" ht="42" customHeight="1">
      <c r="A5169" s="2" t="s">
        <v>12073</v>
      </c>
      <c r="B5169" s="2" t="s">
        <v>12074</v>
      </c>
      <c r="C5169" s="2" t="s">
        <v>45</v>
      </c>
      <c r="D5169" s="2" t="s">
        <v>18</v>
      </c>
      <c r="E5169" s="5">
        <v>-31131</v>
      </c>
      <c r="F5169" s="3" t="s">
        <v>132</v>
      </c>
      <c r="G5169" s="3" t="s">
        <v>20</v>
      </c>
      <c r="H5169" s="2" t="s">
        <v>62</v>
      </c>
      <c r="I5169" s="2" t="s">
        <v>12075</v>
      </c>
      <c r="J5169" s="3" t="str">
        <f>HYPERLINK("https://www.boe.es/gazeta/dias/1814/10/06/pdfs/GMD-1814-135.pdf#page=7","Abrir facsímil")</f>
        <v>Abrir facsímil</v>
      </c>
      <c r="K5169" s="3" t="s">
        <v>64</v>
      </c>
    </row>
    <row r="5170" spans="1:11" ht="42" customHeight="1">
      <c r="A5170" s="2" t="s">
        <v>12076</v>
      </c>
      <c r="B5170" s="2" t="s">
        <v>12076</v>
      </c>
      <c r="C5170" s="2" t="s">
        <v>38</v>
      </c>
      <c r="D5170" s="2" t="s">
        <v>39</v>
      </c>
      <c r="E5170" s="5">
        <v>-31336</v>
      </c>
      <c r="F5170" s="3" t="s">
        <v>1789</v>
      </c>
      <c r="G5170" s="3" t="s">
        <v>20</v>
      </c>
      <c r="H5170" s="2" t="s">
        <v>62</v>
      </c>
      <c r="I5170" s="2" t="s">
        <v>12077</v>
      </c>
      <c r="J5170" s="3" t="str">
        <f>HYPERLINK("https://www.boe.es/gazeta/dias/1814/03/15/pdfs/GRE-1814-36.pdf#page=7","Abrir facsímil")</f>
        <v>Abrir facsímil</v>
      </c>
      <c r="K5170" s="3" t="s">
        <v>64</v>
      </c>
    </row>
    <row r="5171" spans="1:11" ht="42" customHeight="1">
      <c r="A5171" s="2" t="s">
        <v>12078</v>
      </c>
      <c r="B5171" s="2" t="s">
        <v>12079</v>
      </c>
      <c r="C5171" s="2" t="s">
        <v>38</v>
      </c>
      <c r="D5171" s="2" t="s">
        <v>39</v>
      </c>
      <c r="E5171" s="5">
        <v>-31220</v>
      </c>
      <c r="F5171" s="3" t="s">
        <v>122</v>
      </c>
      <c r="G5171" s="3" t="s">
        <v>82</v>
      </c>
      <c r="H5171" s="2" t="s">
        <v>21</v>
      </c>
      <c r="I5171" s="2" t="s">
        <v>12080</v>
      </c>
      <c r="J5171" s="3" t="str">
        <f>HYPERLINK("https://www.boe.es/gazeta/dias/1814/07/09/pdfs/GMD-1814-96.pdf#page=3","Abrir facsímil")</f>
        <v>Abrir facsímil</v>
      </c>
      <c r="K5171" s="3" t="s">
        <v>23</v>
      </c>
    </row>
    <row r="5172" spans="1:11" ht="42" customHeight="1">
      <c r="A5172" s="2" t="s">
        <v>12081</v>
      </c>
      <c r="B5172" s="2" t="s">
        <v>12082</v>
      </c>
      <c r="C5172" s="2" t="s">
        <v>26</v>
      </c>
      <c r="D5172" s="2" t="s">
        <v>27</v>
      </c>
      <c r="E5172" s="5">
        <v>-31159</v>
      </c>
      <c r="F5172" s="3" t="s">
        <v>1175</v>
      </c>
      <c r="G5172" s="3" t="s">
        <v>99</v>
      </c>
      <c r="H5172" s="2" t="s">
        <v>62</v>
      </c>
      <c r="I5172" s="2" t="s">
        <v>12083</v>
      </c>
      <c r="J5172" s="3" t="str">
        <f>HYPERLINK("https://www.boe.es/gazeta/dias/1814/09/08/pdfs/GMD-1814-123.pdf#page=5","Abrir facsímil")</f>
        <v>Abrir facsímil</v>
      </c>
      <c r="K5172" s="3" t="s">
        <v>64</v>
      </c>
    </row>
    <row r="5173" spans="1:11" ht="42" customHeight="1">
      <c r="A5173" s="2" t="s">
        <v>12084</v>
      </c>
      <c r="B5173" s="2" t="s">
        <v>12085</v>
      </c>
      <c r="C5173" s="2" t="s">
        <v>26</v>
      </c>
      <c r="D5173" s="2" t="s">
        <v>27</v>
      </c>
      <c r="E5173" s="5">
        <v>-31178</v>
      </c>
      <c r="F5173" s="3" t="s">
        <v>1390</v>
      </c>
      <c r="G5173" s="3" t="s">
        <v>99</v>
      </c>
      <c r="H5173" s="2" t="s">
        <v>62</v>
      </c>
      <c r="I5173" s="2" t="s">
        <v>12086</v>
      </c>
      <c r="J5173" s="3" t="str">
        <f>HYPERLINK("https://www.boe.es/gazeta/dias/1814/08/20/pdfs/GMD-1814-114.pdf#page=5","Abrir facsímil")</f>
        <v>Abrir facsímil</v>
      </c>
      <c r="K5173" s="3" t="s">
        <v>64</v>
      </c>
    </row>
    <row r="5174" spans="1:11" ht="42" customHeight="1">
      <c r="A5174" s="2" t="s">
        <v>12087</v>
      </c>
      <c r="B5174" s="2" t="s">
        <v>12088</v>
      </c>
      <c r="C5174" s="2" t="s">
        <v>26</v>
      </c>
      <c r="D5174" s="2" t="s">
        <v>27</v>
      </c>
      <c r="E5174" s="5">
        <v>-31049</v>
      </c>
      <c r="F5174" s="3" t="s">
        <v>542</v>
      </c>
      <c r="G5174" s="3" t="s">
        <v>1035</v>
      </c>
      <c r="H5174" s="2" t="s">
        <v>62</v>
      </c>
      <c r="I5174" s="2" t="s">
        <v>12089</v>
      </c>
      <c r="J5174" s="3" t="str">
        <f>HYPERLINK("https://www.boe.es/gazeta/dias/1814/12/27/pdfs/GMD-1814-171.pdf#page=6","Abrir facsímil")</f>
        <v>Abrir facsímil</v>
      </c>
      <c r="K5174" s="3" t="s">
        <v>64</v>
      </c>
    </row>
    <row r="5175" spans="1:11" ht="42" customHeight="1">
      <c r="A5175" s="2" t="s">
        <v>12090</v>
      </c>
      <c r="B5175" s="2" t="s">
        <v>12091</v>
      </c>
      <c r="C5175" s="2" t="s">
        <v>38</v>
      </c>
      <c r="D5175" s="2" t="s">
        <v>39</v>
      </c>
      <c r="E5175" s="5">
        <v>-31399</v>
      </c>
      <c r="F5175" s="3" t="s">
        <v>218</v>
      </c>
      <c r="G5175" s="3" t="s">
        <v>219</v>
      </c>
      <c r="H5175" s="2" t="s">
        <v>62</v>
      </c>
      <c r="I5175" s="2" t="s">
        <v>12092</v>
      </c>
      <c r="J5175" s="3" t="str">
        <f>HYPERLINK("https://www.boe.es/gazeta/dias/1814/01/11/pdfs/GRE-1814-6.pdf#page=8","Abrir facsímil")</f>
        <v>Abrir facsímil</v>
      </c>
      <c r="K5175" s="3" t="s">
        <v>64</v>
      </c>
    </row>
    <row r="5176" spans="1:11" ht="42" customHeight="1">
      <c r="A5176" s="2" t="s">
        <v>12093</v>
      </c>
      <c r="B5176" s="2" t="s">
        <v>12094</v>
      </c>
      <c r="C5176" s="2" t="s">
        <v>26</v>
      </c>
      <c r="D5176" s="2" t="s">
        <v>27</v>
      </c>
      <c r="E5176" s="5">
        <v>-31203</v>
      </c>
      <c r="F5176" s="3" t="s">
        <v>512</v>
      </c>
      <c r="G5176" s="3" t="s">
        <v>41</v>
      </c>
      <c r="H5176" s="2" t="s">
        <v>62</v>
      </c>
      <c r="I5176" s="2" t="s">
        <v>12095</v>
      </c>
      <c r="J5176" s="3" t="str">
        <f>HYPERLINK("https://www.boe.es/gazeta/dias/1814/07/26/pdfs/GMD-1814-103.pdf#page=4","Abrir facsímil")</f>
        <v>Abrir facsímil</v>
      </c>
      <c r="K5176" s="3" t="s">
        <v>64</v>
      </c>
    </row>
    <row r="5177" spans="1:11" ht="42" customHeight="1">
      <c r="A5177" s="2" t="s">
        <v>12096</v>
      </c>
      <c r="B5177" s="2" t="s">
        <v>12097</v>
      </c>
      <c r="C5177" s="2" t="s">
        <v>144</v>
      </c>
      <c r="D5177" s="2" t="s">
        <v>18</v>
      </c>
      <c r="E5177" s="5">
        <v>-31045</v>
      </c>
      <c r="F5177" s="3" t="s">
        <v>165</v>
      </c>
      <c r="G5177" s="3" t="s">
        <v>52</v>
      </c>
      <c r="H5177" s="2" t="s">
        <v>62</v>
      </c>
      <c r="I5177" s="2" t="s">
        <v>12098</v>
      </c>
      <c r="J5177" s="3" t="str">
        <f>HYPERLINK("https://www.boe.es/gazeta/dias/1814/12/31/pdfs/GMD-1814-173.pdf#page=8","Abrir facsímil")</f>
        <v>Abrir facsímil</v>
      </c>
      <c r="K5177" s="3" t="s">
        <v>64</v>
      </c>
    </row>
    <row r="5178" spans="1:11" ht="42" customHeight="1">
      <c r="A5178" s="2" t="s">
        <v>12099</v>
      </c>
      <c r="B5178" s="2" t="s">
        <v>12100</v>
      </c>
      <c r="C5178" s="2" t="s">
        <v>38</v>
      </c>
      <c r="D5178" s="2" t="s">
        <v>39</v>
      </c>
      <c r="E5178" s="5">
        <v>-31087</v>
      </c>
      <c r="F5178" s="3" t="s">
        <v>118</v>
      </c>
      <c r="G5178" s="3" t="s">
        <v>52</v>
      </c>
      <c r="H5178" s="2" t="s">
        <v>62</v>
      </c>
      <c r="I5178" s="2" t="s">
        <v>12101</v>
      </c>
      <c r="J5178" s="3" t="str">
        <f>HYPERLINK("https://www.boe.es/gazeta/dias/1814/11/19/pdfs/GMD-1814-154.pdf#page=8","Abrir facsímil")</f>
        <v>Abrir facsímil</v>
      </c>
      <c r="K5178" s="3" t="s">
        <v>64</v>
      </c>
    </row>
    <row r="5179" spans="1:11" ht="42" customHeight="1">
      <c r="A5179" s="2" t="s">
        <v>12102</v>
      </c>
      <c r="B5179" s="2" t="s">
        <v>12103</v>
      </c>
      <c r="C5179" s="2" t="s">
        <v>38</v>
      </c>
      <c r="D5179" s="2" t="s">
        <v>39</v>
      </c>
      <c r="E5179" s="5">
        <v>-31180</v>
      </c>
      <c r="F5179" s="3" t="s">
        <v>520</v>
      </c>
      <c r="G5179" s="3" t="s">
        <v>602</v>
      </c>
      <c r="H5179" s="2" t="s">
        <v>62</v>
      </c>
      <c r="I5179" s="2" t="s">
        <v>12104</v>
      </c>
      <c r="J5179" s="3" t="str">
        <f>HYPERLINK("https://www.boe.es/gazeta/dias/1814/08/18/pdfs/GMD-1814-113.pdf#page=8","Abrir facsímil")</f>
        <v>Abrir facsímil</v>
      </c>
      <c r="K5179" s="3" t="s">
        <v>64</v>
      </c>
    </row>
    <row r="5180" spans="1:11" ht="42" customHeight="1">
      <c r="A5180" s="2" t="s">
        <v>12105</v>
      </c>
      <c r="B5180" s="2" t="s">
        <v>12106</v>
      </c>
      <c r="C5180" s="2" t="s">
        <v>45</v>
      </c>
      <c r="D5180" s="2" t="s">
        <v>18</v>
      </c>
      <c r="E5180" s="5">
        <v>-31180</v>
      </c>
      <c r="F5180" s="3" t="s">
        <v>520</v>
      </c>
      <c r="G5180" s="3" t="s">
        <v>602</v>
      </c>
      <c r="H5180" s="2" t="s">
        <v>62</v>
      </c>
      <c r="I5180" s="2" t="s">
        <v>12107</v>
      </c>
      <c r="J5180" s="3" t="str">
        <f>HYPERLINK("https://www.boe.es/gazeta/dias/1814/08/18/pdfs/GMD-1814-113.pdf#page=8","Abrir facsímil")</f>
        <v>Abrir facsímil</v>
      </c>
      <c r="K5180" s="3" t="s">
        <v>64</v>
      </c>
    </row>
    <row r="5181" spans="1:11" ht="42" customHeight="1">
      <c r="A5181" s="2" t="s">
        <v>12108</v>
      </c>
      <c r="B5181" s="2" t="s">
        <v>12108</v>
      </c>
      <c r="C5181" s="2" t="s">
        <v>38</v>
      </c>
      <c r="D5181" s="2" t="s">
        <v>39</v>
      </c>
      <c r="E5181" s="5">
        <v>-31388</v>
      </c>
      <c r="F5181" s="3" t="s">
        <v>1299</v>
      </c>
      <c r="G5181" s="3" t="s">
        <v>5761</v>
      </c>
      <c r="H5181" s="2" t="s">
        <v>62</v>
      </c>
      <c r="I5181" s="2" t="s">
        <v>12109</v>
      </c>
      <c r="J5181" s="3" t="str">
        <f>HYPERLINK("https://www.boe.es/gazeta/dias/1814/01/22/pdfs/GRE-1814-11.pdf#page=6","Abrir facsímil")</f>
        <v>Abrir facsímil</v>
      </c>
      <c r="K5181" s="3" t="s">
        <v>64</v>
      </c>
    </row>
    <row r="5182" spans="1:11" ht="42" customHeight="1">
      <c r="A5182" s="2" t="s">
        <v>12110</v>
      </c>
      <c r="B5182" s="2" t="s">
        <v>12111</v>
      </c>
      <c r="C5182" s="2" t="s">
        <v>38</v>
      </c>
      <c r="D5182" s="2" t="s">
        <v>39</v>
      </c>
      <c r="E5182" s="5">
        <v>-31388</v>
      </c>
      <c r="F5182" s="3" t="s">
        <v>1299</v>
      </c>
      <c r="G5182" s="3" t="s">
        <v>99</v>
      </c>
      <c r="H5182" s="2" t="s">
        <v>62</v>
      </c>
      <c r="I5182" s="2" t="s">
        <v>12112</v>
      </c>
      <c r="J5182" s="3" t="str">
        <f>HYPERLINK("https://www.boe.es/gazeta/dias/1814/01/22/pdfs/GRE-1814-11.pdf#page=5","Abrir facsímil")</f>
        <v>Abrir facsímil</v>
      </c>
      <c r="K5182" s="3" t="s">
        <v>64</v>
      </c>
    </row>
    <row r="5183" spans="1:11" ht="42" customHeight="1">
      <c r="A5183" s="2" t="s">
        <v>12110</v>
      </c>
      <c r="B5183" s="2" t="s">
        <v>12111</v>
      </c>
      <c r="C5183" s="2" t="s">
        <v>38</v>
      </c>
      <c r="D5183" s="2" t="s">
        <v>39</v>
      </c>
      <c r="E5183" s="5">
        <v>-31388</v>
      </c>
      <c r="F5183" s="3" t="s">
        <v>1299</v>
      </c>
      <c r="G5183" s="3" t="s">
        <v>52</v>
      </c>
      <c r="H5183" s="2" t="s">
        <v>62</v>
      </c>
      <c r="I5183" s="2" t="s">
        <v>12113</v>
      </c>
      <c r="J5183" s="3" t="str">
        <f>HYPERLINK("https://www.boe.es/gazeta/dias/1814/01/22/pdfs/GRE-1814-11.pdf#page=8","Abrir facsímil")</f>
        <v>Abrir facsímil</v>
      </c>
      <c r="K5183" s="3" t="s">
        <v>64</v>
      </c>
    </row>
    <row r="5184" spans="1:11" ht="42" customHeight="1">
      <c r="A5184" s="2" t="s">
        <v>12114</v>
      </c>
      <c r="B5184" s="2" t="s">
        <v>12115</v>
      </c>
      <c r="C5184" s="2" t="s">
        <v>38</v>
      </c>
      <c r="D5184" s="2" t="s">
        <v>39</v>
      </c>
      <c r="E5184" s="5">
        <v>-31140</v>
      </c>
      <c r="F5184" s="3" t="s">
        <v>525</v>
      </c>
      <c r="G5184" s="3" t="s">
        <v>82</v>
      </c>
      <c r="H5184" s="2" t="s">
        <v>62</v>
      </c>
      <c r="I5184" s="2" t="s">
        <v>12116</v>
      </c>
      <c r="J5184" s="3" t="str">
        <f>HYPERLINK("https://www.boe.es/gazeta/dias/1814/09/27/pdfs/GMD-1814-131.pdf#page=3","Abrir facsímil")</f>
        <v>Abrir facsímil</v>
      </c>
      <c r="K5184" s="3" t="s">
        <v>64</v>
      </c>
    </row>
    <row r="5185" spans="1:11" ht="42" customHeight="1">
      <c r="A5185" s="2" t="s">
        <v>12117</v>
      </c>
      <c r="B5185" s="2" t="s">
        <v>12118</v>
      </c>
      <c r="C5185" s="2" t="s">
        <v>38</v>
      </c>
      <c r="D5185" s="2" t="s">
        <v>39</v>
      </c>
      <c r="E5185" s="5">
        <v>-31381</v>
      </c>
      <c r="F5185" s="3" t="s">
        <v>989</v>
      </c>
      <c r="G5185" s="3" t="s">
        <v>52</v>
      </c>
      <c r="H5185" s="2" t="s">
        <v>62</v>
      </c>
      <c r="I5185" s="2" t="s">
        <v>12119</v>
      </c>
      <c r="J5185" s="3" t="str">
        <f>HYPERLINK("https://www.boe.es/gazeta/dias/1814/01/29/pdfs/GRE-1814-14.pdf#page=8","Abrir facsímil")</f>
        <v>Abrir facsímil</v>
      </c>
      <c r="K5185" s="3" t="s">
        <v>64</v>
      </c>
    </row>
    <row r="5186" spans="1:11" ht="42" customHeight="1">
      <c r="A5186" s="2" t="s">
        <v>12120</v>
      </c>
      <c r="B5186" s="2" t="s">
        <v>12121</v>
      </c>
      <c r="C5186" s="2" t="s">
        <v>38</v>
      </c>
      <c r="D5186" s="2" t="s">
        <v>314</v>
      </c>
      <c r="E5186" s="5">
        <v>-31296</v>
      </c>
      <c r="F5186" s="3" t="s">
        <v>315</v>
      </c>
      <c r="G5186" s="3" t="s">
        <v>57</v>
      </c>
      <c r="H5186" s="2" t="s">
        <v>62</v>
      </c>
      <c r="I5186" s="2" t="s">
        <v>12122</v>
      </c>
      <c r="J5186" s="3" t="str">
        <f>HYPERLINK("https://www.boe.es/gazeta/dias/1814/04/24/pdfs/GRE-1814-60E.pdf#page=6","Abrir facsímil")</f>
        <v>Abrir facsímil</v>
      </c>
      <c r="K5186" s="3" t="s">
        <v>64</v>
      </c>
    </row>
    <row r="5187" spans="1:11" ht="42" customHeight="1">
      <c r="A5187" s="2" t="s">
        <v>12123</v>
      </c>
      <c r="B5187" s="2" t="s">
        <v>12124</v>
      </c>
      <c r="C5187" s="2" t="s">
        <v>17</v>
      </c>
      <c r="D5187" s="2" t="s">
        <v>314</v>
      </c>
      <c r="E5187" s="5">
        <v>-31296</v>
      </c>
      <c r="F5187" s="3" t="s">
        <v>315</v>
      </c>
      <c r="G5187" s="3" t="s">
        <v>52</v>
      </c>
      <c r="H5187" s="2" t="s">
        <v>62</v>
      </c>
      <c r="I5187" s="2" t="s">
        <v>12125</v>
      </c>
      <c r="J5187" s="3" t="str">
        <f>HYPERLINK("https://www.boe.es/gazeta/dias/1814/04/24/pdfs/GRE-1814-60E.pdf#page=8","Abrir facsímil")</f>
        <v>Abrir facsímil</v>
      </c>
      <c r="K5187" s="3" t="s">
        <v>64</v>
      </c>
    </row>
    <row r="5188" spans="1:11" ht="42" customHeight="1">
      <c r="A5188" s="2" t="s">
        <v>12126</v>
      </c>
      <c r="B5188" s="2" t="s">
        <v>12127</v>
      </c>
      <c r="C5188" s="2" t="s">
        <v>105</v>
      </c>
      <c r="D5188" s="2" t="s">
        <v>18</v>
      </c>
      <c r="E5188" s="5">
        <v>-31234</v>
      </c>
      <c r="F5188" s="3" t="s">
        <v>462</v>
      </c>
      <c r="G5188" s="3" t="s">
        <v>99</v>
      </c>
      <c r="H5188" s="2" t="s">
        <v>62</v>
      </c>
      <c r="I5188" s="2" t="s">
        <v>12128</v>
      </c>
      <c r="J5188" s="3" t="str">
        <f>HYPERLINK("https://www.boe.es/gazeta/dias/1814/06/25/pdfs/GMD-1814-90.pdf#page=5","Abrir facsímil")</f>
        <v>Abrir facsímil</v>
      </c>
      <c r="K5188" s="3" t="s">
        <v>64</v>
      </c>
    </row>
    <row r="5189" spans="1:11" ht="42" customHeight="1">
      <c r="A5189" s="2" t="s">
        <v>12126</v>
      </c>
      <c r="B5189" s="2" t="s">
        <v>12127</v>
      </c>
      <c r="C5189" s="2" t="s">
        <v>38</v>
      </c>
      <c r="D5189" s="2" t="s">
        <v>39</v>
      </c>
      <c r="E5189" s="5">
        <v>-31222</v>
      </c>
      <c r="F5189" s="3" t="s">
        <v>153</v>
      </c>
      <c r="G5189" s="3" t="s">
        <v>322</v>
      </c>
      <c r="H5189" s="2" t="s">
        <v>62</v>
      </c>
      <c r="I5189" s="2" t="s">
        <v>12129</v>
      </c>
      <c r="J5189" s="3" t="str">
        <f>HYPERLINK("https://www.boe.es/gazeta/dias/1814/07/07/pdfs/GMD-1814-95.pdf#page=12","Abrir facsímil")</f>
        <v>Abrir facsímil</v>
      </c>
      <c r="K5189" s="3" t="s">
        <v>64</v>
      </c>
    </row>
    <row r="5190" spans="1:11" ht="42" customHeight="1">
      <c r="A5190" s="2" t="s">
        <v>12130</v>
      </c>
      <c r="B5190" s="2" t="s">
        <v>12131</v>
      </c>
      <c r="C5190" s="2" t="s">
        <v>105</v>
      </c>
      <c r="D5190" s="2" t="s">
        <v>18</v>
      </c>
      <c r="E5190" s="5">
        <v>-31369</v>
      </c>
      <c r="F5190" s="3" t="s">
        <v>695</v>
      </c>
      <c r="G5190" s="3" t="s">
        <v>1872</v>
      </c>
      <c r="H5190" s="2" t="s">
        <v>62</v>
      </c>
      <c r="I5190" s="2" t="s">
        <v>12132</v>
      </c>
      <c r="J5190" s="3" t="str">
        <f>HYPERLINK("https://www.boe.es/gazeta/dias/1814/02/10/pdfs/GRE-1814-19.pdf#page=8","Abrir facsímil")</f>
        <v>Abrir facsímil</v>
      </c>
      <c r="K5190" s="3" t="s">
        <v>64</v>
      </c>
    </row>
    <row r="5191" spans="1:11" ht="42" customHeight="1">
      <c r="A5191" s="2" t="s">
        <v>12133</v>
      </c>
      <c r="B5191" s="2" t="s">
        <v>12134</v>
      </c>
      <c r="C5191" s="2" t="s">
        <v>38</v>
      </c>
      <c r="D5191" s="2" t="s">
        <v>39</v>
      </c>
      <c r="E5191" s="5">
        <v>-31110</v>
      </c>
      <c r="F5191" s="3" t="s">
        <v>149</v>
      </c>
      <c r="G5191" s="3" t="s">
        <v>99</v>
      </c>
      <c r="H5191" s="2" t="s">
        <v>62</v>
      </c>
      <c r="I5191" s="2" t="s">
        <v>12135</v>
      </c>
      <c r="J5191" s="3" t="str">
        <f>HYPERLINK("https://www.boe.es/gazeta/dias/1814/10/27/pdfs/GMD-1814-144.pdf#page=5","Abrir facsímil")</f>
        <v>Abrir facsímil</v>
      </c>
      <c r="K5191" s="3" t="s">
        <v>64</v>
      </c>
    </row>
    <row r="5192" spans="1:11" ht="42" customHeight="1">
      <c r="A5192" s="2" t="s">
        <v>12136</v>
      </c>
      <c r="B5192" s="2" t="s">
        <v>12136</v>
      </c>
      <c r="C5192" s="2" t="s">
        <v>38</v>
      </c>
      <c r="D5192" s="2" t="s">
        <v>39</v>
      </c>
      <c r="E5192" s="5">
        <v>-31329</v>
      </c>
      <c r="F5192" s="3" t="s">
        <v>621</v>
      </c>
      <c r="G5192" s="3" t="s">
        <v>57</v>
      </c>
      <c r="H5192" s="2" t="s">
        <v>62</v>
      </c>
      <c r="I5192" s="2" t="s">
        <v>12137</v>
      </c>
      <c r="J5192" s="3" t="str">
        <f>HYPERLINK("https://www.boe.es/gazeta/dias/1814/03/22/pdfs/GRE-1814-39.pdf#page=6","Abrir facsímil")</f>
        <v>Abrir facsímil</v>
      </c>
      <c r="K5192" s="3" t="s">
        <v>64</v>
      </c>
    </row>
    <row r="5193" spans="1:11" ht="42" customHeight="1">
      <c r="A5193" s="2" t="s">
        <v>12138</v>
      </c>
      <c r="B5193" s="2" t="s">
        <v>12139</v>
      </c>
      <c r="C5193" s="2" t="s">
        <v>38</v>
      </c>
      <c r="D5193" s="2" t="s">
        <v>39</v>
      </c>
      <c r="E5193" s="5">
        <v>-31164</v>
      </c>
      <c r="F5193" s="3" t="s">
        <v>1423</v>
      </c>
      <c r="G5193" s="3" t="s">
        <v>52</v>
      </c>
      <c r="H5193" s="2" t="s">
        <v>62</v>
      </c>
      <c r="I5193" s="2" t="s">
        <v>12140</v>
      </c>
      <c r="J5193" s="3" t="str">
        <f>HYPERLINK("https://www.boe.es/gazeta/dias/1814/09/03/pdfs/GMD-1814-121.pdf#page=8","Abrir facsímil")</f>
        <v>Abrir facsímil</v>
      </c>
      <c r="K5193" s="3" t="s">
        <v>64</v>
      </c>
    </row>
    <row r="5194" spans="1:11" ht="42" customHeight="1">
      <c r="A5194" s="2" t="s">
        <v>12141</v>
      </c>
      <c r="B5194" s="2" t="s">
        <v>12142</v>
      </c>
      <c r="C5194" s="2" t="s">
        <v>17</v>
      </c>
      <c r="D5194" s="2" t="s">
        <v>314</v>
      </c>
      <c r="E5194" s="5">
        <v>-31359</v>
      </c>
      <c r="F5194" s="3" t="s">
        <v>11448</v>
      </c>
      <c r="G5194" s="3" t="s">
        <v>107</v>
      </c>
      <c r="H5194" s="2" t="s">
        <v>62</v>
      </c>
      <c r="I5194" s="2" t="s">
        <v>12143</v>
      </c>
      <c r="J5194" s="3" t="str">
        <f>HYPERLINK("https://www.boe.es/gazeta/dias/1814/02/20/pdfs/GRE-1814-24E.pdf#page=1","Abrir facsímil")</f>
        <v>Abrir facsímil</v>
      </c>
      <c r="K5194" s="3" t="s">
        <v>64</v>
      </c>
    </row>
    <row r="5195" spans="1:11" ht="42" customHeight="1">
      <c r="A5195" s="2" t="s">
        <v>12144</v>
      </c>
      <c r="B5195" s="2" t="s">
        <v>12144</v>
      </c>
      <c r="C5195" s="2" t="s">
        <v>38</v>
      </c>
      <c r="D5195" s="2" t="s">
        <v>39</v>
      </c>
      <c r="E5195" s="5">
        <v>-31241</v>
      </c>
      <c r="F5195" s="3" t="s">
        <v>703</v>
      </c>
      <c r="G5195" s="3" t="s">
        <v>82</v>
      </c>
      <c r="H5195" s="2" t="s">
        <v>62</v>
      </c>
      <c r="I5195" s="2" t="s">
        <v>12145</v>
      </c>
      <c r="J5195" s="3" t="str">
        <f>HYPERLINK("https://www.boe.es/gazeta/dias/1814/06/18/pdfs/GMD-1814-87.pdf#page=3","Abrir facsímil")</f>
        <v>Abrir facsímil</v>
      </c>
      <c r="K5195" s="3" t="s">
        <v>64</v>
      </c>
    </row>
    <row r="5196" spans="1:11" ht="42" customHeight="1">
      <c r="A5196" s="2" t="s">
        <v>12146</v>
      </c>
      <c r="B5196" s="2" t="s">
        <v>12147</v>
      </c>
      <c r="C5196" s="2" t="s">
        <v>105</v>
      </c>
      <c r="D5196" s="2" t="s">
        <v>18</v>
      </c>
      <c r="E5196" s="5">
        <v>-31220</v>
      </c>
      <c r="F5196" s="3" t="s">
        <v>122</v>
      </c>
      <c r="G5196" s="3" t="s">
        <v>57</v>
      </c>
      <c r="H5196" s="2" t="s">
        <v>62</v>
      </c>
      <c r="I5196" s="2" t="s">
        <v>12148</v>
      </c>
      <c r="J5196" s="3" t="str">
        <f>HYPERLINK("https://www.boe.es/gazeta/dias/1814/07/09/pdfs/GMD-1814-96.pdf#page=6","Abrir facsímil")</f>
        <v>Abrir facsímil</v>
      </c>
      <c r="K5196" s="3" t="s">
        <v>64</v>
      </c>
    </row>
    <row r="5197" spans="1:11" ht="42" customHeight="1">
      <c r="A5197" s="2" t="s">
        <v>12149</v>
      </c>
      <c r="B5197" s="2" t="s">
        <v>12150</v>
      </c>
      <c r="C5197" s="2" t="s">
        <v>38</v>
      </c>
      <c r="D5197" s="2" t="s">
        <v>39</v>
      </c>
      <c r="E5197" s="5">
        <v>-31178</v>
      </c>
      <c r="F5197" s="3" t="s">
        <v>1390</v>
      </c>
      <c r="G5197" s="3" t="s">
        <v>20</v>
      </c>
      <c r="H5197" s="2" t="s">
        <v>62</v>
      </c>
      <c r="I5197" s="2" t="s">
        <v>12151</v>
      </c>
      <c r="J5197" s="3" t="str">
        <f>HYPERLINK("https://www.boe.es/gazeta/dias/1814/08/20/pdfs/GMD-1814-114.pdf#page=7","Abrir facsímil")</f>
        <v>Abrir facsímil</v>
      </c>
      <c r="K5197" s="3" t="s">
        <v>64</v>
      </c>
    </row>
    <row r="5198" spans="1:11" ht="42" customHeight="1">
      <c r="A5198" s="2" t="s">
        <v>12152</v>
      </c>
      <c r="B5198" s="2" t="s">
        <v>12153</v>
      </c>
      <c r="C5198" s="2" t="s">
        <v>38</v>
      </c>
      <c r="D5198" s="2" t="s">
        <v>39</v>
      </c>
      <c r="E5198" s="5">
        <v>-31231</v>
      </c>
      <c r="F5198" s="3" t="s">
        <v>861</v>
      </c>
      <c r="G5198" s="3" t="s">
        <v>82</v>
      </c>
      <c r="H5198" s="2" t="s">
        <v>62</v>
      </c>
      <c r="I5198" s="2" t="s">
        <v>12154</v>
      </c>
      <c r="J5198" s="3" t="str">
        <f>HYPERLINK("https://www.boe.es/gazeta/dias/1814/06/28/pdfs/GMD-1814-91.pdf#page=3","Abrir facsímil")</f>
        <v>Abrir facsímil</v>
      </c>
      <c r="K5198" s="3" t="s">
        <v>64</v>
      </c>
    </row>
    <row r="5199" spans="1:11" ht="42" customHeight="1">
      <c r="A5199" s="2" t="s">
        <v>12152</v>
      </c>
      <c r="B5199" s="2" t="s">
        <v>12153</v>
      </c>
      <c r="C5199" s="2" t="s">
        <v>32</v>
      </c>
      <c r="D5199" s="2" t="s">
        <v>18</v>
      </c>
      <c r="E5199" s="5">
        <v>-31143</v>
      </c>
      <c r="F5199" s="3" t="s">
        <v>787</v>
      </c>
      <c r="G5199" s="3" t="s">
        <v>52</v>
      </c>
      <c r="H5199" s="2" t="s">
        <v>62</v>
      </c>
      <c r="I5199" s="2" t="s">
        <v>12155</v>
      </c>
      <c r="J5199" s="3" t="str">
        <f>HYPERLINK("https://www.boe.es/gazeta/dias/1814/09/24/pdfs/GMD-1814-130.pdf#page=8","Abrir facsímil")</f>
        <v>Abrir facsímil</v>
      </c>
      <c r="K5199" s="3" t="s">
        <v>64</v>
      </c>
    </row>
    <row r="5200" spans="1:11" ht="42" customHeight="1">
      <c r="A5200" s="2" t="s">
        <v>12156</v>
      </c>
      <c r="B5200" s="2" t="s">
        <v>12157</v>
      </c>
      <c r="C5200" s="2" t="s">
        <v>26</v>
      </c>
      <c r="D5200" s="2" t="s">
        <v>27</v>
      </c>
      <c r="E5200" s="5">
        <v>-31089</v>
      </c>
      <c r="F5200" s="3" t="s">
        <v>531</v>
      </c>
      <c r="G5200" s="3" t="s">
        <v>107</v>
      </c>
      <c r="H5200" s="2" t="s">
        <v>62</v>
      </c>
      <c r="I5200" s="2" t="s">
        <v>12158</v>
      </c>
      <c r="J5200" s="3" t="str">
        <f>HYPERLINK("https://www.boe.es/gazeta/dias/1814/11/17/pdfs/GMD-1814-153.pdf#page=1","Abrir facsímil")</f>
        <v>Abrir facsímil</v>
      </c>
      <c r="K5200" s="3" t="s">
        <v>64</v>
      </c>
    </row>
    <row r="5201" spans="1:11" ht="42" customHeight="1">
      <c r="A5201" s="2" t="s">
        <v>12159</v>
      </c>
      <c r="B5201" s="2" t="s">
        <v>12160</v>
      </c>
      <c r="C5201" s="2" t="s">
        <v>38</v>
      </c>
      <c r="D5201" s="2" t="s">
        <v>39</v>
      </c>
      <c r="E5201" s="5">
        <v>-31171</v>
      </c>
      <c r="F5201" s="3" t="s">
        <v>157</v>
      </c>
      <c r="G5201" s="3" t="s">
        <v>57</v>
      </c>
      <c r="H5201" s="2" t="s">
        <v>62</v>
      </c>
      <c r="I5201" s="2" t="s">
        <v>12161</v>
      </c>
      <c r="J5201" s="3" t="str">
        <f>HYPERLINK("https://www.boe.es/gazeta/dias/1814/08/27/pdfs/GMD-1814-117.pdf#page=6","Abrir facsímil")</f>
        <v>Abrir facsímil</v>
      </c>
      <c r="K5201" s="3" t="s">
        <v>64</v>
      </c>
    </row>
    <row r="5202" spans="1:11" ht="42" customHeight="1">
      <c r="A5202" s="2" t="s">
        <v>12162</v>
      </c>
      <c r="B5202" s="2" t="s">
        <v>12163</v>
      </c>
      <c r="C5202" s="2" t="s">
        <v>38</v>
      </c>
      <c r="D5202" s="2" t="s">
        <v>39</v>
      </c>
      <c r="E5202" s="5">
        <v>-31124</v>
      </c>
      <c r="F5202" s="3" t="s">
        <v>383</v>
      </c>
      <c r="G5202" s="3" t="s">
        <v>4705</v>
      </c>
      <c r="H5202" s="2" t="s">
        <v>21</v>
      </c>
      <c r="I5202" s="2" t="s">
        <v>12164</v>
      </c>
      <c r="J5202" s="3" t="str">
        <f>HYPERLINK("https://www.boe.es/gazeta/dias/1814/10/13/pdfs/GMD-1814-138.pdf#page=4","Abrir facsímil")</f>
        <v>Abrir facsímil</v>
      </c>
      <c r="K5202" s="3" t="s">
        <v>23</v>
      </c>
    </row>
    <row r="5203" spans="1:11" ht="42" customHeight="1">
      <c r="A5203" s="2" t="s">
        <v>12162</v>
      </c>
      <c r="B5203" s="2" t="s">
        <v>12163</v>
      </c>
      <c r="C5203" s="2" t="s">
        <v>26</v>
      </c>
      <c r="D5203" s="2" t="s">
        <v>27</v>
      </c>
      <c r="E5203" s="5">
        <v>-31124</v>
      </c>
      <c r="F5203" s="3" t="s">
        <v>383</v>
      </c>
      <c r="G5203" s="3" t="s">
        <v>12165</v>
      </c>
      <c r="H5203" s="2" t="s">
        <v>21</v>
      </c>
      <c r="I5203" s="2" t="s">
        <v>12166</v>
      </c>
      <c r="J5203" s="3" t="str">
        <f>HYPERLINK("https://www.boe.es/gazeta/dias/1814/10/13/pdfs/GMD-1814-138.pdf#page=8","Abrir facsímil")</f>
        <v>Abrir facsímil</v>
      </c>
      <c r="K5203" s="3" t="s">
        <v>23</v>
      </c>
    </row>
    <row r="5204" spans="1:11" ht="42" customHeight="1">
      <c r="A5204" s="2" t="s">
        <v>12167</v>
      </c>
      <c r="B5204" s="2" t="s">
        <v>12168</v>
      </c>
      <c r="C5204" s="2" t="s">
        <v>38</v>
      </c>
      <c r="D5204" s="2" t="s">
        <v>39</v>
      </c>
      <c r="E5204" s="5">
        <v>-31318</v>
      </c>
      <c r="F5204" s="3" t="s">
        <v>400</v>
      </c>
      <c r="G5204" s="3" t="s">
        <v>99</v>
      </c>
      <c r="H5204" s="2" t="s">
        <v>62</v>
      </c>
      <c r="I5204" s="2" t="s">
        <v>12169</v>
      </c>
      <c r="J5204" s="3" t="str">
        <f>HYPERLINK("https://www.boe.es/gazeta/dias/1814/04/02/pdfs/GRE-1814-47.pdf#page=5","Abrir facsímil")</f>
        <v>Abrir facsímil</v>
      </c>
      <c r="K5204" s="3" t="s">
        <v>64</v>
      </c>
    </row>
    <row r="5205" spans="1:11" ht="42" customHeight="1">
      <c r="A5205" s="2" t="s">
        <v>12170</v>
      </c>
      <c r="B5205" s="2" t="s">
        <v>12171</v>
      </c>
      <c r="C5205" s="2" t="s">
        <v>17</v>
      </c>
      <c r="D5205" s="2" t="s">
        <v>18</v>
      </c>
      <c r="E5205" s="5">
        <v>-31299</v>
      </c>
      <c r="F5205" s="3" t="s">
        <v>71</v>
      </c>
      <c r="G5205" s="3" t="s">
        <v>52</v>
      </c>
      <c r="H5205" s="2" t="s">
        <v>62</v>
      </c>
      <c r="I5205" s="2" t="s">
        <v>12172</v>
      </c>
      <c r="J5205" s="3" t="str">
        <f>HYPERLINK("https://www.boe.es/gazeta/dias/1814/04/21/pdfs/GRE-1814-57.pdf#page=8","Abrir facsímil")</f>
        <v>Abrir facsímil</v>
      </c>
      <c r="K5205" s="3" t="s">
        <v>64</v>
      </c>
    </row>
    <row r="5206" spans="1:11" ht="42" customHeight="1">
      <c r="A5206" s="2" t="s">
        <v>12173</v>
      </c>
      <c r="B5206" s="2" t="s">
        <v>12174</v>
      </c>
      <c r="C5206" s="2" t="s">
        <v>38</v>
      </c>
      <c r="D5206" s="2" t="s">
        <v>39</v>
      </c>
      <c r="E5206" s="5">
        <v>-31124</v>
      </c>
      <c r="F5206" s="3" t="s">
        <v>383</v>
      </c>
      <c r="G5206" s="3" t="s">
        <v>384</v>
      </c>
      <c r="H5206" s="2" t="s">
        <v>62</v>
      </c>
      <c r="I5206" s="2" t="s">
        <v>12175</v>
      </c>
      <c r="J5206" s="3" t="str">
        <f>HYPERLINK("https://www.boe.es/gazeta/dias/1814/10/13/pdfs/GMD-1814-138.pdf#page=11","Abrir facsímil")</f>
        <v>Abrir facsímil</v>
      </c>
      <c r="K5206" s="3" t="s">
        <v>64</v>
      </c>
    </row>
    <row r="5207" spans="1:11" ht="42" customHeight="1">
      <c r="A5207" s="2" t="s">
        <v>12176</v>
      </c>
      <c r="B5207" s="2" t="s">
        <v>12176</v>
      </c>
      <c r="C5207" s="2" t="s">
        <v>38</v>
      </c>
      <c r="D5207" s="2" t="s">
        <v>314</v>
      </c>
      <c r="E5207" s="5">
        <v>-31341</v>
      </c>
      <c r="F5207" s="3" t="s">
        <v>354</v>
      </c>
      <c r="G5207" s="3" t="s">
        <v>87</v>
      </c>
      <c r="H5207" s="2" t="s">
        <v>62</v>
      </c>
      <c r="I5207" s="2" t="s">
        <v>12177</v>
      </c>
      <c r="J5207" s="3" t="str">
        <f>HYPERLINK("https://www.boe.es/gazeta/dias/1814/03/10/pdfs/GRE-1814-34E.pdf#page=2","Abrir facsímil")</f>
        <v>Abrir facsímil</v>
      </c>
      <c r="K5207" s="3" t="s">
        <v>64</v>
      </c>
    </row>
    <row r="5208" spans="1:11" ht="42" customHeight="1">
      <c r="A5208" s="2" t="s">
        <v>12178</v>
      </c>
      <c r="B5208" s="2" t="s">
        <v>12178</v>
      </c>
      <c r="C5208" s="2" t="s">
        <v>38</v>
      </c>
      <c r="D5208" s="2" t="s">
        <v>39</v>
      </c>
      <c r="E5208" s="5">
        <v>-31329</v>
      </c>
      <c r="F5208" s="3" t="s">
        <v>621</v>
      </c>
      <c r="G5208" s="3" t="s">
        <v>82</v>
      </c>
      <c r="H5208" s="2" t="s">
        <v>62</v>
      </c>
      <c r="I5208" s="2" t="s">
        <v>12179</v>
      </c>
      <c r="J5208" s="3" t="str">
        <f>HYPERLINK("https://www.boe.es/gazeta/dias/1814/03/22/pdfs/GRE-1814-39.pdf#page=3","Abrir facsímil")</f>
        <v>Abrir facsímil</v>
      </c>
      <c r="K5208" s="3" t="s">
        <v>64</v>
      </c>
    </row>
    <row r="5209" spans="1:11" ht="42" customHeight="1">
      <c r="A5209" s="2" t="s">
        <v>12180</v>
      </c>
      <c r="B5209" s="2" t="s">
        <v>12181</v>
      </c>
      <c r="C5209" s="2" t="s">
        <v>38</v>
      </c>
      <c r="D5209" s="2" t="s">
        <v>39</v>
      </c>
      <c r="E5209" s="5">
        <v>-31222</v>
      </c>
      <c r="F5209" s="3" t="s">
        <v>153</v>
      </c>
      <c r="G5209" s="3" t="s">
        <v>322</v>
      </c>
      <c r="H5209" s="2" t="s">
        <v>62</v>
      </c>
      <c r="I5209" s="2" t="s">
        <v>12182</v>
      </c>
      <c r="J5209" s="3" t="str">
        <f>HYPERLINK("https://www.boe.es/gazeta/dias/1814/07/07/pdfs/GMD-1814-95.pdf#page=12","Abrir facsímil")</f>
        <v>Abrir facsímil</v>
      </c>
      <c r="K5209" s="3" t="s">
        <v>64</v>
      </c>
    </row>
    <row r="5210" spans="1:11" ht="42" customHeight="1">
      <c r="A5210" s="2" t="s">
        <v>12183</v>
      </c>
      <c r="B5210" s="2" t="s">
        <v>12184</v>
      </c>
      <c r="C5210" s="2" t="s">
        <v>38</v>
      </c>
      <c r="D5210" s="2" t="s">
        <v>39</v>
      </c>
      <c r="E5210" s="5">
        <v>-31117</v>
      </c>
      <c r="F5210" s="3" t="s">
        <v>172</v>
      </c>
      <c r="G5210" s="3" t="s">
        <v>173</v>
      </c>
      <c r="H5210" s="2" t="s">
        <v>62</v>
      </c>
      <c r="I5210" s="2" t="s">
        <v>12185</v>
      </c>
      <c r="J5210" s="3" t="str">
        <f>HYPERLINK("https://www.boe.es/gazeta/dias/1814/10/20/pdfs/GMD-1814-141.pdf#page=7","Abrir facsímil")</f>
        <v>Abrir facsímil</v>
      </c>
      <c r="K5210" s="3" t="s">
        <v>64</v>
      </c>
    </row>
    <row r="5211" spans="1:11" ht="42" customHeight="1">
      <c r="A5211" s="2" t="s">
        <v>12183</v>
      </c>
      <c r="B5211" s="2" t="s">
        <v>12184</v>
      </c>
      <c r="C5211" s="2" t="s">
        <v>32</v>
      </c>
      <c r="D5211" s="2" t="s">
        <v>18</v>
      </c>
      <c r="E5211" s="5">
        <v>-31061</v>
      </c>
      <c r="F5211" s="3" t="s">
        <v>329</v>
      </c>
      <c r="G5211" s="3" t="s">
        <v>52</v>
      </c>
      <c r="H5211" s="2" t="s">
        <v>62</v>
      </c>
      <c r="I5211" s="2" t="s">
        <v>12186</v>
      </c>
      <c r="J5211" s="3" t="str">
        <f>HYPERLINK("https://www.boe.es/gazeta/dias/1814/12/15/pdfs/GMD-1814-165.pdf#page=8","Abrir facsímil")</f>
        <v>Abrir facsímil</v>
      </c>
      <c r="K5211" s="3" t="s">
        <v>64</v>
      </c>
    </row>
    <row r="5212" spans="1:11" ht="42" customHeight="1">
      <c r="A5212" s="2" t="s">
        <v>12187</v>
      </c>
      <c r="B5212" s="2" t="s">
        <v>12188</v>
      </c>
      <c r="C5212" s="2" t="s">
        <v>38</v>
      </c>
      <c r="D5212" s="2" t="s">
        <v>39</v>
      </c>
      <c r="E5212" s="5">
        <v>-31173</v>
      </c>
      <c r="F5212" s="3" t="s">
        <v>46</v>
      </c>
      <c r="G5212" s="3" t="s">
        <v>4686</v>
      </c>
      <c r="H5212" s="2" t="s">
        <v>62</v>
      </c>
      <c r="I5212" s="2" t="s">
        <v>12189</v>
      </c>
      <c r="J5212" s="3" t="str">
        <f>HYPERLINK("https://www.boe.es/gazeta/dias/1814/08/25/pdfs/GMD-1814-116.pdf#page=5","Abrir facsímil")</f>
        <v>Abrir facsímil</v>
      </c>
      <c r="K5212" s="3" t="s">
        <v>64</v>
      </c>
    </row>
    <row r="5213" spans="1:11" ht="42" customHeight="1">
      <c r="A5213" s="2" t="s">
        <v>12190</v>
      </c>
      <c r="B5213" s="2" t="s">
        <v>12191</v>
      </c>
      <c r="C5213" s="2" t="s">
        <v>26</v>
      </c>
      <c r="D5213" s="2" t="s">
        <v>27</v>
      </c>
      <c r="E5213" s="5">
        <v>-31164</v>
      </c>
      <c r="F5213" s="3" t="s">
        <v>1423</v>
      </c>
      <c r="G5213" s="3" t="s">
        <v>20</v>
      </c>
      <c r="H5213" s="2" t="s">
        <v>62</v>
      </c>
      <c r="I5213" s="2" t="s">
        <v>12192</v>
      </c>
      <c r="J5213" s="3" t="str">
        <f>HYPERLINK("https://www.boe.es/gazeta/dias/1814/09/03/pdfs/GMD-1814-121.pdf#page=7","Abrir facsímil")</f>
        <v>Abrir facsímil</v>
      </c>
      <c r="K5213" s="3" t="s">
        <v>64</v>
      </c>
    </row>
    <row r="5214" spans="1:11" ht="42" customHeight="1">
      <c r="A5214" s="2" t="s">
        <v>12193</v>
      </c>
      <c r="B5214" s="2" t="s">
        <v>12194</v>
      </c>
      <c r="C5214" s="2" t="s">
        <v>38</v>
      </c>
      <c r="D5214" s="2" t="s">
        <v>314</v>
      </c>
      <c r="E5214" s="5">
        <v>-31296</v>
      </c>
      <c r="F5214" s="3" t="s">
        <v>315</v>
      </c>
      <c r="G5214" s="3" t="s">
        <v>52</v>
      </c>
      <c r="H5214" s="2" t="s">
        <v>62</v>
      </c>
      <c r="I5214" s="2" t="s">
        <v>12195</v>
      </c>
      <c r="J5214" s="3" t="str">
        <f>HYPERLINK("https://www.boe.es/gazeta/dias/1814/04/24/pdfs/GRE-1814-60E.pdf#page=8","Abrir facsímil")</f>
        <v>Abrir facsímil</v>
      </c>
      <c r="K5214" s="3" t="s">
        <v>64</v>
      </c>
    </row>
    <row r="5215" spans="1:11" ht="42" customHeight="1">
      <c r="A5215" s="2" t="s">
        <v>12196</v>
      </c>
      <c r="B5215" s="2" t="s">
        <v>12197</v>
      </c>
      <c r="C5215" s="2" t="s">
        <v>38</v>
      </c>
      <c r="D5215" s="2" t="s">
        <v>39</v>
      </c>
      <c r="E5215" s="5">
        <v>-31322</v>
      </c>
      <c r="F5215" s="3" t="s">
        <v>114</v>
      </c>
      <c r="G5215" s="3" t="s">
        <v>52</v>
      </c>
      <c r="H5215" s="2" t="s">
        <v>62</v>
      </c>
      <c r="I5215" s="2" t="s">
        <v>12198</v>
      </c>
      <c r="J5215" s="3" t="str">
        <f>HYPERLINK("https://www.boe.es/gazeta/dias/1814/03/29/pdfs/GRE-1814-44.pdf#page=8","Abrir facsímil")</f>
        <v>Abrir facsímil</v>
      </c>
      <c r="K5215" s="3" t="s">
        <v>64</v>
      </c>
    </row>
    <row r="5216" spans="1:11" ht="42" customHeight="1">
      <c r="A5216" s="2" t="s">
        <v>12199</v>
      </c>
      <c r="B5216" s="2" t="s">
        <v>12200</v>
      </c>
      <c r="C5216" s="2" t="s">
        <v>17</v>
      </c>
      <c r="D5216" s="2" t="s">
        <v>18</v>
      </c>
      <c r="E5216" s="5">
        <v>-31152</v>
      </c>
      <c r="F5216" s="3" t="s">
        <v>199</v>
      </c>
      <c r="G5216" s="3" t="s">
        <v>52</v>
      </c>
      <c r="H5216" s="2" t="s">
        <v>62</v>
      </c>
      <c r="I5216" s="2" t="s">
        <v>12201</v>
      </c>
      <c r="J5216" s="3" t="str">
        <f>HYPERLINK("https://www.boe.es/gazeta/dias/1814/09/15/pdfs/GMD-1814-126.pdf#page=8","Abrir facsímil")</f>
        <v>Abrir facsímil</v>
      </c>
      <c r="K5216" s="3" t="s">
        <v>64</v>
      </c>
    </row>
    <row r="5217" spans="1:11" ht="42" customHeight="1">
      <c r="A5217" s="2" t="s">
        <v>12202</v>
      </c>
      <c r="B5217" s="2" t="s">
        <v>12202</v>
      </c>
      <c r="C5217" s="2" t="s">
        <v>38</v>
      </c>
      <c r="D5217" s="2" t="s">
        <v>39</v>
      </c>
      <c r="E5217" s="5">
        <v>-31395</v>
      </c>
      <c r="F5217" s="3" t="s">
        <v>662</v>
      </c>
      <c r="G5217" s="3" t="s">
        <v>20</v>
      </c>
      <c r="H5217" s="2" t="s">
        <v>62</v>
      </c>
      <c r="I5217" s="2" t="s">
        <v>12203</v>
      </c>
      <c r="J5217" s="3" t="str">
        <f>HYPERLINK("https://www.boe.es/gazeta/dias/1814/01/15/pdfs/GRE-1814-8.pdf#page=7","Abrir facsímil")</f>
        <v>Abrir facsímil</v>
      </c>
      <c r="K5217" s="3" t="s">
        <v>64</v>
      </c>
    </row>
    <row r="5218" spans="1:11" ht="42" customHeight="1">
      <c r="A5218" s="2" t="s">
        <v>12204</v>
      </c>
      <c r="B5218" s="2" t="s">
        <v>12204</v>
      </c>
      <c r="C5218" s="2" t="s">
        <v>38</v>
      </c>
      <c r="D5218" s="2" t="s">
        <v>39</v>
      </c>
      <c r="E5218" s="5">
        <v>-31395</v>
      </c>
      <c r="F5218" s="3" t="s">
        <v>662</v>
      </c>
      <c r="G5218" s="3" t="s">
        <v>57</v>
      </c>
      <c r="H5218" s="2" t="s">
        <v>62</v>
      </c>
      <c r="I5218" s="2" t="s">
        <v>12205</v>
      </c>
      <c r="J5218" s="3" t="str">
        <f>HYPERLINK("https://www.boe.es/gazeta/dias/1814/01/15/pdfs/GRE-1814-8.pdf#page=6","Abrir facsímil")</f>
        <v>Abrir facsímil</v>
      </c>
      <c r="K5218" s="3" t="s">
        <v>64</v>
      </c>
    </row>
    <row r="5219" spans="1:11" ht="42" customHeight="1">
      <c r="A5219" s="2" t="s">
        <v>12206</v>
      </c>
      <c r="B5219" s="2" t="s">
        <v>12206</v>
      </c>
      <c r="C5219" s="2" t="s">
        <v>38</v>
      </c>
      <c r="D5219" s="2" t="s">
        <v>39</v>
      </c>
      <c r="E5219" s="5">
        <v>-31161</v>
      </c>
      <c r="F5219" s="3" t="s">
        <v>407</v>
      </c>
      <c r="G5219" s="3" t="s">
        <v>107</v>
      </c>
      <c r="H5219" s="2" t="s">
        <v>62</v>
      </c>
      <c r="I5219" s="2" t="s">
        <v>12207</v>
      </c>
      <c r="J5219" s="3" t="str">
        <f>HYPERLINK("https://www.boe.es/gazeta/dias/1814/09/06/pdfs/GMD-1814-122.pdf#page=1","Abrir facsímil")</f>
        <v>Abrir facsímil</v>
      </c>
      <c r="K5219" s="3" t="s">
        <v>64</v>
      </c>
    </row>
    <row r="5220" spans="1:11" ht="42" customHeight="1">
      <c r="A5220" s="2" t="s">
        <v>12208</v>
      </c>
      <c r="B5220" s="2" t="s">
        <v>12209</v>
      </c>
      <c r="C5220" s="2" t="s">
        <v>26</v>
      </c>
      <c r="D5220" s="2" t="s">
        <v>27</v>
      </c>
      <c r="E5220" s="5">
        <v>-31189</v>
      </c>
      <c r="F5220" s="3" t="s">
        <v>379</v>
      </c>
      <c r="G5220" s="3" t="s">
        <v>20</v>
      </c>
      <c r="H5220" s="2" t="s">
        <v>62</v>
      </c>
      <c r="I5220" s="2" t="s">
        <v>12210</v>
      </c>
      <c r="J5220" s="3" t="str">
        <f>HYPERLINK("https://www.boe.es/gazeta/dias/1814/08/09/pdfs/GMD-1814-109.pdf#page=7","Abrir facsímil")</f>
        <v>Abrir facsímil</v>
      </c>
      <c r="K5220" s="3" t="s">
        <v>64</v>
      </c>
    </row>
    <row r="5221" spans="1:11" ht="42" customHeight="1">
      <c r="A5221" s="2" t="s">
        <v>12211</v>
      </c>
      <c r="B5221" s="2" t="s">
        <v>12212</v>
      </c>
      <c r="C5221" s="2" t="s">
        <v>26</v>
      </c>
      <c r="D5221" s="2" t="s">
        <v>27</v>
      </c>
      <c r="E5221" s="5">
        <v>-31080</v>
      </c>
      <c r="F5221" s="3" t="s">
        <v>286</v>
      </c>
      <c r="G5221" s="3" t="s">
        <v>677</v>
      </c>
      <c r="H5221" s="2" t="s">
        <v>62</v>
      </c>
      <c r="I5221" s="2" t="s">
        <v>12213</v>
      </c>
      <c r="J5221" s="3" t="str">
        <f>HYPERLINK("https://www.boe.es/gazeta/dias/1814/11/26/pdfs/GMD-1814-157.pdf#page=7","Abrir facsímil")</f>
        <v>Abrir facsímil</v>
      </c>
      <c r="K5221" s="3" t="s">
        <v>64</v>
      </c>
    </row>
    <row r="5222" spans="1:11" ht="42" customHeight="1">
      <c r="A5222" s="2" t="s">
        <v>12214</v>
      </c>
      <c r="B5222" s="2" t="s">
        <v>12215</v>
      </c>
      <c r="C5222" s="2" t="s">
        <v>17</v>
      </c>
      <c r="D5222" s="2" t="s">
        <v>18</v>
      </c>
      <c r="E5222" s="5">
        <v>-31196</v>
      </c>
      <c r="F5222" s="3" t="s">
        <v>828</v>
      </c>
      <c r="G5222" s="3" t="s">
        <v>2207</v>
      </c>
      <c r="H5222" s="2" t="s">
        <v>62</v>
      </c>
      <c r="I5222" s="2" t="s">
        <v>12216</v>
      </c>
      <c r="J5222" s="3" t="str">
        <f>HYPERLINK("https://www.boe.es/gazeta/dias/1814/08/02/pdfs/GMD-1814-106.pdf#page=5","Abrir facsímil")</f>
        <v>Abrir facsímil</v>
      </c>
      <c r="K5222" s="3" t="s">
        <v>64</v>
      </c>
    </row>
    <row r="5223" spans="1:11" ht="42" customHeight="1">
      <c r="A5223" s="2" t="s">
        <v>12217</v>
      </c>
      <c r="B5223" s="2" t="s">
        <v>12218</v>
      </c>
      <c r="C5223" s="2" t="s">
        <v>38</v>
      </c>
      <c r="D5223" s="2" t="s">
        <v>39</v>
      </c>
      <c r="E5223" s="5">
        <v>-31210</v>
      </c>
      <c r="F5223" s="3" t="s">
        <v>141</v>
      </c>
      <c r="G5223" s="3" t="s">
        <v>99</v>
      </c>
      <c r="H5223" s="2" t="s">
        <v>62</v>
      </c>
      <c r="I5223" s="2" t="s">
        <v>12219</v>
      </c>
      <c r="J5223" s="3" t="str">
        <f>HYPERLINK("https://www.boe.es/gazeta/dias/1814/07/19/pdfs/GMD-1814-100.pdf#page=5","Abrir facsímil")</f>
        <v>Abrir facsímil</v>
      </c>
      <c r="K5223" s="3" t="s">
        <v>64</v>
      </c>
    </row>
    <row r="5224" spans="1:11" ht="42" customHeight="1">
      <c r="A5224" s="2" t="s">
        <v>12220</v>
      </c>
      <c r="B5224" s="2" t="s">
        <v>12221</v>
      </c>
      <c r="C5224" s="2" t="s">
        <v>38</v>
      </c>
      <c r="D5224" s="2" t="s">
        <v>39</v>
      </c>
      <c r="E5224" s="5">
        <v>-31080</v>
      </c>
      <c r="F5224" s="3" t="s">
        <v>286</v>
      </c>
      <c r="G5224" s="3" t="s">
        <v>677</v>
      </c>
      <c r="H5224" s="2" t="s">
        <v>62</v>
      </c>
      <c r="I5224" s="2" t="s">
        <v>12222</v>
      </c>
      <c r="J5224" s="3" t="str">
        <f>HYPERLINK("https://www.boe.es/gazeta/dias/1814/11/26/pdfs/GMD-1814-157.pdf#page=7","Abrir facsímil")</f>
        <v>Abrir facsímil</v>
      </c>
      <c r="K5224" s="3" t="s">
        <v>64</v>
      </c>
    </row>
    <row r="5225" spans="1:11" ht="42" customHeight="1">
      <c r="A5225" s="2" t="s">
        <v>12223</v>
      </c>
      <c r="B5225" s="2" t="s">
        <v>12224</v>
      </c>
      <c r="C5225" s="2" t="s">
        <v>38</v>
      </c>
      <c r="D5225" s="2" t="s">
        <v>39</v>
      </c>
      <c r="E5225" s="5">
        <v>-31231</v>
      </c>
      <c r="F5225" s="3" t="s">
        <v>861</v>
      </c>
      <c r="G5225" s="3" t="s">
        <v>322</v>
      </c>
      <c r="H5225" s="2" t="s">
        <v>62</v>
      </c>
      <c r="I5225" s="2" t="s">
        <v>12225</v>
      </c>
      <c r="J5225" s="3" t="str">
        <f>HYPERLINK("https://www.boe.es/gazeta/dias/1814/06/28/pdfs/GMD-1814-91.pdf#page=12","Abrir facsímil")</f>
        <v>Abrir facsímil</v>
      </c>
      <c r="K5225" s="3" t="s">
        <v>64</v>
      </c>
    </row>
    <row r="5226" spans="1:11" ht="42" customHeight="1">
      <c r="A5226" s="2" t="s">
        <v>12226</v>
      </c>
      <c r="B5226" s="2" t="s">
        <v>12227</v>
      </c>
      <c r="C5226" s="2" t="s">
        <v>38</v>
      </c>
      <c r="D5226" s="2" t="s">
        <v>39</v>
      </c>
      <c r="E5226" s="5">
        <v>-31152</v>
      </c>
      <c r="F5226" s="3" t="s">
        <v>199</v>
      </c>
      <c r="G5226" s="3" t="s">
        <v>52</v>
      </c>
      <c r="H5226" s="2" t="s">
        <v>62</v>
      </c>
      <c r="I5226" s="2" t="s">
        <v>12228</v>
      </c>
      <c r="J5226" s="3" t="str">
        <f>HYPERLINK("https://www.boe.es/gazeta/dias/1814/09/15/pdfs/GMD-1814-126.pdf#page=8","Abrir facsímil")</f>
        <v>Abrir facsímil</v>
      </c>
      <c r="K5226" s="3" t="s">
        <v>64</v>
      </c>
    </row>
    <row r="5227" spans="1:11" ht="42" customHeight="1">
      <c r="A5227" s="2" t="s">
        <v>12229</v>
      </c>
      <c r="B5227" s="2" t="s">
        <v>12230</v>
      </c>
      <c r="C5227" s="2" t="s">
        <v>17</v>
      </c>
      <c r="D5227" s="2" t="s">
        <v>314</v>
      </c>
      <c r="E5227" s="5">
        <v>-31296</v>
      </c>
      <c r="F5227" s="3" t="s">
        <v>315</v>
      </c>
      <c r="G5227" s="3" t="s">
        <v>57</v>
      </c>
      <c r="H5227" s="2" t="s">
        <v>62</v>
      </c>
      <c r="I5227" s="2" t="s">
        <v>12231</v>
      </c>
      <c r="J5227" s="3" t="str">
        <f>HYPERLINK("https://www.boe.es/gazeta/dias/1814/04/24/pdfs/GRE-1814-60E.pdf#page=6","Abrir facsímil")</f>
        <v>Abrir facsímil</v>
      </c>
      <c r="K5227" s="3" t="s">
        <v>64</v>
      </c>
    </row>
    <row r="5228" spans="1:11" ht="42" customHeight="1">
      <c r="A5228" s="2" t="s">
        <v>12232</v>
      </c>
      <c r="B5228" s="2" t="s">
        <v>12233</v>
      </c>
      <c r="C5228" s="2" t="s">
        <v>144</v>
      </c>
      <c r="D5228" s="2" t="s">
        <v>18</v>
      </c>
      <c r="E5228" s="5">
        <v>-31108</v>
      </c>
      <c r="F5228" s="3" t="s">
        <v>528</v>
      </c>
      <c r="G5228" s="3" t="s">
        <v>52</v>
      </c>
      <c r="H5228" s="2" t="s">
        <v>62</v>
      </c>
      <c r="I5228" s="2" t="s">
        <v>12234</v>
      </c>
      <c r="J5228" s="3" t="str">
        <f>HYPERLINK("https://www.boe.es/gazeta/dias/1814/10/29/pdfs/GMD-1814-145.pdf#page=8","Abrir facsímil")</f>
        <v>Abrir facsímil</v>
      </c>
      <c r="K5228" s="3" t="s">
        <v>64</v>
      </c>
    </row>
    <row r="5229" spans="1:11" ht="42" customHeight="1">
      <c r="A5229" s="2" t="s">
        <v>12235</v>
      </c>
      <c r="B5229" s="2" t="s">
        <v>12236</v>
      </c>
      <c r="C5229" s="2" t="s">
        <v>26</v>
      </c>
      <c r="D5229" s="2" t="s">
        <v>27</v>
      </c>
      <c r="E5229" s="5">
        <v>-31061</v>
      </c>
      <c r="F5229" s="3" t="s">
        <v>329</v>
      </c>
      <c r="G5229" s="3" t="s">
        <v>20</v>
      </c>
      <c r="H5229" s="2" t="s">
        <v>62</v>
      </c>
      <c r="I5229" s="2" t="s">
        <v>12237</v>
      </c>
      <c r="J5229" s="3" t="str">
        <f>HYPERLINK("https://www.boe.es/gazeta/dias/1814/12/15/pdfs/GMD-1814-165.pdf#page=7","Abrir facsímil")</f>
        <v>Abrir facsímil</v>
      </c>
      <c r="K5229" s="3" t="s">
        <v>64</v>
      </c>
    </row>
    <row r="5230" spans="1:11" ht="42" customHeight="1">
      <c r="A5230" s="2" t="s">
        <v>12238</v>
      </c>
      <c r="B5230" s="2" t="s">
        <v>12239</v>
      </c>
      <c r="C5230" s="2" t="s">
        <v>26</v>
      </c>
      <c r="D5230" s="2" t="s">
        <v>27</v>
      </c>
      <c r="E5230" s="5">
        <v>-31231</v>
      </c>
      <c r="F5230" s="3" t="s">
        <v>861</v>
      </c>
      <c r="G5230" s="3" t="s">
        <v>1886</v>
      </c>
      <c r="H5230" s="2" t="s">
        <v>62</v>
      </c>
      <c r="I5230" s="2" t="s">
        <v>12240</v>
      </c>
      <c r="J5230" s="3" t="str">
        <f>HYPERLINK("https://www.boe.es/gazeta/dias/1814/06/28/pdfs/GMD-1814-91.pdf#page=4","Abrir facsímil")</f>
        <v>Abrir facsímil</v>
      </c>
      <c r="K5230" s="3" t="s">
        <v>64</v>
      </c>
    </row>
    <row r="5231" spans="1:11" ht="42" customHeight="1">
      <c r="A5231" s="2" t="s">
        <v>12238</v>
      </c>
      <c r="B5231" s="2" t="s">
        <v>12239</v>
      </c>
      <c r="C5231" s="2" t="s">
        <v>26</v>
      </c>
      <c r="D5231" s="2" t="s">
        <v>27</v>
      </c>
      <c r="E5231" s="5">
        <v>-31145</v>
      </c>
      <c r="F5231" s="3" t="s">
        <v>523</v>
      </c>
      <c r="G5231" s="3" t="s">
        <v>20</v>
      </c>
      <c r="H5231" s="2" t="s">
        <v>62</v>
      </c>
      <c r="I5231" s="2" t="s">
        <v>12241</v>
      </c>
      <c r="J5231" s="3" t="str">
        <f>HYPERLINK("https://www.boe.es/gazeta/dias/1814/09/22/pdfs/GMD-1814-129.pdf#page=7","Abrir facsímil")</f>
        <v>Abrir facsímil</v>
      </c>
      <c r="K5231" s="3" t="s">
        <v>64</v>
      </c>
    </row>
    <row r="5232" spans="1:11" ht="42" customHeight="1">
      <c r="A5232" s="2" t="s">
        <v>12242</v>
      </c>
      <c r="B5232" s="2" t="s">
        <v>12243</v>
      </c>
      <c r="C5232" s="2" t="s">
        <v>26</v>
      </c>
      <c r="D5232" s="2" t="s">
        <v>27</v>
      </c>
      <c r="E5232" s="5">
        <v>-31245</v>
      </c>
      <c r="F5232" s="3" t="s">
        <v>908</v>
      </c>
      <c r="G5232" s="3" t="s">
        <v>99</v>
      </c>
      <c r="H5232" s="2" t="s">
        <v>62</v>
      </c>
      <c r="I5232" s="2" t="s">
        <v>12244</v>
      </c>
      <c r="J5232" s="3" t="str">
        <f>HYPERLINK("https://www.boe.es/gazeta/dias/1814/06/14/pdfs/GMD-1814-85.pdf#page=5","Abrir facsímil")</f>
        <v>Abrir facsímil</v>
      </c>
      <c r="K5232" s="3" t="s">
        <v>64</v>
      </c>
    </row>
    <row r="5233" spans="1:11" ht="42" customHeight="1">
      <c r="A5233" s="2" t="s">
        <v>12245</v>
      </c>
      <c r="B5233" s="2" t="s">
        <v>12246</v>
      </c>
      <c r="C5233" s="2" t="s">
        <v>26</v>
      </c>
      <c r="D5233" s="2" t="s">
        <v>27</v>
      </c>
      <c r="E5233" s="5">
        <v>-31217</v>
      </c>
      <c r="F5233" s="3" t="s">
        <v>506</v>
      </c>
      <c r="G5233" s="3" t="s">
        <v>9418</v>
      </c>
      <c r="H5233" s="2" t="s">
        <v>62</v>
      </c>
      <c r="I5233" s="2" t="s">
        <v>12247</v>
      </c>
      <c r="J5233" s="3" t="str">
        <f>HYPERLINK("https://www.boe.es/gazeta/dias/1814/07/12/pdfs/GMD-1814-97.pdf#page=6","Abrir facsímil")</f>
        <v>Abrir facsímil</v>
      </c>
      <c r="K5233" s="3" t="s">
        <v>64</v>
      </c>
    </row>
    <row r="5234" spans="1:11" ht="42" customHeight="1">
      <c r="A5234" s="2" t="s">
        <v>12248</v>
      </c>
      <c r="B5234" s="2" t="s">
        <v>12249</v>
      </c>
      <c r="C5234" s="2" t="s">
        <v>45</v>
      </c>
      <c r="D5234" s="2" t="s">
        <v>18</v>
      </c>
      <c r="E5234" s="5">
        <v>-31173</v>
      </c>
      <c r="F5234" s="3" t="s">
        <v>46</v>
      </c>
      <c r="G5234" s="3" t="s">
        <v>20</v>
      </c>
      <c r="H5234" s="2" t="s">
        <v>62</v>
      </c>
      <c r="I5234" s="2" t="s">
        <v>12250</v>
      </c>
      <c r="J5234" s="3" t="str">
        <f>HYPERLINK("https://www.boe.es/gazeta/dias/1814/08/25/pdfs/GMD-1814-116.pdf#page=7","Abrir facsímil")</f>
        <v>Abrir facsímil</v>
      </c>
      <c r="K5234" s="3" t="s">
        <v>64</v>
      </c>
    </row>
    <row r="5235" spans="1:11" ht="42" customHeight="1">
      <c r="A5235" s="2" t="s">
        <v>12248</v>
      </c>
      <c r="B5235" s="2" t="s">
        <v>12249</v>
      </c>
      <c r="C5235" s="2" t="s">
        <v>26</v>
      </c>
      <c r="D5235" s="2" t="s">
        <v>27</v>
      </c>
      <c r="E5235" s="5">
        <v>-31131</v>
      </c>
      <c r="F5235" s="3" t="s">
        <v>132</v>
      </c>
      <c r="G5235" s="3" t="s">
        <v>2188</v>
      </c>
      <c r="H5235" s="2" t="s">
        <v>62</v>
      </c>
      <c r="I5235" s="2" t="s">
        <v>12251</v>
      </c>
      <c r="J5235" s="3" t="str">
        <f>HYPERLINK("https://www.boe.es/gazeta/dias/1814/10/06/pdfs/GMD-1814-135.pdf#page=6","Abrir facsímil")</f>
        <v>Abrir facsímil</v>
      </c>
      <c r="K5235" s="3" t="s">
        <v>64</v>
      </c>
    </row>
    <row r="5236" spans="1:11" ht="42" customHeight="1">
      <c r="A5236" s="2" t="s">
        <v>12252</v>
      </c>
      <c r="B5236" s="2" t="s">
        <v>12253</v>
      </c>
      <c r="C5236" s="2" t="s">
        <v>26</v>
      </c>
      <c r="D5236" s="2" t="s">
        <v>27</v>
      </c>
      <c r="E5236" s="5">
        <v>-31252</v>
      </c>
      <c r="F5236" s="3" t="s">
        <v>364</v>
      </c>
      <c r="G5236" s="3" t="s">
        <v>365</v>
      </c>
      <c r="H5236" s="2" t="s">
        <v>62</v>
      </c>
      <c r="I5236" s="2" t="s">
        <v>12254</v>
      </c>
      <c r="J5236" s="3" t="str">
        <f>HYPERLINK("https://www.boe.es/gazeta/dias/1814/06/07/pdfs/GMD-1814-82.pdf#page=8","Abrir facsímil")</f>
        <v>Abrir facsímil</v>
      </c>
      <c r="K5236" s="3" t="s">
        <v>64</v>
      </c>
    </row>
    <row r="5237" spans="1:11" ht="42" customHeight="1">
      <c r="A5237" s="2" t="s">
        <v>12255</v>
      </c>
      <c r="B5237" s="2" t="s">
        <v>12256</v>
      </c>
      <c r="C5237" s="2" t="s">
        <v>26</v>
      </c>
      <c r="D5237" s="2" t="s">
        <v>27</v>
      </c>
      <c r="E5237" s="5">
        <v>-31292</v>
      </c>
      <c r="F5237" s="3" t="s">
        <v>557</v>
      </c>
      <c r="G5237" s="3" t="s">
        <v>3894</v>
      </c>
      <c r="H5237" s="2" t="s">
        <v>62</v>
      </c>
      <c r="I5237" s="2" t="s">
        <v>12257</v>
      </c>
      <c r="J5237" s="3" t="str">
        <f>HYPERLINK("https://www.boe.es/gazeta/dias/1814/04/28/pdfs/GRE-1814-63.pdf#page=5","Abrir facsímil")</f>
        <v>Abrir facsímil</v>
      </c>
      <c r="K5237" s="3" t="s">
        <v>64</v>
      </c>
    </row>
    <row r="5238" spans="1:11" ht="42" customHeight="1">
      <c r="A5238" s="2" t="s">
        <v>12258</v>
      </c>
      <c r="B5238" s="2" t="s">
        <v>12259</v>
      </c>
      <c r="C5238" s="2" t="s">
        <v>38</v>
      </c>
      <c r="D5238" s="2" t="s">
        <v>39</v>
      </c>
      <c r="E5238" s="5">
        <v>-31283</v>
      </c>
      <c r="F5238" s="3" t="s">
        <v>701</v>
      </c>
      <c r="G5238" s="3" t="s">
        <v>52</v>
      </c>
      <c r="H5238" s="2" t="s">
        <v>62</v>
      </c>
      <c r="I5238" s="2" t="s">
        <v>12260</v>
      </c>
      <c r="J5238" s="3" t="str">
        <f>HYPERLINK("https://www.boe.es/gazeta/dias/1814/05/07/pdfs/GRE-1814-67.pdf#page=8","Abrir facsímil")</f>
        <v>Abrir facsímil</v>
      </c>
      <c r="K5238" s="3" t="s">
        <v>64</v>
      </c>
    </row>
    <row r="5239" spans="1:11" ht="42" customHeight="1">
      <c r="A5239" s="2" t="s">
        <v>12261</v>
      </c>
      <c r="B5239" s="2" t="s">
        <v>12262</v>
      </c>
      <c r="C5239" s="2" t="s">
        <v>26</v>
      </c>
      <c r="D5239" s="2" t="s">
        <v>27</v>
      </c>
      <c r="E5239" s="5">
        <v>-31201</v>
      </c>
      <c r="F5239" s="3" t="s">
        <v>863</v>
      </c>
      <c r="G5239" s="3" t="s">
        <v>1027</v>
      </c>
      <c r="H5239" s="2" t="s">
        <v>62</v>
      </c>
      <c r="I5239" s="2" t="s">
        <v>12263</v>
      </c>
      <c r="J5239" s="3" t="str">
        <f>HYPERLINK("https://www.boe.es/gazeta/dias/1814/07/28/pdfs/GMD-1814-104.pdf#page=6","Abrir facsímil")</f>
        <v>Abrir facsímil</v>
      </c>
      <c r="K5239" s="3" t="s">
        <v>64</v>
      </c>
    </row>
    <row r="5240" spans="1:11" ht="42" customHeight="1">
      <c r="A5240" s="2" t="s">
        <v>12264</v>
      </c>
      <c r="B5240" s="2" t="s">
        <v>12265</v>
      </c>
      <c r="C5240" s="2" t="s">
        <v>38</v>
      </c>
      <c r="D5240" s="2" t="s">
        <v>39</v>
      </c>
      <c r="E5240" s="5">
        <v>-31140</v>
      </c>
      <c r="F5240" s="3" t="s">
        <v>525</v>
      </c>
      <c r="G5240" s="3" t="s">
        <v>57</v>
      </c>
      <c r="H5240" s="2" t="s">
        <v>62</v>
      </c>
      <c r="I5240" s="2" t="s">
        <v>12266</v>
      </c>
      <c r="J5240" s="3" t="str">
        <f>HYPERLINK("https://www.boe.es/gazeta/dias/1814/09/27/pdfs/GMD-1814-131.pdf#page=6","Abrir facsímil")</f>
        <v>Abrir facsímil</v>
      </c>
      <c r="K5240" s="3" t="s">
        <v>64</v>
      </c>
    </row>
    <row r="5241" spans="1:11" ht="42" customHeight="1">
      <c r="A5241" s="2" t="s">
        <v>12267</v>
      </c>
      <c r="B5241" s="2" t="s">
        <v>12268</v>
      </c>
      <c r="C5241" s="2" t="s">
        <v>32</v>
      </c>
      <c r="D5241" s="2" t="s">
        <v>18</v>
      </c>
      <c r="E5241" s="5">
        <v>-31217</v>
      </c>
      <c r="F5241" s="3" t="s">
        <v>506</v>
      </c>
      <c r="G5241" s="3" t="s">
        <v>322</v>
      </c>
      <c r="H5241" s="2" t="s">
        <v>62</v>
      </c>
      <c r="I5241" s="2" t="s">
        <v>12269</v>
      </c>
      <c r="J5241" s="3" t="str">
        <f>HYPERLINK("https://www.boe.es/gazeta/dias/1814/07/12/pdfs/GMD-1814-97.pdf#page=12","Abrir facsímil")</f>
        <v>Abrir facsímil</v>
      </c>
      <c r="K5241" s="3" t="s">
        <v>64</v>
      </c>
    </row>
    <row r="5242" spans="1:11" ht="42" customHeight="1">
      <c r="A5242" s="2" t="s">
        <v>12270</v>
      </c>
      <c r="B5242" s="2" t="s">
        <v>12271</v>
      </c>
      <c r="C5242" s="2" t="s">
        <v>26</v>
      </c>
      <c r="D5242" s="2" t="s">
        <v>27</v>
      </c>
      <c r="E5242" s="5">
        <v>-31052</v>
      </c>
      <c r="F5242" s="3" t="s">
        <v>1407</v>
      </c>
      <c r="G5242" s="3" t="s">
        <v>82</v>
      </c>
      <c r="H5242" s="2" t="s">
        <v>62</v>
      </c>
      <c r="I5242" s="2" t="s">
        <v>12272</v>
      </c>
      <c r="J5242" s="3" t="str">
        <f>HYPERLINK("https://www.boe.es/gazeta/dias/1814/12/24/pdfs/GMD-1814-170.pdf#page=3","Abrir facsímil")</f>
        <v>Abrir facsímil</v>
      </c>
      <c r="K5242" s="3" t="s">
        <v>64</v>
      </c>
    </row>
    <row r="5243" spans="1:11" ht="42" customHeight="1">
      <c r="A5243" s="2" t="s">
        <v>12273</v>
      </c>
      <c r="B5243" s="2" t="s">
        <v>12273</v>
      </c>
      <c r="C5243" s="2" t="s">
        <v>38</v>
      </c>
      <c r="D5243" s="2" t="s">
        <v>39</v>
      </c>
      <c r="E5243" s="5">
        <v>-31292</v>
      </c>
      <c r="F5243" s="3" t="s">
        <v>557</v>
      </c>
      <c r="G5243" s="3" t="s">
        <v>1678</v>
      </c>
      <c r="H5243" s="2" t="s">
        <v>62</v>
      </c>
      <c r="I5243" s="2" t="s">
        <v>12274</v>
      </c>
      <c r="J5243" s="3" t="str">
        <f>HYPERLINK("https://www.boe.es/gazeta/dias/1814/04/28/pdfs/GRE-1814-63.pdf#page=3","Abrir facsímil")</f>
        <v>Abrir facsímil</v>
      </c>
      <c r="K5243" s="3" t="s">
        <v>64</v>
      </c>
    </row>
    <row r="5244" spans="1:11" ht="42" customHeight="1">
      <c r="A5244" s="2" t="s">
        <v>12275</v>
      </c>
      <c r="B5244" s="2" t="s">
        <v>12276</v>
      </c>
      <c r="C5244" s="2" t="s">
        <v>26</v>
      </c>
      <c r="D5244" s="2" t="s">
        <v>27</v>
      </c>
      <c r="E5244" s="5">
        <v>-31159</v>
      </c>
      <c r="F5244" s="3" t="s">
        <v>1175</v>
      </c>
      <c r="G5244" s="3" t="s">
        <v>20</v>
      </c>
      <c r="H5244" s="2" t="s">
        <v>62</v>
      </c>
      <c r="I5244" s="2" t="s">
        <v>12277</v>
      </c>
      <c r="J5244" s="3" t="str">
        <f>HYPERLINK("https://www.boe.es/gazeta/dias/1814/09/08/pdfs/GMD-1814-123.pdf#page=7","Abrir facsímil")</f>
        <v>Abrir facsímil</v>
      </c>
      <c r="K5244" s="3" t="s">
        <v>64</v>
      </c>
    </row>
    <row r="5245" spans="1:11" ht="42" customHeight="1">
      <c r="A5245" s="2" t="s">
        <v>12278</v>
      </c>
      <c r="B5245" s="2" t="s">
        <v>12279</v>
      </c>
      <c r="C5245" s="2" t="s">
        <v>26</v>
      </c>
      <c r="D5245" s="2" t="s">
        <v>27</v>
      </c>
      <c r="E5245" s="5">
        <v>-31273</v>
      </c>
      <c r="F5245" s="3" t="s">
        <v>2108</v>
      </c>
      <c r="G5245" s="3" t="s">
        <v>52</v>
      </c>
      <c r="H5245" s="2" t="s">
        <v>62</v>
      </c>
      <c r="I5245" s="2" t="s">
        <v>12280</v>
      </c>
      <c r="J5245" s="3" t="str">
        <f>HYPERLINK("https://www.boe.es/gazeta/dias/1814/05/17/pdfs/GMD-1814-72.pdf#page=8","Abrir facsímil")</f>
        <v>Abrir facsímil</v>
      </c>
      <c r="K5245" s="3" t="s">
        <v>64</v>
      </c>
    </row>
    <row r="5246" spans="1:11" ht="42" customHeight="1">
      <c r="A5246" s="2" t="s">
        <v>12281</v>
      </c>
      <c r="B5246" s="2" t="s">
        <v>12281</v>
      </c>
      <c r="C5246" s="2" t="s">
        <v>45</v>
      </c>
      <c r="D5246" s="2" t="s">
        <v>18</v>
      </c>
      <c r="E5246" s="5">
        <v>-31217</v>
      </c>
      <c r="F5246" s="3" t="s">
        <v>506</v>
      </c>
      <c r="G5246" s="3" t="s">
        <v>322</v>
      </c>
      <c r="H5246" s="2" t="s">
        <v>62</v>
      </c>
      <c r="I5246" s="2" t="s">
        <v>12282</v>
      </c>
      <c r="J5246" s="3" t="str">
        <f>HYPERLINK("https://www.boe.es/gazeta/dias/1814/07/12/pdfs/GMD-1814-97.pdf#page=12","Abrir facsímil")</f>
        <v>Abrir facsímil</v>
      </c>
      <c r="K5246" s="3" t="s">
        <v>64</v>
      </c>
    </row>
    <row r="5247" spans="1:11" ht="42" customHeight="1">
      <c r="A5247" s="2" t="s">
        <v>12281</v>
      </c>
      <c r="B5247" s="2" t="s">
        <v>12281</v>
      </c>
      <c r="C5247" s="2" t="s">
        <v>17</v>
      </c>
      <c r="D5247" s="2" t="s">
        <v>18</v>
      </c>
      <c r="E5247" s="5">
        <v>-31098</v>
      </c>
      <c r="F5247" s="3" t="s">
        <v>290</v>
      </c>
      <c r="G5247" s="3" t="s">
        <v>310</v>
      </c>
      <c r="H5247" s="2" t="s">
        <v>62</v>
      </c>
      <c r="I5247" s="2" t="s">
        <v>12283</v>
      </c>
      <c r="J5247" s="3" t="str">
        <f>HYPERLINK("https://www.boe.es/gazeta/dias/1814/11/08/pdfs/GMD-1814-149.pdf#page=8","Abrir facsímil")</f>
        <v>Abrir facsímil</v>
      </c>
      <c r="K5247" s="3" t="s">
        <v>64</v>
      </c>
    </row>
    <row r="5248" spans="1:11" ht="42" customHeight="1">
      <c r="A5248" s="2" t="s">
        <v>12284</v>
      </c>
      <c r="B5248" s="2" t="s">
        <v>12285</v>
      </c>
      <c r="C5248" s="2" t="s">
        <v>45</v>
      </c>
      <c r="D5248" s="2" t="s">
        <v>18</v>
      </c>
      <c r="E5248" s="5">
        <v>-31173</v>
      </c>
      <c r="F5248" s="3" t="s">
        <v>46</v>
      </c>
      <c r="G5248" s="3" t="s">
        <v>20</v>
      </c>
      <c r="H5248" s="2" t="s">
        <v>62</v>
      </c>
      <c r="I5248" s="2" t="s">
        <v>12286</v>
      </c>
      <c r="J5248" s="3" t="str">
        <f>HYPERLINK("https://www.boe.es/gazeta/dias/1814/08/25/pdfs/GMD-1814-116.pdf#page=7","Abrir facsímil")</f>
        <v>Abrir facsímil</v>
      </c>
      <c r="K5248" s="3" t="s">
        <v>64</v>
      </c>
    </row>
    <row r="5249" spans="1:11" ht="42" customHeight="1">
      <c r="A5249" s="2" t="s">
        <v>12287</v>
      </c>
      <c r="B5249" s="2" t="s">
        <v>12288</v>
      </c>
      <c r="C5249" s="2" t="s">
        <v>38</v>
      </c>
      <c r="D5249" s="2" t="s">
        <v>39</v>
      </c>
      <c r="E5249" s="5">
        <v>-31367</v>
      </c>
      <c r="F5249" s="3" t="s">
        <v>857</v>
      </c>
      <c r="G5249" s="3" t="s">
        <v>20</v>
      </c>
      <c r="H5249" s="2" t="s">
        <v>62</v>
      </c>
      <c r="I5249" s="2" t="s">
        <v>12289</v>
      </c>
      <c r="J5249" s="3" t="str">
        <f>HYPERLINK("https://www.boe.es/gazeta/dias/1814/02/12/pdfs/GRE-1814-20.pdf#page=7","Abrir facsímil")</f>
        <v>Abrir facsímil</v>
      </c>
      <c r="K5249" s="3" t="s">
        <v>64</v>
      </c>
    </row>
    <row r="5250" spans="1:11" ht="42" customHeight="1">
      <c r="A5250" s="2" t="s">
        <v>12290</v>
      </c>
      <c r="B5250" s="2" t="s">
        <v>12291</v>
      </c>
      <c r="C5250" s="2" t="s">
        <v>38</v>
      </c>
      <c r="D5250" s="2" t="s">
        <v>39</v>
      </c>
      <c r="E5250" s="5">
        <v>-31234</v>
      </c>
      <c r="F5250" s="3" t="s">
        <v>462</v>
      </c>
      <c r="G5250" s="3" t="s">
        <v>384</v>
      </c>
      <c r="H5250" s="2" t="s">
        <v>62</v>
      </c>
      <c r="I5250" s="2" t="s">
        <v>12292</v>
      </c>
      <c r="J5250" s="3" t="str">
        <f>HYPERLINK("https://www.boe.es/gazeta/dias/1814/06/25/pdfs/GMD-1814-90.pdf#page=11","Abrir facsímil")</f>
        <v>Abrir facsímil</v>
      </c>
      <c r="K5250" s="3" t="s">
        <v>64</v>
      </c>
    </row>
    <row r="5251" spans="1:11" ht="42" customHeight="1">
      <c r="A5251" s="2" t="s">
        <v>12293</v>
      </c>
      <c r="B5251" s="2" t="s">
        <v>12294</v>
      </c>
      <c r="C5251" s="2" t="s">
        <v>38</v>
      </c>
      <c r="D5251" s="2" t="s">
        <v>39</v>
      </c>
      <c r="E5251" s="5">
        <v>-31124</v>
      </c>
      <c r="F5251" s="3" t="s">
        <v>383</v>
      </c>
      <c r="G5251" s="3" t="s">
        <v>384</v>
      </c>
      <c r="H5251" s="2" t="s">
        <v>62</v>
      </c>
      <c r="I5251" s="2" t="s">
        <v>12295</v>
      </c>
      <c r="J5251" s="3" t="str">
        <f>HYPERLINK("https://www.boe.es/gazeta/dias/1814/10/13/pdfs/GMD-1814-138.pdf#page=11","Abrir facsímil")</f>
        <v>Abrir facsímil</v>
      </c>
      <c r="K5251" s="3" t="s">
        <v>64</v>
      </c>
    </row>
    <row r="5252" spans="1:11" ht="42" customHeight="1">
      <c r="A5252" s="2" t="s">
        <v>12296</v>
      </c>
      <c r="B5252" s="2" t="s">
        <v>12297</v>
      </c>
      <c r="C5252" s="2" t="s">
        <v>38</v>
      </c>
      <c r="D5252" s="2" t="s">
        <v>39</v>
      </c>
      <c r="E5252" s="5">
        <v>-31089</v>
      </c>
      <c r="F5252" s="3" t="s">
        <v>531</v>
      </c>
      <c r="G5252" s="3" t="s">
        <v>20</v>
      </c>
      <c r="H5252" s="2" t="s">
        <v>62</v>
      </c>
      <c r="I5252" s="2" t="s">
        <v>12298</v>
      </c>
      <c r="J5252" s="3" t="str">
        <f>HYPERLINK("https://www.boe.es/gazeta/dias/1814/11/17/pdfs/GMD-1814-153.pdf#page=7","Abrir facsímil")</f>
        <v>Abrir facsímil</v>
      </c>
      <c r="K5252" s="3" t="s">
        <v>64</v>
      </c>
    </row>
    <row r="5253" spans="1:11" ht="42" customHeight="1">
      <c r="A5253" s="2" t="s">
        <v>12299</v>
      </c>
      <c r="B5253" s="2" t="s">
        <v>12300</v>
      </c>
      <c r="C5253" s="2" t="s">
        <v>45</v>
      </c>
      <c r="D5253" s="2" t="s">
        <v>18</v>
      </c>
      <c r="E5253" s="5">
        <v>-31140</v>
      </c>
      <c r="F5253" s="3" t="s">
        <v>525</v>
      </c>
      <c r="G5253" s="3" t="s">
        <v>20</v>
      </c>
      <c r="H5253" s="2" t="s">
        <v>62</v>
      </c>
      <c r="I5253" s="2" t="s">
        <v>12301</v>
      </c>
      <c r="J5253" s="3" t="str">
        <f>HYPERLINK("https://www.boe.es/gazeta/dias/1814/09/27/pdfs/GMD-1814-131.pdf#page=7","Abrir facsímil")</f>
        <v>Abrir facsímil</v>
      </c>
      <c r="K5253" s="3" t="s">
        <v>64</v>
      </c>
    </row>
    <row r="5254" spans="1:11" ht="42" customHeight="1">
      <c r="A5254" s="2" t="s">
        <v>12302</v>
      </c>
      <c r="B5254" s="2" t="s">
        <v>12303</v>
      </c>
      <c r="C5254" s="2" t="s">
        <v>17</v>
      </c>
      <c r="D5254" s="2" t="s">
        <v>18</v>
      </c>
      <c r="E5254" s="5">
        <v>-31229</v>
      </c>
      <c r="F5254" s="3" t="s">
        <v>502</v>
      </c>
      <c r="G5254" s="3" t="s">
        <v>99</v>
      </c>
      <c r="H5254" s="2" t="s">
        <v>62</v>
      </c>
      <c r="I5254" s="2" t="s">
        <v>12304</v>
      </c>
      <c r="J5254" s="3" t="str">
        <f>HYPERLINK("https://www.boe.es/gazeta/dias/1814/06/30/pdfs/GMD-1814-92.pdf#page=5","Abrir facsímil")</f>
        <v>Abrir facsímil</v>
      </c>
      <c r="K5254" s="3" t="s">
        <v>64</v>
      </c>
    </row>
    <row r="5255" spans="1:11" ht="42" customHeight="1">
      <c r="A5255" s="2" t="s">
        <v>12305</v>
      </c>
      <c r="B5255" s="2" t="s">
        <v>12306</v>
      </c>
      <c r="C5255" s="2" t="s">
        <v>17</v>
      </c>
      <c r="D5255" s="2" t="s">
        <v>18</v>
      </c>
      <c r="E5255" s="5">
        <v>-31108</v>
      </c>
      <c r="F5255" s="3" t="s">
        <v>528</v>
      </c>
      <c r="G5255" s="3" t="s">
        <v>52</v>
      </c>
      <c r="H5255" s="2" t="s">
        <v>62</v>
      </c>
      <c r="I5255" s="2" t="s">
        <v>12307</v>
      </c>
      <c r="J5255" s="3" t="str">
        <f>HYPERLINK("https://www.boe.es/gazeta/dias/1814/10/29/pdfs/GMD-1814-145.pdf#page=8","Abrir facsímil")</f>
        <v>Abrir facsímil</v>
      </c>
      <c r="K5255" s="3" t="s">
        <v>64</v>
      </c>
    </row>
    <row r="5256" spans="1:11" ht="42" customHeight="1">
      <c r="A5256" s="2" t="s">
        <v>12308</v>
      </c>
      <c r="B5256" s="2" t="s">
        <v>12308</v>
      </c>
      <c r="C5256" s="2" t="s">
        <v>26</v>
      </c>
      <c r="D5256" s="2" t="s">
        <v>27</v>
      </c>
      <c r="E5256" s="5">
        <v>-31157</v>
      </c>
      <c r="F5256" s="3" t="s">
        <v>206</v>
      </c>
      <c r="G5256" s="3" t="s">
        <v>99</v>
      </c>
      <c r="H5256" s="2" t="s">
        <v>62</v>
      </c>
      <c r="I5256" s="2" t="s">
        <v>12309</v>
      </c>
      <c r="J5256" s="3" t="str">
        <f>HYPERLINK("https://www.boe.es/gazeta/dias/1814/09/10/pdfs/GMD-1814-124.pdf#page=5","Abrir facsímil")</f>
        <v>Abrir facsímil</v>
      </c>
      <c r="K5256" s="3" t="s">
        <v>64</v>
      </c>
    </row>
    <row r="5257" spans="1:11" ht="42" customHeight="1">
      <c r="A5257" s="2" t="s">
        <v>12308</v>
      </c>
      <c r="B5257" s="2" t="s">
        <v>12308</v>
      </c>
      <c r="C5257" s="2" t="s">
        <v>26</v>
      </c>
      <c r="D5257" s="2" t="s">
        <v>27</v>
      </c>
      <c r="E5257" s="5">
        <v>-31124</v>
      </c>
      <c r="F5257" s="3" t="s">
        <v>383</v>
      </c>
      <c r="G5257" s="3" t="s">
        <v>384</v>
      </c>
      <c r="H5257" s="2" t="s">
        <v>62</v>
      </c>
      <c r="I5257" s="2" t="s">
        <v>12310</v>
      </c>
      <c r="J5257" s="3" t="str">
        <f>HYPERLINK("https://www.boe.es/gazeta/dias/1814/10/13/pdfs/GMD-1814-138.pdf#page=11","Abrir facsímil")</f>
        <v>Abrir facsímil</v>
      </c>
      <c r="K5257" s="3" t="s">
        <v>64</v>
      </c>
    </row>
    <row r="5258" spans="1:11" ht="42" customHeight="1">
      <c r="A5258" s="2" t="s">
        <v>12311</v>
      </c>
      <c r="B5258" s="2" t="s">
        <v>12312</v>
      </c>
      <c r="C5258" s="2" t="s">
        <v>26</v>
      </c>
      <c r="D5258" s="2" t="s">
        <v>27</v>
      </c>
      <c r="E5258" s="5">
        <v>-31210</v>
      </c>
      <c r="F5258" s="3" t="s">
        <v>141</v>
      </c>
      <c r="G5258" s="3" t="s">
        <v>52</v>
      </c>
      <c r="H5258" s="2" t="s">
        <v>62</v>
      </c>
      <c r="I5258" s="2" t="s">
        <v>12313</v>
      </c>
      <c r="J5258" s="3" t="str">
        <f>HYPERLINK("https://www.boe.es/gazeta/dias/1814/07/19/pdfs/GMD-1814-100.pdf#page=8","Abrir facsímil")</f>
        <v>Abrir facsímil</v>
      </c>
      <c r="K5258" s="3" t="s">
        <v>64</v>
      </c>
    </row>
    <row r="5259" spans="1:11" ht="42" customHeight="1">
      <c r="A5259" s="2" t="s">
        <v>12311</v>
      </c>
      <c r="B5259" s="2" t="s">
        <v>12312</v>
      </c>
      <c r="C5259" s="2" t="s">
        <v>26</v>
      </c>
      <c r="D5259" s="2" t="s">
        <v>27</v>
      </c>
      <c r="E5259" s="5">
        <v>-31173</v>
      </c>
      <c r="F5259" s="3" t="s">
        <v>46</v>
      </c>
      <c r="G5259" s="3" t="s">
        <v>20</v>
      </c>
      <c r="H5259" s="2" t="s">
        <v>62</v>
      </c>
      <c r="I5259" s="2" t="s">
        <v>12314</v>
      </c>
      <c r="J5259" s="3" t="str">
        <f>HYPERLINK("https://www.boe.es/gazeta/dias/1814/08/25/pdfs/GMD-1814-116.pdf#page=7","Abrir facsímil")</f>
        <v>Abrir facsímil</v>
      </c>
      <c r="K5259" s="3" t="s">
        <v>64</v>
      </c>
    </row>
    <row r="5260" spans="1:11" ht="42" customHeight="1">
      <c r="A5260" s="2" t="s">
        <v>12315</v>
      </c>
      <c r="B5260" s="2" t="s">
        <v>12316</v>
      </c>
      <c r="C5260" s="2" t="s">
        <v>26</v>
      </c>
      <c r="D5260" s="2" t="s">
        <v>27</v>
      </c>
      <c r="E5260" s="5">
        <v>-31129</v>
      </c>
      <c r="F5260" s="3" t="s">
        <v>418</v>
      </c>
      <c r="G5260" s="3" t="s">
        <v>20</v>
      </c>
      <c r="H5260" s="2" t="s">
        <v>62</v>
      </c>
      <c r="I5260" s="2" t="s">
        <v>12317</v>
      </c>
      <c r="J5260" s="3" t="str">
        <f>HYPERLINK("https://www.boe.es/gazeta/dias/1814/10/08/pdfs/GMD-1814-136.pdf#page=7","Abrir facsímil")</f>
        <v>Abrir facsímil</v>
      </c>
      <c r="K5260" s="3" t="s">
        <v>64</v>
      </c>
    </row>
    <row r="5261" spans="1:11" ht="42" customHeight="1">
      <c r="A5261" s="2" t="s">
        <v>12318</v>
      </c>
      <c r="B5261" s="2" t="s">
        <v>12319</v>
      </c>
      <c r="C5261" s="2" t="s">
        <v>17</v>
      </c>
      <c r="D5261" s="2" t="s">
        <v>18</v>
      </c>
      <c r="E5261" s="5">
        <v>-31140</v>
      </c>
      <c r="F5261" s="3" t="s">
        <v>525</v>
      </c>
      <c r="G5261" s="3" t="s">
        <v>20</v>
      </c>
      <c r="H5261" s="2" t="s">
        <v>62</v>
      </c>
      <c r="I5261" s="2" t="s">
        <v>12320</v>
      </c>
      <c r="J5261" s="3" t="str">
        <f>HYPERLINK("https://www.boe.es/gazeta/dias/1814/09/27/pdfs/GMD-1814-131.pdf#page=7","Abrir facsímil")</f>
        <v>Abrir facsímil</v>
      </c>
      <c r="K5261" s="3" t="s">
        <v>64</v>
      </c>
    </row>
    <row r="5262" spans="1:11" ht="42" customHeight="1">
      <c r="A5262" s="2" t="s">
        <v>12321</v>
      </c>
      <c r="B5262" s="2" t="s">
        <v>12321</v>
      </c>
      <c r="C5262" s="2" t="s">
        <v>38</v>
      </c>
      <c r="D5262" s="2" t="s">
        <v>39</v>
      </c>
      <c r="E5262" s="5">
        <v>-31362</v>
      </c>
      <c r="F5262" s="3" t="s">
        <v>302</v>
      </c>
      <c r="G5262" s="3" t="s">
        <v>41</v>
      </c>
      <c r="H5262" s="2" t="s">
        <v>62</v>
      </c>
      <c r="I5262" s="2" t="s">
        <v>12322</v>
      </c>
      <c r="J5262" s="3" t="str">
        <f>HYPERLINK("https://www.boe.es/gazeta/dias/1814/02/17/pdfs/GRE-1814-22.pdf#page=4","Abrir facsímil")</f>
        <v>Abrir facsímil</v>
      </c>
      <c r="K5262" s="3" t="s">
        <v>64</v>
      </c>
    </row>
    <row r="5263" spans="1:11" ht="42" customHeight="1">
      <c r="A5263" s="2" t="s">
        <v>12321</v>
      </c>
      <c r="B5263" s="2" t="s">
        <v>12321</v>
      </c>
      <c r="C5263" s="2" t="s">
        <v>38</v>
      </c>
      <c r="D5263" s="2" t="s">
        <v>39</v>
      </c>
      <c r="E5263" s="5">
        <v>-31320</v>
      </c>
      <c r="F5263" s="3" t="s">
        <v>40</v>
      </c>
      <c r="G5263" s="3" t="s">
        <v>82</v>
      </c>
      <c r="H5263" s="2" t="s">
        <v>62</v>
      </c>
      <c r="I5263" s="2" t="s">
        <v>12323</v>
      </c>
      <c r="J5263" s="3" t="str">
        <f>HYPERLINK("https://www.boe.es/gazeta/dias/1814/03/31/pdfs/GRE-1814-46.pdf#page=3","Abrir facsímil")</f>
        <v>Abrir facsímil</v>
      </c>
      <c r="K5263" s="3" t="s">
        <v>64</v>
      </c>
    </row>
    <row r="5264" spans="1:11" ht="42" customHeight="1">
      <c r="A5264" s="2" t="s">
        <v>12321</v>
      </c>
      <c r="B5264" s="2" t="s">
        <v>12321</v>
      </c>
      <c r="C5264" s="2" t="s">
        <v>38</v>
      </c>
      <c r="D5264" s="2" t="s">
        <v>39</v>
      </c>
      <c r="E5264" s="5">
        <v>-31182</v>
      </c>
      <c r="F5264" s="3" t="s">
        <v>19</v>
      </c>
      <c r="G5264" s="3" t="s">
        <v>57</v>
      </c>
      <c r="H5264" s="2" t="s">
        <v>62</v>
      </c>
      <c r="I5264" s="2" t="s">
        <v>12324</v>
      </c>
      <c r="J5264" s="3" t="str">
        <f>HYPERLINK("https://www.boe.es/gazeta/dias/1814/08/16/pdfs/GMD-1814-112.pdf#page=6","Abrir facsímil")</f>
        <v>Abrir facsímil</v>
      </c>
      <c r="K5264" s="3" t="s">
        <v>64</v>
      </c>
    </row>
    <row r="5265" spans="1:11" ht="42" customHeight="1">
      <c r="A5265" s="2" t="s">
        <v>12325</v>
      </c>
      <c r="B5265" s="2" t="s">
        <v>12326</v>
      </c>
      <c r="C5265" s="2" t="s">
        <v>26</v>
      </c>
      <c r="D5265" s="2" t="s">
        <v>27</v>
      </c>
      <c r="E5265" s="5">
        <v>-31108</v>
      </c>
      <c r="F5265" s="3" t="s">
        <v>528</v>
      </c>
      <c r="G5265" s="3" t="s">
        <v>20</v>
      </c>
      <c r="H5265" s="2" t="s">
        <v>62</v>
      </c>
      <c r="I5265" s="2" t="s">
        <v>12327</v>
      </c>
      <c r="J5265" s="3" t="str">
        <f>HYPERLINK("https://www.boe.es/gazeta/dias/1814/10/29/pdfs/GMD-1814-145.pdf#page=7","Abrir facsímil")</f>
        <v>Abrir facsímil</v>
      </c>
      <c r="K5265" s="3" t="s">
        <v>64</v>
      </c>
    </row>
    <row r="5266" spans="1:11" ht="42" customHeight="1">
      <c r="A5266" s="2" t="s">
        <v>12328</v>
      </c>
      <c r="B5266" s="2" t="s">
        <v>12329</v>
      </c>
      <c r="C5266" s="2" t="s">
        <v>17</v>
      </c>
      <c r="D5266" s="2" t="s">
        <v>18</v>
      </c>
      <c r="E5266" s="5">
        <v>-31353</v>
      </c>
      <c r="F5266" s="3" t="s">
        <v>247</v>
      </c>
      <c r="G5266" s="3" t="s">
        <v>248</v>
      </c>
      <c r="H5266" s="2" t="s">
        <v>62</v>
      </c>
      <c r="I5266" s="2" t="s">
        <v>12330</v>
      </c>
      <c r="J5266" s="3" t="str">
        <f>HYPERLINK("https://www.boe.es/gazeta/dias/1814/02/26/pdfs/GRE-1814-27.pdf#page=5","Abrir facsímil")</f>
        <v>Abrir facsímil</v>
      </c>
      <c r="K5266" s="3" t="s">
        <v>64</v>
      </c>
    </row>
    <row r="5267" spans="1:11" ht="42" customHeight="1">
      <c r="A5267" s="2" t="s">
        <v>12331</v>
      </c>
      <c r="B5267" s="2" t="s">
        <v>12332</v>
      </c>
      <c r="C5267" s="2" t="s">
        <v>26</v>
      </c>
      <c r="D5267" s="2" t="s">
        <v>27</v>
      </c>
      <c r="E5267" s="5">
        <v>-31152</v>
      </c>
      <c r="F5267" s="3" t="s">
        <v>199</v>
      </c>
      <c r="G5267" s="3" t="s">
        <v>41</v>
      </c>
      <c r="H5267" s="2" t="s">
        <v>62</v>
      </c>
      <c r="I5267" s="2" t="s">
        <v>12333</v>
      </c>
      <c r="J5267" s="3" t="str">
        <f>HYPERLINK("https://www.boe.es/gazeta/dias/1814/09/15/pdfs/GMD-1814-126.pdf#page=4","Abrir facsímil")</f>
        <v>Abrir facsímil</v>
      </c>
      <c r="K5267" s="3" t="s">
        <v>64</v>
      </c>
    </row>
    <row r="5268" spans="1:11" ht="42" customHeight="1">
      <c r="A5268" s="2" t="s">
        <v>12334</v>
      </c>
      <c r="B5268" s="2" t="s">
        <v>12335</v>
      </c>
      <c r="C5268" s="2" t="s">
        <v>38</v>
      </c>
      <c r="D5268" s="2" t="s">
        <v>39</v>
      </c>
      <c r="E5268" s="5">
        <v>-31264</v>
      </c>
      <c r="F5268" s="3" t="s">
        <v>396</v>
      </c>
      <c r="G5268" s="3" t="s">
        <v>3711</v>
      </c>
      <c r="H5268" s="2" t="s">
        <v>62</v>
      </c>
      <c r="I5268" s="2" t="s">
        <v>12336</v>
      </c>
      <c r="J5268" s="3" t="str">
        <f>HYPERLINK("https://www.boe.es/gazeta/dias/1814/05/26/pdfs/GMD-1814-77.pdf#page=8","Abrir facsímil")</f>
        <v>Abrir facsímil</v>
      </c>
      <c r="K5268" s="3" t="s">
        <v>64</v>
      </c>
    </row>
    <row r="5269" spans="1:11" ht="42" customHeight="1">
      <c r="A5269" s="2" t="s">
        <v>12337</v>
      </c>
      <c r="B5269" s="2" t="s">
        <v>12338</v>
      </c>
      <c r="C5269" s="2" t="s">
        <v>38</v>
      </c>
      <c r="D5269" s="2" t="s">
        <v>39</v>
      </c>
      <c r="E5269" s="5">
        <v>-31299</v>
      </c>
      <c r="F5269" s="3" t="s">
        <v>71</v>
      </c>
      <c r="G5269" s="3" t="s">
        <v>52</v>
      </c>
      <c r="H5269" s="2" t="s">
        <v>62</v>
      </c>
      <c r="I5269" s="2" t="s">
        <v>12339</v>
      </c>
      <c r="J5269" s="3" t="str">
        <f>HYPERLINK("https://www.boe.es/gazeta/dias/1814/04/21/pdfs/GRE-1814-57.pdf#page=8","Abrir facsímil")</f>
        <v>Abrir facsímil</v>
      </c>
      <c r="K5269" s="3" t="s">
        <v>64</v>
      </c>
    </row>
    <row r="5270" spans="1:11" ht="42" customHeight="1">
      <c r="A5270" s="2" t="s">
        <v>12340</v>
      </c>
      <c r="B5270" s="2" t="s">
        <v>12341</v>
      </c>
      <c r="C5270" s="2" t="s">
        <v>38</v>
      </c>
      <c r="D5270" s="2" t="s">
        <v>39</v>
      </c>
      <c r="E5270" s="5">
        <v>-31175</v>
      </c>
      <c r="F5270" s="3" t="s">
        <v>145</v>
      </c>
      <c r="G5270" s="3" t="s">
        <v>20</v>
      </c>
      <c r="H5270" s="2" t="s">
        <v>62</v>
      </c>
      <c r="I5270" s="2" t="s">
        <v>12342</v>
      </c>
      <c r="J5270" s="3" t="str">
        <f>HYPERLINK("https://www.boe.es/gazeta/dias/1814/08/23/pdfs/GMD-1814-115.pdf#page=7","Abrir facsímil")</f>
        <v>Abrir facsímil</v>
      </c>
      <c r="K5270" s="3" t="s">
        <v>64</v>
      </c>
    </row>
    <row r="5271" spans="1:11" ht="42" customHeight="1">
      <c r="A5271" s="2" t="s">
        <v>12343</v>
      </c>
      <c r="B5271" s="2" t="s">
        <v>12344</v>
      </c>
      <c r="C5271" s="2" t="s">
        <v>26</v>
      </c>
      <c r="D5271" s="2" t="s">
        <v>27</v>
      </c>
      <c r="E5271" s="5">
        <v>-31192</v>
      </c>
      <c r="F5271" s="3" t="s">
        <v>388</v>
      </c>
      <c r="G5271" s="3" t="s">
        <v>20</v>
      </c>
      <c r="H5271" s="2" t="s">
        <v>62</v>
      </c>
      <c r="I5271" s="2" t="s">
        <v>12345</v>
      </c>
      <c r="J5271" s="3" t="str">
        <f>HYPERLINK("https://www.boe.es/gazeta/dias/1814/08/06/pdfs/GMD-1814-108.pdf#page=7","Abrir facsímil")</f>
        <v>Abrir facsímil</v>
      </c>
      <c r="K5271" s="3" t="s">
        <v>64</v>
      </c>
    </row>
    <row r="5272" spans="1:11" ht="42" customHeight="1">
      <c r="A5272" s="2" t="s">
        <v>12346</v>
      </c>
      <c r="B5272" s="2" t="s">
        <v>12346</v>
      </c>
      <c r="C5272" s="2" t="s">
        <v>38</v>
      </c>
      <c r="D5272" s="2" t="s">
        <v>39</v>
      </c>
      <c r="E5272" s="5">
        <v>-31346</v>
      </c>
      <c r="F5272" s="3" t="s">
        <v>78</v>
      </c>
      <c r="G5272" s="3" t="s">
        <v>52</v>
      </c>
      <c r="H5272" s="2" t="s">
        <v>62</v>
      </c>
      <c r="I5272" s="2" t="s">
        <v>12347</v>
      </c>
      <c r="J5272" s="3" t="str">
        <f>HYPERLINK("https://www.boe.es/gazeta/dias/1814/03/05/pdfs/GRE-1814-30.pdf#page=8","Abrir facsímil")</f>
        <v>Abrir facsímil</v>
      </c>
      <c r="K5272" s="3" t="s">
        <v>64</v>
      </c>
    </row>
    <row r="5273" spans="1:11" ht="42" customHeight="1">
      <c r="A5273" s="2" t="s">
        <v>12348</v>
      </c>
      <c r="B5273" s="2" t="s">
        <v>12349</v>
      </c>
      <c r="C5273" s="2" t="s">
        <v>38</v>
      </c>
      <c r="D5273" s="2" t="s">
        <v>39</v>
      </c>
      <c r="E5273" s="5">
        <v>-31346</v>
      </c>
      <c r="F5273" s="3" t="s">
        <v>78</v>
      </c>
      <c r="G5273" s="3" t="s">
        <v>20</v>
      </c>
      <c r="H5273" s="2" t="s">
        <v>62</v>
      </c>
      <c r="I5273" s="2" t="s">
        <v>12350</v>
      </c>
      <c r="J5273" s="3" t="str">
        <f>HYPERLINK("https://www.boe.es/gazeta/dias/1814/03/05/pdfs/GRE-1814-30.pdf#page=7","Abrir facsímil")</f>
        <v>Abrir facsímil</v>
      </c>
      <c r="K5273" s="3" t="s">
        <v>64</v>
      </c>
    </row>
    <row r="5274" spans="1:11" ht="42" customHeight="1">
      <c r="A5274" s="2" t="s">
        <v>12351</v>
      </c>
      <c r="B5274" s="2" t="s">
        <v>12352</v>
      </c>
      <c r="C5274" s="2" t="s">
        <v>38</v>
      </c>
      <c r="D5274" s="2" t="s">
        <v>39</v>
      </c>
      <c r="E5274" s="5">
        <v>-31133</v>
      </c>
      <c r="F5274" s="3" t="s">
        <v>184</v>
      </c>
      <c r="G5274" s="3" t="s">
        <v>20</v>
      </c>
      <c r="H5274" s="2" t="s">
        <v>62</v>
      </c>
      <c r="I5274" s="2" t="s">
        <v>12353</v>
      </c>
      <c r="J5274" s="3" t="str">
        <f>HYPERLINK("https://www.boe.es/gazeta/dias/1814/10/04/pdfs/GMD-1814-134.pdf#page=7","Abrir facsímil")</f>
        <v>Abrir facsímil</v>
      </c>
      <c r="K5274" s="3" t="s">
        <v>64</v>
      </c>
    </row>
    <row r="5275" spans="1:11" ht="42" customHeight="1">
      <c r="A5275" s="2" t="s">
        <v>12354</v>
      </c>
      <c r="B5275" s="2" t="s">
        <v>12355</v>
      </c>
      <c r="C5275" s="2" t="s">
        <v>309</v>
      </c>
      <c r="D5275" s="2" t="s">
        <v>18</v>
      </c>
      <c r="E5275" s="5">
        <v>-31066</v>
      </c>
      <c r="F5275" s="3" t="s">
        <v>1323</v>
      </c>
      <c r="G5275" s="3" t="s">
        <v>20</v>
      </c>
      <c r="H5275" s="2" t="s">
        <v>62</v>
      </c>
      <c r="I5275" s="2" t="s">
        <v>12356</v>
      </c>
      <c r="J5275" s="3" t="str">
        <f>HYPERLINK("https://www.boe.es/gazeta/dias/1814/12/10/pdfs/GMD-1814-163.pdf#page=7","Abrir facsímil")</f>
        <v>Abrir facsímil</v>
      </c>
      <c r="K5275" s="3" t="s">
        <v>64</v>
      </c>
    </row>
    <row r="5276" spans="1:11" ht="42" customHeight="1">
      <c r="A5276" s="2" t="s">
        <v>12357</v>
      </c>
      <c r="B5276" s="2" t="s">
        <v>12358</v>
      </c>
      <c r="C5276" s="2" t="s">
        <v>26</v>
      </c>
      <c r="D5276" s="2" t="s">
        <v>27</v>
      </c>
      <c r="E5276" s="5">
        <v>-31238</v>
      </c>
      <c r="F5276" s="3" t="s">
        <v>127</v>
      </c>
      <c r="G5276" s="3" t="s">
        <v>12359</v>
      </c>
      <c r="H5276" s="2" t="s">
        <v>62</v>
      </c>
      <c r="I5276" s="2" t="s">
        <v>12360</v>
      </c>
      <c r="J5276" s="3" t="str">
        <f>HYPERLINK("https://www.boe.es/gazeta/dias/1814/06/21/pdfs/GMD-1814-88.pdf#page=11","Abrir facsímil")</f>
        <v>Abrir facsímil</v>
      </c>
      <c r="K5276" s="3" t="s">
        <v>64</v>
      </c>
    </row>
    <row r="5277" spans="1:11" ht="42" customHeight="1">
      <c r="A5277" s="2" t="s">
        <v>12361</v>
      </c>
      <c r="B5277" s="2" t="s">
        <v>12362</v>
      </c>
      <c r="C5277" s="2" t="s">
        <v>38</v>
      </c>
      <c r="D5277" s="2" t="s">
        <v>39</v>
      </c>
      <c r="E5277" s="5">
        <v>-31194</v>
      </c>
      <c r="F5277" s="3" t="s">
        <v>333</v>
      </c>
      <c r="G5277" s="3" t="s">
        <v>57</v>
      </c>
      <c r="H5277" s="2" t="s">
        <v>62</v>
      </c>
      <c r="I5277" s="2" t="s">
        <v>12363</v>
      </c>
      <c r="J5277" s="3" t="str">
        <f>HYPERLINK("https://www.boe.es/gazeta/dias/1814/08/04/pdfs/GMD-1814-107.pdf#page=6","Abrir facsímil")</f>
        <v>Abrir facsímil</v>
      </c>
      <c r="K5277" s="3" t="s">
        <v>64</v>
      </c>
    </row>
    <row r="5278" spans="1:11" ht="42" customHeight="1">
      <c r="A5278" s="2" t="s">
        <v>12364</v>
      </c>
      <c r="B5278" s="2" t="s">
        <v>12365</v>
      </c>
      <c r="C5278" s="2" t="s">
        <v>26</v>
      </c>
      <c r="D5278" s="2" t="s">
        <v>27</v>
      </c>
      <c r="E5278" s="5">
        <v>-31161</v>
      </c>
      <c r="F5278" s="3" t="s">
        <v>407</v>
      </c>
      <c r="G5278" s="3" t="s">
        <v>1361</v>
      </c>
      <c r="H5278" s="2" t="s">
        <v>62</v>
      </c>
      <c r="I5278" s="2" t="s">
        <v>12366</v>
      </c>
      <c r="J5278" s="3" t="str">
        <f>HYPERLINK("https://www.boe.es/gazeta/dias/1814/09/06/pdfs/GMD-1814-122.pdf#page=7","Abrir facsímil")</f>
        <v>Abrir facsímil</v>
      </c>
      <c r="K5278" s="3" t="s">
        <v>64</v>
      </c>
    </row>
    <row r="5279" spans="1:11" ht="42" customHeight="1">
      <c r="A5279" s="2" t="s">
        <v>12367</v>
      </c>
      <c r="B5279" s="2" t="s">
        <v>12368</v>
      </c>
      <c r="C5279" s="2" t="s">
        <v>17</v>
      </c>
      <c r="D5279" s="2" t="s">
        <v>18</v>
      </c>
      <c r="E5279" s="5">
        <v>-31080</v>
      </c>
      <c r="F5279" s="3" t="s">
        <v>286</v>
      </c>
      <c r="G5279" s="3" t="s">
        <v>677</v>
      </c>
      <c r="H5279" s="2" t="s">
        <v>62</v>
      </c>
      <c r="I5279" s="2" t="s">
        <v>12369</v>
      </c>
      <c r="J5279" s="3" t="str">
        <f>HYPERLINK("https://www.boe.es/gazeta/dias/1814/11/26/pdfs/GMD-1814-157.pdf#page=7","Abrir facsímil")</f>
        <v>Abrir facsímil</v>
      </c>
      <c r="K5279" s="3" t="s">
        <v>64</v>
      </c>
    </row>
    <row r="5280" spans="1:11" ht="42" customHeight="1">
      <c r="A5280" s="2" t="s">
        <v>12370</v>
      </c>
      <c r="B5280" s="2" t="s">
        <v>12371</v>
      </c>
      <c r="C5280" s="2" t="s">
        <v>26</v>
      </c>
      <c r="D5280" s="2" t="s">
        <v>27</v>
      </c>
      <c r="E5280" s="5">
        <v>-31147</v>
      </c>
      <c r="F5280" s="3" t="s">
        <v>86</v>
      </c>
      <c r="G5280" s="3" t="s">
        <v>87</v>
      </c>
      <c r="H5280" s="2" t="s">
        <v>62</v>
      </c>
      <c r="I5280" s="2" t="s">
        <v>12372</v>
      </c>
      <c r="J5280" s="3" t="str">
        <f>HYPERLINK("https://www.boe.es/gazeta/dias/1814/09/20/pdfs/GMD-1814-128.pdf#page=2","Abrir facsímil")</f>
        <v>Abrir facsímil</v>
      </c>
      <c r="K5280" s="3" t="s">
        <v>64</v>
      </c>
    </row>
    <row r="5281" spans="1:11" ht="42" customHeight="1">
      <c r="A5281" s="2" t="s">
        <v>12373</v>
      </c>
      <c r="B5281" s="2" t="s">
        <v>12374</v>
      </c>
      <c r="C5281" s="2" t="s">
        <v>17</v>
      </c>
      <c r="D5281" s="2" t="s">
        <v>18</v>
      </c>
      <c r="E5281" s="5">
        <v>-31224</v>
      </c>
      <c r="F5281" s="3" t="s">
        <v>609</v>
      </c>
      <c r="G5281" s="3" t="s">
        <v>384</v>
      </c>
      <c r="H5281" s="2" t="s">
        <v>62</v>
      </c>
      <c r="I5281" s="2" t="s">
        <v>12375</v>
      </c>
      <c r="J5281" s="3" t="str">
        <f>HYPERLINK("https://www.boe.es/gazeta/dias/1814/07/05/pdfs/GMD-1814-94.pdf#page=11","Abrir facsímil")</f>
        <v>Abrir facsímil</v>
      </c>
      <c r="K5281" s="3" t="s">
        <v>64</v>
      </c>
    </row>
    <row r="5282" spans="1:11" ht="42" customHeight="1">
      <c r="A5282" s="2" t="s">
        <v>12376</v>
      </c>
      <c r="B5282" s="2" t="s">
        <v>12377</v>
      </c>
      <c r="C5282" s="2" t="s">
        <v>17</v>
      </c>
      <c r="D5282" s="2" t="s">
        <v>18</v>
      </c>
      <c r="E5282" s="5">
        <v>-31084</v>
      </c>
      <c r="F5282" s="3" t="s">
        <v>282</v>
      </c>
      <c r="G5282" s="3" t="s">
        <v>57</v>
      </c>
      <c r="H5282" s="2" t="s">
        <v>62</v>
      </c>
      <c r="I5282" s="2" t="s">
        <v>12378</v>
      </c>
      <c r="J5282" s="3" t="str">
        <f>HYPERLINK("https://www.boe.es/gazeta/dias/1814/11/22/pdfs/GMD-1814-155.pdf#page=6","Abrir facsímil")</f>
        <v>Abrir facsímil</v>
      </c>
      <c r="K5282" s="3" t="s">
        <v>64</v>
      </c>
    </row>
    <row r="5283" spans="1:11" ht="42" customHeight="1">
      <c r="A5283" s="2" t="s">
        <v>12379</v>
      </c>
      <c r="B5283" s="2" t="s">
        <v>12380</v>
      </c>
      <c r="C5283" s="2" t="s">
        <v>38</v>
      </c>
      <c r="D5283" s="2" t="s">
        <v>39</v>
      </c>
      <c r="E5283" s="5">
        <v>-31409</v>
      </c>
      <c r="F5283" s="3" t="s">
        <v>168</v>
      </c>
      <c r="G5283" s="3" t="s">
        <v>20</v>
      </c>
      <c r="H5283" s="2" t="s">
        <v>62</v>
      </c>
      <c r="I5283" s="2" t="s">
        <v>12381</v>
      </c>
      <c r="J5283" s="3" t="str">
        <f>HYPERLINK("https://www.boe.es/gazeta/dias/1814/01/01/pdfs/GRE-1814-1.pdf#page=7","Abrir facsímil")</f>
        <v>Abrir facsímil</v>
      </c>
      <c r="K5283" s="3" t="s">
        <v>64</v>
      </c>
    </row>
    <row r="5284" spans="1:11" ht="42" customHeight="1">
      <c r="A5284" s="2" t="s">
        <v>12382</v>
      </c>
      <c r="B5284" s="2" t="s">
        <v>12383</v>
      </c>
      <c r="C5284" s="2" t="s">
        <v>38</v>
      </c>
      <c r="D5284" s="2" t="s">
        <v>39</v>
      </c>
      <c r="E5284" s="5">
        <v>-31147</v>
      </c>
      <c r="F5284" s="3" t="s">
        <v>86</v>
      </c>
      <c r="G5284" s="3" t="s">
        <v>57</v>
      </c>
      <c r="H5284" s="2" t="s">
        <v>62</v>
      </c>
      <c r="I5284" s="2" t="s">
        <v>12384</v>
      </c>
      <c r="J5284" s="3" t="str">
        <f>HYPERLINK("https://www.boe.es/gazeta/dias/1814/09/20/pdfs/GMD-1814-128.pdf#page=6","Abrir facsímil")</f>
        <v>Abrir facsímil</v>
      </c>
      <c r="K5284" s="3" t="s">
        <v>64</v>
      </c>
    </row>
    <row r="5285" spans="1:11" ht="42" customHeight="1">
      <c r="A5285" s="2" t="s">
        <v>12385</v>
      </c>
      <c r="B5285" s="2" t="s">
        <v>12386</v>
      </c>
      <c r="C5285" s="2" t="s">
        <v>309</v>
      </c>
      <c r="D5285" s="2" t="s">
        <v>18</v>
      </c>
      <c r="E5285" s="5">
        <v>-31252</v>
      </c>
      <c r="F5285" s="3" t="s">
        <v>364</v>
      </c>
      <c r="G5285" s="3" t="s">
        <v>99</v>
      </c>
      <c r="H5285" s="2" t="s">
        <v>62</v>
      </c>
      <c r="I5285" s="2" t="s">
        <v>12387</v>
      </c>
      <c r="J5285" s="3" t="str">
        <f>HYPERLINK("https://www.boe.es/gazeta/dias/1814/06/07/pdfs/GMD-1814-82.pdf#page=5","Abrir facsímil")</f>
        <v>Abrir facsímil</v>
      </c>
      <c r="K5285" s="3" t="s">
        <v>64</v>
      </c>
    </row>
    <row r="5286" spans="1:11" ht="42" customHeight="1">
      <c r="A5286" s="2" t="s">
        <v>12388</v>
      </c>
      <c r="B5286" s="2" t="s">
        <v>12389</v>
      </c>
      <c r="C5286" s="2" t="s">
        <v>26</v>
      </c>
      <c r="D5286" s="2" t="s">
        <v>27</v>
      </c>
      <c r="E5286" s="5">
        <v>-31250</v>
      </c>
      <c r="F5286" s="3" t="s">
        <v>177</v>
      </c>
      <c r="G5286" s="3" t="s">
        <v>52</v>
      </c>
      <c r="H5286" s="2" t="s">
        <v>62</v>
      </c>
      <c r="I5286" s="2" t="s">
        <v>12390</v>
      </c>
      <c r="J5286" s="3" t="str">
        <f>HYPERLINK("https://www.boe.es/gazeta/dias/1814/06/09/pdfs/GMD-1814-83.pdf#page=8","Abrir facsímil")</f>
        <v>Abrir facsímil</v>
      </c>
      <c r="K5286" s="3" t="s">
        <v>64</v>
      </c>
    </row>
    <row r="5287" spans="1:11" ht="42" customHeight="1">
      <c r="A5287" s="2" t="s">
        <v>12391</v>
      </c>
      <c r="B5287" s="2" t="s">
        <v>12392</v>
      </c>
      <c r="C5287" s="2" t="s">
        <v>26</v>
      </c>
      <c r="D5287" s="2" t="s">
        <v>27</v>
      </c>
      <c r="E5287" s="5">
        <v>-31255</v>
      </c>
      <c r="F5287" s="3" t="s">
        <v>983</v>
      </c>
      <c r="G5287" s="3" t="s">
        <v>99</v>
      </c>
      <c r="H5287" s="2" t="s">
        <v>62</v>
      </c>
      <c r="I5287" s="2" t="s">
        <v>12393</v>
      </c>
      <c r="J5287" s="3" t="str">
        <f>HYPERLINK("https://www.boe.es/gazeta/dias/1814/06/04/pdfs/GMD-1814-81.pdf#page=5","Abrir facsímil")</f>
        <v>Abrir facsímil</v>
      </c>
      <c r="K5287" s="3" t="s">
        <v>64</v>
      </c>
    </row>
    <row r="5288" spans="1:11" ht="42" customHeight="1">
      <c r="A5288" s="2" t="s">
        <v>12391</v>
      </c>
      <c r="B5288" s="2" t="s">
        <v>12392</v>
      </c>
      <c r="C5288" s="2" t="s">
        <v>26</v>
      </c>
      <c r="D5288" s="2" t="s">
        <v>27</v>
      </c>
      <c r="E5288" s="5">
        <v>-31250</v>
      </c>
      <c r="F5288" s="3" t="s">
        <v>177</v>
      </c>
      <c r="G5288" s="3" t="s">
        <v>52</v>
      </c>
      <c r="H5288" s="2" t="s">
        <v>62</v>
      </c>
      <c r="I5288" s="2" t="s">
        <v>12394</v>
      </c>
      <c r="J5288" s="3" t="str">
        <f>HYPERLINK("https://www.boe.es/gazeta/dias/1814/06/09/pdfs/GMD-1814-83.pdf#page=8","Abrir facsímil")</f>
        <v>Abrir facsímil</v>
      </c>
      <c r="K5288" s="3" t="s">
        <v>64</v>
      </c>
    </row>
    <row r="5289" spans="1:11" ht="42" customHeight="1">
      <c r="A5289" s="2" t="s">
        <v>12391</v>
      </c>
      <c r="B5289" s="2" t="s">
        <v>12392</v>
      </c>
      <c r="C5289" s="2" t="s">
        <v>26</v>
      </c>
      <c r="D5289" s="2" t="s">
        <v>27</v>
      </c>
      <c r="E5289" s="5">
        <v>-31224</v>
      </c>
      <c r="F5289" s="3" t="s">
        <v>609</v>
      </c>
      <c r="G5289" s="3" t="s">
        <v>384</v>
      </c>
      <c r="H5289" s="2" t="s">
        <v>62</v>
      </c>
      <c r="I5289" s="2" t="s">
        <v>12395</v>
      </c>
      <c r="J5289" s="3" t="str">
        <f>HYPERLINK("https://www.boe.es/gazeta/dias/1814/07/05/pdfs/GMD-1814-94.pdf#page=11","Abrir facsímil")</f>
        <v>Abrir facsímil</v>
      </c>
      <c r="K5289" s="3" t="s">
        <v>64</v>
      </c>
    </row>
    <row r="5290" spans="1:11" ht="42" customHeight="1">
      <c r="A5290" s="2" t="s">
        <v>12396</v>
      </c>
      <c r="B5290" s="2" t="s">
        <v>12397</v>
      </c>
      <c r="C5290" s="2" t="s">
        <v>38</v>
      </c>
      <c r="D5290" s="2" t="s">
        <v>39</v>
      </c>
      <c r="E5290" s="5">
        <v>-31252</v>
      </c>
      <c r="F5290" s="3" t="s">
        <v>364</v>
      </c>
      <c r="G5290" s="3" t="s">
        <v>1437</v>
      </c>
      <c r="H5290" s="2" t="s">
        <v>62</v>
      </c>
      <c r="I5290" s="2" t="s">
        <v>12398</v>
      </c>
      <c r="J5290" s="3" t="str">
        <f>HYPERLINK("https://www.boe.es/gazeta/dias/1814/06/07/pdfs/GMD-1814-82.pdf#page=11","Abrir facsímil")</f>
        <v>Abrir facsímil</v>
      </c>
      <c r="K5290" s="3" t="s">
        <v>64</v>
      </c>
    </row>
    <row r="5291" spans="1:11" ht="42" customHeight="1">
      <c r="A5291" s="2" t="s">
        <v>12399</v>
      </c>
      <c r="B5291" s="2" t="s">
        <v>12400</v>
      </c>
      <c r="C5291" s="2" t="s">
        <v>38</v>
      </c>
      <c r="D5291" s="2" t="s">
        <v>39</v>
      </c>
      <c r="E5291" s="5">
        <v>-31175</v>
      </c>
      <c r="F5291" s="3" t="s">
        <v>145</v>
      </c>
      <c r="G5291" s="3" t="s">
        <v>99</v>
      </c>
      <c r="H5291" s="2" t="s">
        <v>62</v>
      </c>
      <c r="I5291" s="2" t="s">
        <v>12401</v>
      </c>
      <c r="J5291" s="3" t="str">
        <f>HYPERLINK("https://www.boe.es/gazeta/dias/1814/08/23/pdfs/GMD-1814-115.pdf#page=5","Abrir facsímil")</f>
        <v>Abrir facsímil</v>
      </c>
      <c r="K5291" s="3" t="s">
        <v>64</v>
      </c>
    </row>
    <row r="5292" spans="1:11" ht="42" customHeight="1">
      <c r="A5292" s="2" t="s">
        <v>12402</v>
      </c>
      <c r="B5292" s="2" t="s">
        <v>12403</v>
      </c>
      <c r="C5292" s="2" t="s">
        <v>38</v>
      </c>
      <c r="D5292" s="2" t="s">
        <v>39</v>
      </c>
      <c r="E5292" s="5">
        <v>-31201</v>
      </c>
      <c r="F5292" s="3" t="s">
        <v>863</v>
      </c>
      <c r="G5292" s="3" t="s">
        <v>20</v>
      </c>
      <c r="H5292" s="2" t="s">
        <v>62</v>
      </c>
      <c r="I5292" s="2" t="s">
        <v>12404</v>
      </c>
      <c r="J5292" s="3" t="str">
        <f>HYPERLINK("https://www.boe.es/gazeta/dias/1814/07/28/pdfs/GMD-1814-104.pdf#page=7","Abrir facsímil")</f>
        <v>Abrir facsímil</v>
      </c>
      <c r="K5292" s="3" t="s">
        <v>64</v>
      </c>
    </row>
    <row r="5293" spans="1:11" ht="42" customHeight="1">
      <c r="A5293" s="2" t="s">
        <v>12405</v>
      </c>
      <c r="B5293" s="2" t="s">
        <v>12406</v>
      </c>
      <c r="C5293" s="2" t="s">
        <v>38</v>
      </c>
      <c r="D5293" s="2" t="s">
        <v>39</v>
      </c>
      <c r="E5293" s="5">
        <v>-31332</v>
      </c>
      <c r="F5293" s="3" t="s">
        <v>343</v>
      </c>
      <c r="G5293" s="3" t="s">
        <v>449</v>
      </c>
      <c r="H5293" s="2" t="s">
        <v>62</v>
      </c>
      <c r="I5293" s="2" t="s">
        <v>12407</v>
      </c>
      <c r="J5293" s="3" t="str">
        <f>HYPERLINK("https://www.boe.es/gazeta/dias/1814/03/19/pdfs/GRE-1814-38.pdf#page=8","Abrir facsímil")</f>
        <v>Abrir facsímil</v>
      </c>
      <c r="K5293" s="3" t="s">
        <v>64</v>
      </c>
    </row>
    <row r="5294" spans="1:11" ht="42" customHeight="1">
      <c r="A5294" s="2" t="s">
        <v>12408</v>
      </c>
      <c r="B5294" s="2" t="s">
        <v>12409</v>
      </c>
      <c r="C5294" s="2" t="s">
        <v>26</v>
      </c>
      <c r="D5294" s="2" t="s">
        <v>27</v>
      </c>
      <c r="E5294" s="5">
        <v>-31147</v>
      </c>
      <c r="F5294" s="3" t="s">
        <v>86</v>
      </c>
      <c r="G5294" s="3" t="s">
        <v>20</v>
      </c>
      <c r="H5294" s="2" t="s">
        <v>62</v>
      </c>
      <c r="I5294" s="2" t="s">
        <v>12410</v>
      </c>
      <c r="J5294" s="3" t="str">
        <f>HYPERLINK("https://www.boe.es/gazeta/dias/1814/09/20/pdfs/GMD-1814-128.pdf#page=7","Abrir facsímil")</f>
        <v>Abrir facsímil</v>
      </c>
      <c r="K5294" s="3" t="s">
        <v>64</v>
      </c>
    </row>
    <row r="5295" spans="1:11" ht="42" customHeight="1">
      <c r="A5295" s="2" t="s">
        <v>12411</v>
      </c>
      <c r="B5295" s="2" t="s">
        <v>12412</v>
      </c>
      <c r="C5295" s="2" t="s">
        <v>38</v>
      </c>
      <c r="D5295" s="2" t="s">
        <v>39</v>
      </c>
      <c r="E5295" s="5">
        <v>-31325</v>
      </c>
      <c r="F5295" s="3" t="s">
        <v>67</v>
      </c>
      <c r="G5295" s="3" t="s">
        <v>52</v>
      </c>
      <c r="H5295" s="2" t="s">
        <v>62</v>
      </c>
      <c r="I5295" s="2" t="s">
        <v>12413</v>
      </c>
      <c r="J5295" s="3" t="str">
        <f>HYPERLINK("https://www.boe.es/gazeta/dias/1814/03/26/pdfs/GRE-1814-43.pdf#page=8","Abrir facsímil")</f>
        <v>Abrir facsímil</v>
      </c>
      <c r="K5295" s="3" t="s">
        <v>64</v>
      </c>
    </row>
    <row r="5296" spans="1:11" ht="42" customHeight="1">
      <c r="A5296" s="2" t="s">
        <v>12411</v>
      </c>
      <c r="B5296" s="2" t="s">
        <v>12412</v>
      </c>
      <c r="C5296" s="2" t="s">
        <v>17</v>
      </c>
      <c r="D5296" s="2" t="s">
        <v>18</v>
      </c>
      <c r="E5296" s="5">
        <v>-31178</v>
      </c>
      <c r="F5296" s="3" t="s">
        <v>1390</v>
      </c>
      <c r="G5296" s="3" t="s">
        <v>52</v>
      </c>
      <c r="H5296" s="2" t="s">
        <v>62</v>
      </c>
      <c r="I5296" s="2" t="s">
        <v>12414</v>
      </c>
      <c r="J5296" s="3" t="str">
        <f>HYPERLINK("https://www.boe.es/gazeta/dias/1814/08/20/pdfs/GMD-1814-114.pdf#page=8","Abrir facsímil")</f>
        <v>Abrir facsímil</v>
      </c>
      <c r="K5296" s="3" t="s">
        <v>64</v>
      </c>
    </row>
    <row r="5297" spans="1:11" ht="42" customHeight="1">
      <c r="A5297" s="2" t="s">
        <v>12415</v>
      </c>
      <c r="B5297" s="2" t="s">
        <v>12416</v>
      </c>
      <c r="C5297" s="2" t="s">
        <v>17</v>
      </c>
      <c r="D5297" s="2" t="s">
        <v>18</v>
      </c>
      <c r="E5297" s="5">
        <v>-31224</v>
      </c>
      <c r="F5297" s="3" t="s">
        <v>609</v>
      </c>
      <c r="G5297" s="3" t="s">
        <v>322</v>
      </c>
      <c r="H5297" s="2" t="s">
        <v>62</v>
      </c>
      <c r="I5297" s="2" t="s">
        <v>12417</v>
      </c>
      <c r="J5297" s="3" t="str">
        <f>HYPERLINK("https://www.boe.es/gazeta/dias/1814/07/05/pdfs/GMD-1814-94.pdf#page=12","Abrir facsímil")</f>
        <v>Abrir facsímil</v>
      </c>
      <c r="K5297" s="3" t="s">
        <v>64</v>
      </c>
    </row>
    <row r="5298" spans="1:11" ht="42" customHeight="1">
      <c r="A5298" s="2" t="s">
        <v>12415</v>
      </c>
      <c r="B5298" s="2" t="s">
        <v>12416</v>
      </c>
      <c r="C5298" s="2" t="s">
        <v>26</v>
      </c>
      <c r="D5298" s="2" t="s">
        <v>27</v>
      </c>
      <c r="E5298" s="5">
        <v>-31185</v>
      </c>
      <c r="F5298" s="3" t="s">
        <v>1238</v>
      </c>
      <c r="G5298" s="3" t="s">
        <v>1359</v>
      </c>
      <c r="H5298" s="2" t="s">
        <v>62</v>
      </c>
      <c r="I5298" s="2" t="s">
        <v>12418</v>
      </c>
      <c r="J5298" s="3" t="str">
        <f>HYPERLINK("https://www.boe.es/gazeta/dias/1814/08/13/pdfs/GMD-1814-111.pdf#page=6","Abrir facsímil")</f>
        <v>Abrir facsímil</v>
      </c>
      <c r="K5298" s="3" t="s">
        <v>64</v>
      </c>
    </row>
    <row r="5299" spans="1:11" ht="42" customHeight="1">
      <c r="A5299" s="2" t="s">
        <v>12419</v>
      </c>
      <c r="B5299" s="2" t="s">
        <v>12420</v>
      </c>
      <c r="C5299" s="2" t="s">
        <v>38</v>
      </c>
      <c r="D5299" s="2" t="s">
        <v>39</v>
      </c>
      <c r="E5299" s="5">
        <v>-31353</v>
      </c>
      <c r="F5299" s="3" t="s">
        <v>247</v>
      </c>
      <c r="G5299" s="3" t="s">
        <v>248</v>
      </c>
      <c r="H5299" s="2" t="s">
        <v>62</v>
      </c>
      <c r="I5299" s="2" t="s">
        <v>12421</v>
      </c>
      <c r="J5299" s="3" t="str">
        <f>HYPERLINK("https://www.boe.es/gazeta/dias/1814/02/26/pdfs/GRE-1814-27.pdf#page=5","Abrir facsímil")</f>
        <v>Abrir facsímil</v>
      </c>
      <c r="K5299" s="3" t="s">
        <v>64</v>
      </c>
    </row>
    <row r="5300" spans="1:11" ht="42" customHeight="1">
      <c r="A5300" s="2" t="s">
        <v>12422</v>
      </c>
      <c r="B5300" s="2" t="s">
        <v>12423</v>
      </c>
      <c r="C5300" s="2" t="s">
        <v>26</v>
      </c>
      <c r="D5300" s="2" t="s">
        <v>27</v>
      </c>
      <c r="E5300" s="5">
        <v>-31220</v>
      </c>
      <c r="F5300" s="3" t="s">
        <v>122</v>
      </c>
      <c r="G5300" s="3" t="s">
        <v>41</v>
      </c>
      <c r="H5300" s="2" t="s">
        <v>62</v>
      </c>
      <c r="I5300" s="2" t="s">
        <v>12424</v>
      </c>
      <c r="J5300" s="3" t="str">
        <f>HYPERLINK("https://www.boe.es/gazeta/dias/1814/07/09/pdfs/GMD-1814-96.pdf#page=4","Abrir facsímil")</f>
        <v>Abrir facsímil</v>
      </c>
      <c r="K5300" s="3" t="s">
        <v>64</v>
      </c>
    </row>
    <row r="5301" spans="1:11" ht="42" customHeight="1">
      <c r="A5301" s="2" t="s">
        <v>12425</v>
      </c>
      <c r="B5301" s="2" t="s">
        <v>12426</v>
      </c>
      <c r="C5301" s="2" t="s">
        <v>26</v>
      </c>
      <c r="D5301" s="2" t="s">
        <v>27</v>
      </c>
      <c r="E5301" s="5">
        <v>-31171</v>
      </c>
      <c r="F5301" s="3" t="s">
        <v>157</v>
      </c>
      <c r="G5301" s="3" t="s">
        <v>158</v>
      </c>
      <c r="H5301" s="2" t="s">
        <v>62</v>
      </c>
      <c r="I5301" s="2" t="s">
        <v>12427</v>
      </c>
      <c r="J5301" s="3" t="str">
        <f>HYPERLINK("https://www.boe.es/gazeta/dias/1814/08/27/pdfs/GMD-1814-117.pdf#page=7","Abrir facsímil")</f>
        <v>Abrir facsímil</v>
      </c>
      <c r="K5301" s="3" t="s">
        <v>64</v>
      </c>
    </row>
    <row r="5302" spans="1:11" ht="42" customHeight="1">
      <c r="A5302" s="2" t="s">
        <v>12428</v>
      </c>
      <c r="B5302" s="2" t="s">
        <v>12429</v>
      </c>
      <c r="C5302" s="2" t="s">
        <v>38</v>
      </c>
      <c r="D5302" s="2" t="s">
        <v>39</v>
      </c>
      <c r="E5302" s="5">
        <v>-31150</v>
      </c>
      <c r="F5302" s="3" t="s">
        <v>106</v>
      </c>
      <c r="G5302" s="3" t="s">
        <v>52</v>
      </c>
      <c r="H5302" s="2" t="s">
        <v>62</v>
      </c>
      <c r="I5302" s="2" t="s">
        <v>12430</v>
      </c>
      <c r="J5302" s="3" t="str">
        <f>HYPERLINK("https://www.boe.es/gazeta/dias/1814/09/17/pdfs/GMD-1814-127.pdf#page=8","Abrir facsímil")</f>
        <v>Abrir facsímil</v>
      </c>
      <c r="K5302" s="3" t="s">
        <v>64</v>
      </c>
    </row>
    <row r="5303" spans="1:11" ht="42" customHeight="1">
      <c r="A5303" s="2" t="s">
        <v>12431</v>
      </c>
      <c r="B5303" s="2" t="s">
        <v>12432</v>
      </c>
      <c r="C5303" s="2" t="s">
        <v>38</v>
      </c>
      <c r="D5303" s="2" t="s">
        <v>314</v>
      </c>
      <c r="E5303" s="5">
        <v>-31296</v>
      </c>
      <c r="F5303" s="3" t="s">
        <v>315</v>
      </c>
      <c r="G5303" s="3" t="s">
        <v>52</v>
      </c>
      <c r="H5303" s="2" t="s">
        <v>62</v>
      </c>
      <c r="I5303" s="2" t="s">
        <v>12433</v>
      </c>
      <c r="J5303" s="3" t="str">
        <f>HYPERLINK("https://www.boe.es/gazeta/dias/1814/04/24/pdfs/GRE-1814-60E.pdf#page=8","Abrir facsímil")</f>
        <v>Abrir facsímil</v>
      </c>
      <c r="K5303" s="3" t="s">
        <v>64</v>
      </c>
    </row>
    <row r="5304" spans="1:11" ht="42" customHeight="1">
      <c r="A5304" s="2" t="s">
        <v>12434</v>
      </c>
      <c r="B5304" s="2" t="s">
        <v>12435</v>
      </c>
      <c r="C5304" s="2" t="s">
        <v>38</v>
      </c>
      <c r="D5304" s="2" t="s">
        <v>314</v>
      </c>
      <c r="E5304" s="5">
        <v>-31296</v>
      </c>
      <c r="F5304" s="3" t="s">
        <v>315</v>
      </c>
      <c r="G5304" s="3" t="s">
        <v>52</v>
      </c>
      <c r="H5304" s="2" t="s">
        <v>62</v>
      </c>
      <c r="I5304" s="2" t="s">
        <v>12436</v>
      </c>
      <c r="J5304" s="3" t="str">
        <f>HYPERLINK("https://www.boe.es/gazeta/dias/1814/04/24/pdfs/GRE-1814-60E.pdf#page=8","Abrir facsímil")</f>
        <v>Abrir facsímil</v>
      </c>
      <c r="K5304" s="3" t="s">
        <v>64</v>
      </c>
    </row>
    <row r="5305" spans="1:11" ht="42" customHeight="1">
      <c r="A5305" s="2" t="s">
        <v>12437</v>
      </c>
      <c r="B5305" s="2" t="s">
        <v>12438</v>
      </c>
      <c r="C5305" s="2" t="s">
        <v>17</v>
      </c>
      <c r="D5305" s="2" t="s">
        <v>18</v>
      </c>
      <c r="E5305" s="5">
        <v>-31224</v>
      </c>
      <c r="F5305" s="3" t="s">
        <v>609</v>
      </c>
      <c r="G5305" s="3" t="s">
        <v>20</v>
      </c>
      <c r="H5305" s="2" t="s">
        <v>62</v>
      </c>
      <c r="I5305" s="2" t="s">
        <v>12439</v>
      </c>
      <c r="J5305" s="3" t="str">
        <f>HYPERLINK("https://www.boe.es/gazeta/dias/1814/07/05/pdfs/GMD-1814-94.pdf#page=7","Abrir facsímil")</f>
        <v>Abrir facsímil</v>
      </c>
      <c r="K5305" s="3" t="s">
        <v>64</v>
      </c>
    </row>
    <row r="5306" spans="1:11" ht="42" customHeight="1">
      <c r="A5306" s="2" t="s">
        <v>12440</v>
      </c>
      <c r="B5306" s="2" t="s">
        <v>12441</v>
      </c>
      <c r="C5306" s="2" t="s">
        <v>26</v>
      </c>
      <c r="D5306" s="2" t="s">
        <v>27</v>
      </c>
      <c r="E5306" s="5">
        <v>-31124</v>
      </c>
      <c r="F5306" s="3" t="s">
        <v>383</v>
      </c>
      <c r="G5306" s="3" t="s">
        <v>384</v>
      </c>
      <c r="H5306" s="2" t="s">
        <v>62</v>
      </c>
      <c r="I5306" s="2" t="s">
        <v>12442</v>
      </c>
      <c r="J5306" s="3" t="str">
        <f>HYPERLINK("https://www.boe.es/gazeta/dias/1814/10/13/pdfs/GMD-1814-138.pdf#page=11","Abrir facsímil")</f>
        <v>Abrir facsímil</v>
      </c>
      <c r="K5306" s="3" t="s">
        <v>64</v>
      </c>
    </row>
    <row r="5307" spans="1:11" ht="42" customHeight="1">
      <c r="A5307" s="2" t="s">
        <v>12443</v>
      </c>
      <c r="B5307" s="2" t="s">
        <v>12444</v>
      </c>
      <c r="C5307" s="2" t="s">
        <v>17</v>
      </c>
      <c r="D5307" s="2" t="s">
        <v>18</v>
      </c>
      <c r="E5307" s="5">
        <v>-31245</v>
      </c>
      <c r="F5307" s="3" t="s">
        <v>908</v>
      </c>
      <c r="G5307" s="3" t="s">
        <v>322</v>
      </c>
      <c r="H5307" s="2" t="s">
        <v>62</v>
      </c>
      <c r="I5307" s="2" t="s">
        <v>12445</v>
      </c>
      <c r="J5307" s="3" t="str">
        <f>HYPERLINK("https://www.boe.es/gazeta/dias/1814/06/14/pdfs/GMD-1814-85.pdf#page=12","Abrir facsímil")</f>
        <v>Abrir facsímil</v>
      </c>
      <c r="K5307" s="3" t="s">
        <v>64</v>
      </c>
    </row>
    <row r="5308" spans="1:11" ht="42" customHeight="1">
      <c r="A5308" s="2" t="s">
        <v>12446</v>
      </c>
      <c r="B5308" s="2" t="s">
        <v>12447</v>
      </c>
      <c r="C5308" s="2" t="s">
        <v>26</v>
      </c>
      <c r="D5308" s="2" t="s">
        <v>27</v>
      </c>
      <c r="E5308" s="5">
        <v>-31250</v>
      </c>
      <c r="F5308" s="3" t="s">
        <v>177</v>
      </c>
      <c r="G5308" s="3" t="s">
        <v>52</v>
      </c>
      <c r="H5308" s="2" t="s">
        <v>62</v>
      </c>
      <c r="I5308" s="2" t="s">
        <v>12448</v>
      </c>
      <c r="J5308" s="3" t="str">
        <f>HYPERLINK("https://www.boe.es/gazeta/dias/1814/06/09/pdfs/GMD-1814-83.pdf#page=8","Abrir facsímil")</f>
        <v>Abrir facsímil</v>
      </c>
      <c r="K5308" s="3" t="s">
        <v>64</v>
      </c>
    </row>
    <row r="5309" spans="1:11" ht="42" customHeight="1">
      <c r="A5309" s="2" t="s">
        <v>12449</v>
      </c>
      <c r="B5309" s="2" t="s">
        <v>12450</v>
      </c>
      <c r="C5309" s="2" t="s">
        <v>38</v>
      </c>
      <c r="D5309" s="2" t="s">
        <v>39</v>
      </c>
      <c r="E5309" s="5">
        <v>-31371</v>
      </c>
      <c r="F5309" s="3" t="s">
        <v>1017</v>
      </c>
      <c r="G5309" s="3" t="s">
        <v>87</v>
      </c>
      <c r="H5309" s="2" t="s">
        <v>62</v>
      </c>
      <c r="I5309" s="2" t="s">
        <v>12451</v>
      </c>
      <c r="J5309" s="3" t="str">
        <f>HYPERLINK("https://www.boe.es/gazeta/dias/1814/02/08/pdfs/GRE-1814-18.pdf#page=2","Abrir facsímil")</f>
        <v>Abrir facsímil</v>
      </c>
      <c r="K5309" s="3" t="s">
        <v>64</v>
      </c>
    </row>
    <row r="5310" spans="1:11" ht="42" customHeight="1">
      <c r="A5310" s="2" t="s">
        <v>12452</v>
      </c>
      <c r="B5310" s="2" t="s">
        <v>12453</v>
      </c>
      <c r="C5310" s="2" t="s">
        <v>38</v>
      </c>
      <c r="D5310" s="2" t="s">
        <v>39</v>
      </c>
      <c r="E5310" s="5">
        <v>-31329</v>
      </c>
      <c r="F5310" s="3" t="s">
        <v>621</v>
      </c>
      <c r="G5310" s="3" t="s">
        <v>2755</v>
      </c>
      <c r="H5310" s="2" t="s">
        <v>62</v>
      </c>
      <c r="I5310" s="2" t="s">
        <v>12454</v>
      </c>
      <c r="J5310" s="3" t="str">
        <f>HYPERLINK("https://www.boe.es/gazeta/dias/1814/03/22/pdfs/GRE-1814-39.pdf#page=8","Abrir facsímil")</f>
        <v>Abrir facsímil</v>
      </c>
      <c r="K5310" s="3" t="s">
        <v>64</v>
      </c>
    </row>
    <row r="5311" spans="1:11" ht="42" customHeight="1">
      <c r="A5311" s="2" t="s">
        <v>12455</v>
      </c>
      <c r="B5311" s="2" t="s">
        <v>12456</v>
      </c>
      <c r="C5311" s="2" t="s">
        <v>26</v>
      </c>
      <c r="D5311" s="2" t="s">
        <v>27</v>
      </c>
      <c r="E5311" s="5">
        <v>-31224</v>
      </c>
      <c r="F5311" s="3" t="s">
        <v>609</v>
      </c>
      <c r="G5311" s="3" t="s">
        <v>20</v>
      </c>
      <c r="H5311" s="2" t="s">
        <v>62</v>
      </c>
      <c r="I5311" s="2" t="s">
        <v>12457</v>
      </c>
      <c r="J5311" s="3" t="str">
        <f>HYPERLINK("https://www.boe.es/gazeta/dias/1814/07/05/pdfs/GMD-1814-94.pdf#page=7","Abrir facsímil")</f>
        <v>Abrir facsímil</v>
      </c>
      <c r="K5311" s="3" t="s">
        <v>64</v>
      </c>
    </row>
    <row r="5312" spans="1:11" ht="42" customHeight="1">
      <c r="A5312" s="2" t="s">
        <v>12458</v>
      </c>
      <c r="B5312" s="2" t="s">
        <v>12459</v>
      </c>
      <c r="C5312" s="2" t="s">
        <v>38</v>
      </c>
      <c r="D5312" s="2" t="s">
        <v>314</v>
      </c>
      <c r="E5312" s="5">
        <v>-31296</v>
      </c>
      <c r="F5312" s="3" t="s">
        <v>315</v>
      </c>
      <c r="G5312" s="3" t="s">
        <v>52</v>
      </c>
      <c r="H5312" s="2" t="s">
        <v>62</v>
      </c>
      <c r="I5312" s="2" t="s">
        <v>12460</v>
      </c>
      <c r="J5312" s="3" t="str">
        <f>HYPERLINK("https://www.boe.es/gazeta/dias/1814/04/24/pdfs/GRE-1814-60E.pdf#page=8","Abrir facsímil")</f>
        <v>Abrir facsímil</v>
      </c>
      <c r="K5312" s="3" t="s">
        <v>64</v>
      </c>
    </row>
    <row r="5313" spans="1:11" ht="42" customHeight="1">
      <c r="A5313" s="2" t="s">
        <v>12461</v>
      </c>
      <c r="B5313" s="2" t="s">
        <v>12462</v>
      </c>
      <c r="C5313" s="2" t="s">
        <v>17</v>
      </c>
      <c r="D5313" s="2" t="s">
        <v>18</v>
      </c>
      <c r="E5313" s="5">
        <v>-31353</v>
      </c>
      <c r="F5313" s="3" t="s">
        <v>247</v>
      </c>
      <c r="G5313" s="3" t="s">
        <v>248</v>
      </c>
      <c r="H5313" s="2" t="s">
        <v>62</v>
      </c>
      <c r="I5313" s="2" t="s">
        <v>12463</v>
      </c>
      <c r="J5313" s="3" t="str">
        <f>HYPERLINK("https://www.boe.es/gazeta/dias/1814/02/26/pdfs/GRE-1814-27.pdf#page=5","Abrir facsímil")</f>
        <v>Abrir facsímil</v>
      </c>
      <c r="K5313" s="3" t="s">
        <v>64</v>
      </c>
    </row>
    <row r="5314" spans="1:11" ht="42" customHeight="1">
      <c r="A5314" s="2" t="s">
        <v>12464</v>
      </c>
      <c r="B5314" s="2" t="s">
        <v>12465</v>
      </c>
      <c r="C5314" s="2" t="s">
        <v>38</v>
      </c>
      <c r="D5314" s="2" t="s">
        <v>39</v>
      </c>
      <c r="E5314" s="5">
        <v>-31304</v>
      </c>
      <c r="F5314" s="3" t="s">
        <v>1964</v>
      </c>
      <c r="G5314" s="3" t="s">
        <v>20</v>
      </c>
      <c r="H5314" s="2" t="s">
        <v>62</v>
      </c>
      <c r="I5314" s="2" t="s">
        <v>12466</v>
      </c>
      <c r="J5314" s="3" t="str">
        <f>HYPERLINK("https://www.boe.es/gazeta/dias/1814/04/16/pdfs/GRE-1814-55.pdf#page=7","Abrir facsímil")</f>
        <v>Abrir facsímil</v>
      </c>
      <c r="K5314" s="3" t="s">
        <v>64</v>
      </c>
    </row>
    <row r="5315" spans="1:11" ht="42" customHeight="1">
      <c r="A5315" s="2" t="s">
        <v>12467</v>
      </c>
      <c r="B5315" s="2" t="s">
        <v>12468</v>
      </c>
      <c r="C5315" s="2" t="s">
        <v>38</v>
      </c>
      <c r="D5315" s="2" t="s">
        <v>314</v>
      </c>
      <c r="E5315" s="5">
        <v>-31296</v>
      </c>
      <c r="F5315" s="3" t="s">
        <v>315</v>
      </c>
      <c r="G5315" s="3" t="s">
        <v>52</v>
      </c>
      <c r="H5315" s="2" t="s">
        <v>62</v>
      </c>
      <c r="I5315" s="2" t="s">
        <v>12469</v>
      </c>
      <c r="J5315" s="3" t="str">
        <f>HYPERLINK("https://www.boe.es/gazeta/dias/1814/04/24/pdfs/GRE-1814-60E.pdf#page=8","Abrir facsímil")</f>
        <v>Abrir facsímil</v>
      </c>
      <c r="K5315" s="3" t="s">
        <v>64</v>
      </c>
    </row>
    <row r="5316" spans="1:11" ht="42" customHeight="1">
      <c r="A5316" s="2" t="s">
        <v>12470</v>
      </c>
      <c r="B5316" s="2" t="s">
        <v>12471</v>
      </c>
      <c r="C5316" s="2" t="s">
        <v>38</v>
      </c>
      <c r="D5316" s="2" t="s">
        <v>39</v>
      </c>
      <c r="E5316" s="5">
        <v>-31175</v>
      </c>
      <c r="F5316" s="3" t="s">
        <v>145</v>
      </c>
      <c r="G5316" s="3" t="s">
        <v>41</v>
      </c>
      <c r="H5316" s="2" t="s">
        <v>62</v>
      </c>
      <c r="I5316" s="2" t="s">
        <v>12472</v>
      </c>
      <c r="J5316" s="3" t="str">
        <f>HYPERLINK("https://www.boe.es/gazeta/dias/1814/08/23/pdfs/GMD-1814-115.pdf#page=4","Abrir facsímil")</f>
        <v>Abrir facsímil</v>
      </c>
      <c r="K5316" s="3" t="s">
        <v>64</v>
      </c>
    </row>
    <row r="5317" spans="1:11" ht="42" customHeight="1">
      <c r="A5317" s="2" t="s">
        <v>12473</v>
      </c>
      <c r="B5317" s="2" t="s">
        <v>12473</v>
      </c>
      <c r="C5317" s="2" t="s">
        <v>38</v>
      </c>
      <c r="D5317" s="2" t="s">
        <v>314</v>
      </c>
      <c r="E5317" s="5">
        <v>-31165</v>
      </c>
      <c r="F5317" s="3" t="s">
        <v>2087</v>
      </c>
      <c r="G5317" s="3" t="s">
        <v>107</v>
      </c>
      <c r="H5317" s="2" t="s">
        <v>62</v>
      </c>
      <c r="I5317" s="2" t="s">
        <v>12474</v>
      </c>
      <c r="J5317" s="3" t="str">
        <f>HYPERLINK("https://www.boe.es/gazeta/dias/1814/09/02/pdfs/GMD-1814-120E.pdf#page=1","Abrir facsímil")</f>
        <v>Abrir facsímil</v>
      </c>
      <c r="K5317" s="3" t="s">
        <v>64</v>
      </c>
    </row>
    <row r="5318" spans="1:11" ht="42" customHeight="1">
      <c r="A5318" s="2" t="s">
        <v>12475</v>
      </c>
      <c r="B5318" s="2" t="s">
        <v>12476</v>
      </c>
      <c r="C5318" s="2" t="s">
        <v>38</v>
      </c>
      <c r="D5318" s="2" t="s">
        <v>39</v>
      </c>
      <c r="E5318" s="5">
        <v>-31262</v>
      </c>
      <c r="F5318" s="3" t="s">
        <v>254</v>
      </c>
      <c r="G5318" s="3" t="s">
        <v>41</v>
      </c>
      <c r="H5318" s="2" t="s">
        <v>62</v>
      </c>
      <c r="I5318" s="2" t="s">
        <v>12477</v>
      </c>
      <c r="J5318" s="3" t="str">
        <f>HYPERLINK("https://www.boe.es/gazeta/dias/1814/05/28/pdfs/GMD-1814-78.pdf#page=4","Abrir facsímil")</f>
        <v>Abrir facsímil</v>
      </c>
      <c r="K5318" s="3" t="s">
        <v>64</v>
      </c>
    </row>
    <row r="5319" spans="1:11" ht="42" customHeight="1">
      <c r="A5319" s="2" t="s">
        <v>12478</v>
      </c>
      <c r="B5319" s="2" t="s">
        <v>12479</v>
      </c>
      <c r="C5319" s="2" t="s">
        <v>17</v>
      </c>
      <c r="D5319" s="2" t="s">
        <v>18</v>
      </c>
      <c r="E5319" s="5">
        <v>-31154</v>
      </c>
      <c r="F5319" s="3" t="s">
        <v>688</v>
      </c>
      <c r="G5319" s="3" t="s">
        <v>831</v>
      </c>
      <c r="H5319" s="2" t="s">
        <v>62</v>
      </c>
      <c r="I5319" s="2" t="s">
        <v>12480</v>
      </c>
      <c r="J5319" s="3" t="str">
        <f>HYPERLINK("https://www.boe.es/gazeta/dias/1814/09/13/pdfs/GMD-1814-125.pdf#page=3","Abrir facsímil")</f>
        <v>Abrir facsímil</v>
      </c>
      <c r="K5319" s="3" t="s">
        <v>64</v>
      </c>
    </row>
    <row r="5320" spans="1:11" ht="42" customHeight="1">
      <c r="A5320" s="2" t="s">
        <v>12481</v>
      </c>
      <c r="B5320" s="2" t="s">
        <v>12482</v>
      </c>
      <c r="C5320" s="2" t="s">
        <v>26</v>
      </c>
      <c r="D5320" s="2" t="s">
        <v>27</v>
      </c>
      <c r="E5320" s="5">
        <v>-31250</v>
      </c>
      <c r="F5320" s="3" t="s">
        <v>177</v>
      </c>
      <c r="G5320" s="3" t="s">
        <v>52</v>
      </c>
      <c r="H5320" s="2" t="s">
        <v>62</v>
      </c>
      <c r="I5320" s="2" t="s">
        <v>12483</v>
      </c>
      <c r="J5320" s="3" t="str">
        <f>HYPERLINK("https://www.boe.es/gazeta/dias/1814/06/09/pdfs/GMD-1814-83.pdf#page=8","Abrir facsímil")</f>
        <v>Abrir facsímil</v>
      </c>
      <c r="K5320" s="3" t="s">
        <v>64</v>
      </c>
    </row>
    <row r="5321" spans="1:11" ht="42" customHeight="1">
      <c r="A5321" s="2" t="s">
        <v>12481</v>
      </c>
      <c r="B5321" s="2" t="s">
        <v>12482</v>
      </c>
      <c r="C5321" s="2" t="s">
        <v>26</v>
      </c>
      <c r="D5321" s="2" t="s">
        <v>27</v>
      </c>
      <c r="E5321" s="5">
        <v>-31147</v>
      </c>
      <c r="F5321" s="3" t="s">
        <v>86</v>
      </c>
      <c r="G5321" s="3" t="s">
        <v>20</v>
      </c>
      <c r="H5321" s="2" t="s">
        <v>62</v>
      </c>
      <c r="I5321" s="2" t="s">
        <v>12484</v>
      </c>
      <c r="J5321" s="3" t="str">
        <f>HYPERLINK("https://www.boe.es/gazeta/dias/1814/09/20/pdfs/GMD-1814-128.pdf#page=7","Abrir facsímil")</f>
        <v>Abrir facsímil</v>
      </c>
      <c r="K5321" s="3" t="s">
        <v>64</v>
      </c>
    </row>
    <row r="5322" spans="1:11" ht="42" customHeight="1">
      <c r="A5322" s="2" t="s">
        <v>12485</v>
      </c>
      <c r="B5322" s="2" t="s">
        <v>12486</v>
      </c>
      <c r="C5322" s="2" t="s">
        <v>45</v>
      </c>
      <c r="D5322" s="2" t="s">
        <v>18</v>
      </c>
      <c r="E5322" s="5">
        <v>-31311</v>
      </c>
      <c r="F5322" s="3" t="s">
        <v>3144</v>
      </c>
      <c r="G5322" s="3" t="s">
        <v>52</v>
      </c>
      <c r="H5322" s="2" t="s">
        <v>62</v>
      </c>
      <c r="I5322" s="2" t="s">
        <v>12487</v>
      </c>
      <c r="J5322" s="3" t="str">
        <f>HYPERLINK("https://www.boe.es/gazeta/dias/1814/04/09/pdfs/GRE-1814-51.pdf#page=8","Abrir facsímil")</f>
        <v>Abrir facsímil</v>
      </c>
      <c r="K5322" s="3" t="s">
        <v>64</v>
      </c>
    </row>
    <row r="5323" spans="1:11" ht="42" customHeight="1">
      <c r="A5323" s="2" t="s">
        <v>12488</v>
      </c>
      <c r="B5323" s="2" t="s">
        <v>12489</v>
      </c>
      <c r="C5323" s="2" t="s">
        <v>17</v>
      </c>
      <c r="D5323" s="2" t="s">
        <v>18</v>
      </c>
      <c r="E5323" s="5">
        <v>-31152</v>
      </c>
      <c r="F5323" s="3" t="s">
        <v>199</v>
      </c>
      <c r="G5323" s="3" t="s">
        <v>20</v>
      </c>
      <c r="H5323" s="2" t="s">
        <v>62</v>
      </c>
      <c r="I5323" s="2" t="s">
        <v>12490</v>
      </c>
      <c r="J5323" s="3" t="str">
        <f>HYPERLINK("https://www.boe.es/gazeta/dias/1814/09/15/pdfs/GMD-1814-126.pdf#page=7","Abrir facsímil")</f>
        <v>Abrir facsímil</v>
      </c>
      <c r="K5323" s="3" t="s">
        <v>64</v>
      </c>
    </row>
    <row r="5324" spans="1:11" ht="42" customHeight="1">
      <c r="A5324" s="2" t="s">
        <v>12491</v>
      </c>
      <c r="B5324" s="2" t="s">
        <v>12492</v>
      </c>
      <c r="C5324" s="2" t="s">
        <v>38</v>
      </c>
      <c r="D5324" s="2" t="s">
        <v>39</v>
      </c>
      <c r="E5324" s="5">
        <v>-31152</v>
      </c>
      <c r="F5324" s="3" t="s">
        <v>199</v>
      </c>
      <c r="G5324" s="3" t="s">
        <v>52</v>
      </c>
      <c r="H5324" s="2" t="s">
        <v>21</v>
      </c>
      <c r="I5324" s="2" t="s">
        <v>12493</v>
      </c>
      <c r="J5324" s="3" t="str">
        <f>HYPERLINK("https://www.boe.es/gazeta/dias/1814/09/15/pdfs/GMD-1814-126.pdf#page=8","Abrir facsímil")</f>
        <v>Abrir facsímil</v>
      </c>
      <c r="K5324" s="3" t="s">
        <v>23</v>
      </c>
    </row>
    <row r="5325" spans="1:11" ht="42" customHeight="1">
      <c r="A5325" s="2" t="s">
        <v>12494</v>
      </c>
      <c r="B5325" s="2" t="s">
        <v>12495</v>
      </c>
      <c r="C5325" s="2" t="s">
        <v>38</v>
      </c>
      <c r="D5325" s="2" t="s">
        <v>39</v>
      </c>
      <c r="E5325" s="5">
        <v>-31378</v>
      </c>
      <c r="F5325" s="3" t="s">
        <v>98</v>
      </c>
      <c r="G5325" s="3" t="s">
        <v>52</v>
      </c>
      <c r="H5325" s="2" t="s">
        <v>62</v>
      </c>
      <c r="I5325" s="2" t="s">
        <v>12496</v>
      </c>
      <c r="J5325" s="3" t="str">
        <f>HYPERLINK("https://www.boe.es/gazeta/dias/1814/02/01/pdfs/GRE-1814-15.pdf#page=8","Abrir facsímil")</f>
        <v>Abrir facsímil</v>
      </c>
      <c r="K5325" s="3" t="s">
        <v>64</v>
      </c>
    </row>
    <row r="5326" spans="1:11" ht="42" customHeight="1">
      <c r="A5326" s="2" t="s">
        <v>12497</v>
      </c>
      <c r="B5326" s="2" t="s">
        <v>12498</v>
      </c>
      <c r="C5326" s="2" t="s">
        <v>38</v>
      </c>
      <c r="D5326" s="2" t="s">
        <v>39</v>
      </c>
      <c r="E5326" s="5">
        <v>-31129</v>
      </c>
      <c r="F5326" s="3" t="s">
        <v>418</v>
      </c>
      <c r="G5326" s="3" t="s">
        <v>20</v>
      </c>
      <c r="H5326" s="2" t="s">
        <v>62</v>
      </c>
      <c r="I5326" s="2" t="s">
        <v>12499</v>
      </c>
      <c r="J5326" s="3" t="str">
        <f>HYPERLINK("https://www.boe.es/gazeta/dias/1814/10/08/pdfs/GMD-1814-136.pdf#page=7","Abrir facsímil")</f>
        <v>Abrir facsímil</v>
      </c>
      <c r="K5326" s="3" t="s">
        <v>64</v>
      </c>
    </row>
    <row r="5327" spans="1:11" ht="42" customHeight="1">
      <c r="A5327" s="2" t="s">
        <v>12500</v>
      </c>
      <c r="B5327" s="2" t="s">
        <v>12501</v>
      </c>
      <c r="C5327" s="2" t="s">
        <v>26</v>
      </c>
      <c r="D5327" s="2" t="s">
        <v>27</v>
      </c>
      <c r="E5327" s="5">
        <v>-31140</v>
      </c>
      <c r="F5327" s="3" t="s">
        <v>525</v>
      </c>
      <c r="G5327" s="3" t="s">
        <v>99</v>
      </c>
      <c r="H5327" s="2" t="s">
        <v>62</v>
      </c>
      <c r="I5327" s="2" t="s">
        <v>12502</v>
      </c>
      <c r="J5327" s="3" t="str">
        <f>HYPERLINK("https://www.boe.es/gazeta/dias/1814/09/27/pdfs/GMD-1814-131.pdf#page=5","Abrir facsímil")</f>
        <v>Abrir facsímil</v>
      </c>
      <c r="K5327" s="3" t="s">
        <v>64</v>
      </c>
    </row>
    <row r="5328" spans="1:11" ht="42" customHeight="1">
      <c r="A5328" s="2" t="s">
        <v>12503</v>
      </c>
      <c r="B5328" s="2" t="s">
        <v>12503</v>
      </c>
      <c r="C5328" s="2" t="s">
        <v>38</v>
      </c>
      <c r="D5328" s="2" t="s">
        <v>39</v>
      </c>
      <c r="E5328" s="5">
        <v>-31329</v>
      </c>
      <c r="F5328" s="3" t="s">
        <v>621</v>
      </c>
      <c r="G5328" s="3" t="s">
        <v>99</v>
      </c>
      <c r="H5328" s="2" t="s">
        <v>62</v>
      </c>
      <c r="I5328" s="2" t="s">
        <v>12504</v>
      </c>
      <c r="J5328" s="3" t="str">
        <f>HYPERLINK("https://www.boe.es/gazeta/dias/1814/03/22/pdfs/GRE-1814-39.pdf#page=5","Abrir facsímil")</f>
        <v>Abrir facsímil</v>
      </c>
      <c r="K5328" s="3" t="s">
        <v>64</v>
      </c>
    </row>
    <row r="5329" spans="1:11" ht="42" customHeight="1">
      <c r="A5329" s="2" t="s">
        <v>12505</v>
      </c>
      <c r="B5329" s="2" t="s">
        <v>12505</v>
      </c>
      <c r="C5329" s="2" t="s">
        <v>38</v>
      </c>
      <c r="D5329" s="2" t="s">
        <v>39</v>
      </c>
      <c r="E5329" s="5">
        <v>-31252</v>
      </c>
      <c r="F5329" s="3" t="s">
        <v>364</v>
      </c>
      <c r="G5329" s="3" t="s">
        <v>107</v>
      </c>
      <c r="H5329" s="2" t="s">
        <v>62</v>
      </c>
      <c r="I5329" s="2" t="s">
        <v>12506</v>
      </c>
      <c r="J5329" s="3" t="str">
        <f>HYPERLINK("https://www.boe.es/gazeta/dias/1814/06/07/pdfs/GMD-1814-82.pdf#page=1","Abrir facsímil")</f>
        <v>Abrir facsímil</v>
      </c>
      <c r="K5329" s="3" t="s">
        <v>64</v>
      </c>
    </row>
    <row r="5330" spans="1:11" ht="42" customHeight="1">
      <c r="A5330" s="2" t="s">
        <v>12507</v>
      </c>
      <c r="B5330" s="2" t="s">
        <v>12508</v>
      </c>
      <c r="C5330" s="2" t="s">
        <v>17</v>
      </c>
      <c r="D5330" s="2" t="s">
        <v>18</v>
      </c>
      <c r="E5330" s="5">
        <v>-31234</v>
      </c>
      <c r="F5330" s="3" t="s">
        <v>462</v>
      </c>
      <c r="G5330" s="3" t="s">
        <v>99</v>
      </c>
      <c r="H5330" s="2" t="s">
        <v>21</v>
      </c>
      <c r="I5330" s="2" t="s">
        <v>12509</v>
      </c>
      <c r="J5330" s="3" t="str">
        <f>HYPERLINK("https://www.boe.es/gazeta/dias/1814/06/25/pdfs/GMD-1814-90.pdf#page=5","Abrir facsímil")</f>
        <v>Abrir facsímil</v>
      </c>
      <c r="K5330" s="3" t="s">
        <v>23</v>
      </c>
    </row>
    <row r="5331" spans="1:11" ht="42" customHeight="1">
      <c r="A5331" s="2" t="s">
        <v>12510</v>
      </c>
      <c r="B5331" s="2" t="s">
        <v>12511</v>
      </c>
      <c r="C5331" s="2" t="s">
        <v>38</v>
      </c>
      <c r="D5331" s="2" t="s">
        <v>39</v>
      </c>
      <c r="E5331" s="5">
        <v>-31294</v>
      </c>
      <c r="F5331" s="3" t="s">
        <v>680</v>
      </c>
      <c r="G5331" s="3" t="s">
        <v>99</v>
      </c>
      <c r="H5331" s="2" t="s">
        <v>21</v>
      </c>
      <c r="I5331" s="2" t="s">
        <v>12512</v>
      </c>
      <c r="J5331" s="3" t="str">
        <f>HYPERLINK("https://www.boe.es/gazeta/dias/1814/04/26/pdfs/GRE-1814-61.pdf#page=5","Abrir facsímil")</f>
        <v>Abrir facsímil</v>
      </c>
      <c r="K5331" s="3" t="s">
        <v>23</v>
      </c>
    </row>
    <row r="5332" spans="1:11" ht="42" customHeight="1">
      <c r="A5332" s="2" t="s">
        <v>12513</v>
      </c>
      <c r="B5332" s="2" t="s">
        <v>12513</v>
      </c>
      <c r="C5332" s="2" t="s">
        <v>38</v>
      </c>
      <c r="D5332" s="2" t="s">
        <v>39</v>
      </c>
      <c r="E5332" s="5">
        <v>-31313</v>
      </c>
      <c r="F5332" s="3" t="s">
        <v>239</v>
      </c>
      <c r="G5332" s="3" t="s">
        <v>87</v>
      </c>
      <c r="H5332" s="2" t="s">
        <v>62</v>
      </c>
      <c r="I5332" s="2" t="s">
        <v>12514</v>
      </c>
      <c r="J5332" s="3" t="str">
        <f>HYPERLINK("https://www.boe.es/gazeta/dias/1814/04/07/pdfs/GRE-1814-50.pdf#page=2","Abrir facsímil")</f>
        <v>Abrir facsímil</v>
      </c>
      <c r="K5332" s="3" t="s">
        <v>64</v>
      </c>
    </row>
    <row r="5333" spans="1:11" ht="42" customHeight="1">
      <c r="A5333" s="2" t="s">
        <v>12513</v>
      </c>
      <c r="B5333" s="2" t="s">
        <v>12513</v>
      </c>
      <c r="C5333" s="2" t="s">
        <v>38</v>
      </c>
      <c r="D5333" s="2" t="s">
        <v>39</v>
      </c>
      <c r="E5333" s="5">
        <v>-31131</v>
      </c>
      <c r="F5333" s="3" t="s">
        <v>132</v>
      </c>
      <c r="G5333" s="3" t="s">
        <v>82</v>
      </c>
      <c r="H5333" s="2" t="s">
        <v>62</v>
      </c>
      <c r="I5333" s="2" t="s">
        <v>12515</v>
      </c>
      <c r="J5333" s="3" t="str">
        <f>HYPERLINK("https://www.boe.es/gazeta/dias/1814/10/06/pdfs/GMD-1814-135.pdf#page=3","Abrir facsímil")</f>
        <v>Abrir facsímil</v>
      </c>
      <c r="K5333" s="3" t="s">
        <v>64</v>
      </c>
    </row>
    <row r="5334" spans="1:11" ht="42" customHeight="1">
      <c r="A5334" s="2" t="s">
        <v>12516</v>
      </c>
      <c r="B5334" s="2" t="s">
        <v>12517</v>
      </c>
      <c r="C5334" s="2" t="s">
        <v>38</v>
      </c>
      <c r="D5334" s="2" t="s">
        <v>39</v>
      </c>
      <c r="E5334" s="5">
        <v>-31103</v>
      </c>
      <c r="F5334" s="3" t="s">
        <v>1260</v>
      </c>
      <c r="G5334" s="3" t="s">
        <v>1261</v>
      </c>
      <c r="H5334" s="2" t="s">
        <v>62</v>
      </c>
      <c r="I5334" s="2" t="s">
        <v>12518</v>
      </c>
      <c r="J5334" s="3" t="str">
        <f>HYPERLINK("https://www.boe.es/gazeta/dias/1814/11/03/pdfs/GMD-1814-147.pdf#page=8","Abrir facsímil")</f>
        <v>Abrir facsímil</v>
      </c>
      <c r="K5334" s="3" t="s">
        <v>64</v>
      </c>
    </row>
    <row r="5335" spans="1:11" ht="42" customHeight="1">
      <c r="A5335" s="2" t="s">
        <v>12519</v>
      </c>
      <c r="B5335" s="2" t="s">
        <v>12520</v>
      </c>
      <c r="C5335" s="2" t="s">
        <v>38</v>
      </c>
      <c r="D5335" s="2" t="s">
        <v>39</v>
      </c>
      <c r="E5335" s="5">
        <v>-31220</v>
      </c>
      <c r="F5335" s="3" t="s">
        <v>122</v>
      </c>
      <c r="G5335" s="3" t="s">
        <v>57</v>
      </c>
      <c r="H5335" s="2" t="s">
        <v>62</v>
      </c>
      <c r="I5335" s="2" t="s">
        <v>12521</v>
      </c>
      <c r="J5335" s="3" t="str">
        <f>HYPERLINK("https://www.boe.es/gazeta/dias/1814/07/09/pdfs/GMD-1814-96.pdf#page=6","Abrir facsímil")</f>
        <v>Abrir facsímil</v>
      </c>
      <c r="K5335" s="3" t="s">
        <v>64</v>
      </c>
    </row>
    <row r="5336" spans="1:11" ht="42" customHeight="1">
      <c r="A5336" s="2" t="s">
        <v>12522</v>
      </c>
      <c r="B5336" s="2" t="s">
        <v>12523</v>
      </c>
      <c r="C5336" s="2" t="s">
        <v>26</v>
      </c>
      <c r="D5336" s="2" t="s">
        <v>27</v>
      </c>
      <c r="E5336" s="5">
        <v>-31285</v>
      </c>
      <c r="F5336" s="3" t="s">
        <v>1141</v>
      </c>
      <c r="G5336" s="3" t="s">
        <v>1142</v>
      </c>
      <c r="H5336" s="2" t="s">
        <v>62</v>
      </c>
      <c r="I5336" s="2" t="s">
        <v>12524</v>
      </c>
      <c r="J5336" s="3" t="str">
        <f>HYPERLINK("https://www.boe.es/gazeta/dias/1814/05/05/pdfs/GRE-1814-66.pdf#page=8","Abrir facsímil")</f>
        <v>Abrir facsímil</v>
      </c>
      <c r="K5336" s="3" t="s">
        <v>64</v>
      </c>
    </row>
    <row r="5337" spans="1:11" ht="42" customHeight="1">
      <c r="A5337" s="2" t="s">
        <v>12525</v>
      </c>
      <c r="B5337" s="2" t="s">
        <v>12526</v>
      </c>
      <c r="C5337" s="2" t="s">
        <v>38</v>
      </c>
      <c r="D5337" s="2" t="s">
        <v>39</v>
      </c>
      <c r="E5337" s="5">
        <v>-31199</v>
      </c>
      <c r="F5337" s="3" t="s">
        <v>453</v>
      </c>
      <c r="G5337" s="3" t="s">
        <v>20</v>
      </c>
      <c r="H5337" s="2" t="s">
        <v>62</v>
      </c>
      <c r="I5337" s="2" t="s">
        <v>12527</v>
      </c>
      <c r="J5337" s="3" t="str">
        <f>HYPERLINK("https://www.boe.es/gazeta/dias/1814/07/30/pdfs/GMD-1814-105.pdf#page=7","Abrir facsímil")</f>
        <v>Abrir facsímil</v>
      </c>
      <c r="K5337" s="3" t="s">
        <v>64</v>
      </c>
    </row>
    <row r="5338" spans="1:11" ht="42" customHeight="1">
      <c r="A5338" s="2" t="s">
        <v>12528</v>
      </c>
      <c r="B5338" s="2" t="s">
        <v>12529</v>
      </c>
      <c r="C5338" s="2" t="s">
        <v>38</v>
      </c>
      <c r="D5338" s="2" t="s">
        <v>39</v>
      </c>
      <c r="E5338" s="5">
        <v>-31196</v>
      </c>
      <c r="F5338" s="3" t="s">
        <v>828</v>
      </c>
      <c r="G5338" s="3" t="s">
        <v>52</v>
      </c>
      <c r="H5338" s="2" t="s">
        <v>62</v>
      </c>
      <c r="I5338" s="2" t="s">
        <v>12530</v>
      </c>
      <c r="J5338" s="3" t="str">
        <f>HYPERLINK("https://www.boe.es/gazeta/dias/1814/08/02/pdfs/GMD-1814-106.pdf#page=8","Abrir facsímil")</f>
        <v>Abrir facsímil</v>
      </c>
      <c r="K5338" s="3" t="s">
        <v>64</v>
      </c>
    </row>
    <row r="5339" spans="1:11" ht="42" customHeight="1">
      <c r="A5339" s="2" t="s">
        <v>12531</v>
      </c>
      <c r="B5339" s="2" t="s">
        <v>12531</v>
      </c>
      <c r="C5339" s="2" t="s">
        <v>38</v>
      </c>
      <c r="D5339" s="2" t="s">
        <v>39</v>
      </c>
      <c r="E5339" s="5">
        <v>-31320</v>
      </c>
      <c r="F5339" s="3" t="s">
        <v>40</v>
      </c>
      <c r="G5339" s="3" t="s">
        <v>82</v>
      </c>
      <c r="H5339" s="2" t="s">
        <v>62</v>
      </c>
      <c r="I5339" s="2" t="s">
        <v>12532</v>
      </c>
      <c r="J5339" s="3" t="str">
        <f>HYPERLINK("https://www.boe.es/gazeta/dias/1814/03/31/pdfs/GRE-1814-46.pdf#page=3","Abrir facsímil")</f>
        <v>Abrir facsímil</v>
      </c>
      <c r="K5339" s="3" t="s">
        <v>64</v>
      </c>
    </row>
    <row r="5340" spans="1:11" ht="42" customHeight="1">
      <c r="A5340" s="2" t="s">
        <v>12533</v>
      </c>
      <c r="B5340" s="2" t="s">
        <v>12534</v>
      </c>
      <c r="C5340" s="2" t="s">
        <v>144</v>
      </c>
      <c r="D5340" s="2" t="s">
        <v>18</v>
      </c>
      <c r="E5340" s="5">
        <v>-31395</v>
      </c>
      <c r="F5340" s="3" t="s">
        <v>662</v>
      </c>
      <c r="G5340" s="3" t="s">
        <v>52</v>
      </c>
      <c r="H5340" s="2" t="s">
        <v>62</v>
      </c>
      <c r="I5340" s="2" t="s">
        <v>12535</v>
      </c>
      <c r="J5340" s="3" t="str">
        <f>HYPERLINK("https://www.boe.es/gazeta/dias/1814/01/15/pdfs/GRE-1814-8.pdf#page=8","Abrir facsímil")</f>
        <v>Abrir facsímil</v>
      </c>
      <c r="K5340" s="3" t="s">
        <v>64</v>
      </c>
    </row>
    <row r="5341" spans="1:11" ht="42" customHeight="1">
      <c r="A5341" s="2" t="s">
        <v>12536</v>
      </c>
      <c r="B5341" s="2" t="s">
        <v>12537</v>
      </c>
      <c r="C5341" s="2" t="s">
        <v>38</v>
      </c>
      <c r="D5341" s="2" t="s">
        <v>39</v>
      </c>
      <c r="E5341" s="5">
        <v>-31059</v>
      </c>
      <c r="F5341" s="3" t="s">
        <v>263</v>
      </c>
      <c r="G5341" s="3" t="s">
        <v>57</v>
      </c>
      <c r="H5341" s="2" t="s">
        <v>62</v>
      </c>
      <c r="I5341" s="2" t="s">
        <v>12538</v>
      </c>
      <c r="J5341" s="3" t="str">
        <f>HYPERLINK("https://www.boe.es/gazeta/dias/1814/12/17/pdfs/GMD-1814-167.pdf#page=6","Abrir facsímil")</f>
        <v>Abrir facsímil</v>
      </c>
      <c r="K5341" s="3" t="s">
        <v>64</v>
      </c>
    </row>
    <row r="5342" spans="1:11" ht="42" customHeight="1">
      <c r="A5342" s="2" t="s">
        <v>12539</v>
      </c>
      <c r="B5342" s="2" t="s">
        <v>12539</v>
      </c>
      <c r="C5342" s="2" t="s">
        <v>38</v>
      </c>
      <c r="D5342" s="2" t="s">
        <v>39</v>
      </c>
      <c r="E5342" s="5">
        <v>-31404</v>
      </c>
      <c r="F5342" s="3" t="s">
        <v>630</v>
      </c>
      <c r="G5342" s="3" t="s">
        <v>631</v>
      </c>
      <c r="H5342" s="2" t="s">
        <v>62</v>
      </c>
      <c r="I5342" s="2" t="s">
        <v>12540</v>
      </c>
      <c r="J5342" s="3" t="str">
        <f>HYPERLINK("https://www.boe.es/gazeta/dias/1814/01/06/pdfs/GRE-1814-3.pdf#page=4","Abrir facsímil")</f>
        <v>Abrir facsímil</v>
      </c>
      <c r="K5342" s="3" t="s">
        <v>64</v>
      </c>
    </row>
    <row r="5343" spans="1:11" ht="42" customHeight="1">
      <c r="A5343" s="2" t="s">
        <v>12541</v>
      </c>
      <c r="B5343" s="2" t="s">
        <v>12541</v>
      </c>
      <c r="C5343" s="2" t="s">
        <v>38</v>
      </c>
      <c r="D5343" s="2" t="s">
        <v>314</v>
      </c>
      <c r="E5343" s="5">
        <v>-31341</v>
      </c>
      <c r="F5343" s="3" t="s">
        <v>354</v>
      </c>
      <c r="G5343" s="3" t="s">
        <v>107</v>
      </c>
      <c r="H5343" s="2" t="s">
        <v>62</v>
      </c>
      <c r="I5343" s="2" t="s">
        <v>12542</v>
      </c>
      <c r="J5343" s="3" t="str">
        <f>HYPERLINK("https://www.boe.es/gazeta/dias/1814/03/10/pdfs/GRE-1814-34E.pdf#page=1","Abrir facsímil")</f>
        <v>Abrir facsímil</v>
      </c>
      <c r="K5343" s="3" t="s">
        <v>64</v>
      </c>
    </row>
    <row r="5344" spans="1:11" ht="42" customHeight="1">
      <c r="A5344" s="2" t="s">
        <v>12541</v>
      </c>
      <c r="B5344" s="2" t="s">
        <v>12541</v>
      </c>
      <c r="C5344" s="2" t="s">
        <v>38</v>
      </c>
      <c r="D5344" s="2" t="s">
        <v>314</v>
      </c>
      <c r="E5344" s="5">
        <v>-31341</v>
      </c>
      <c r="F5344" s="3" t="s">
        <v>354</v>
      </c>
      <c r="G5344" s="3" t="s">
        <v>87</v>
      </c>
      <c r="H5344" s="2" t="s">
        <v>62</v>
      </c>
      <c r="I5344" s="2" t="s">
        <v>12543</v>
      </c>
      <c r="J5344" s="3" t="str">
        <f>HYPERLINK("https://www.boe.es/gazeta/dias/1814/03/10/pdfs/GRE-1814-34E.pdf#page=2","Abrir facsímil")</f>
        <v>Abrir facsímil</v>
      </c>
      <c r="K5344" s="3" t="s">
        <v>64</v>
      </c>
    </row>
    <row r="5345" spans="1:11" ht="42" customHeight="1">
      <c r="A5345" s="2" t="s">
        <v>12544</v>
      </c>
      <c r="B5345" s="2" t="s">
        <v>12544</v>
      </c>
      <c r="C5345" s="2" t="s">
        <v>38</v>
      </c>
      <c r="D5345" s="2" t="s">
        <v>314</v>
      </c>
      <c r="E5345" s="5">
        <v>-31296</v>
      </c>
      <c r="F5345" s="3" t="s">
        <v>315</v>
      </c>
      <c r="G5345" s="3" t="s">
        <v>107</v>
      </c>
      <c r="H5345" s="2" t="s">
        <v>62</v>
      </c>
      <c r="I5345" s="2" t="s">
        <v>12545</v>
      </c>
      <c r="J5345" s="3" t="str">
        <f>HYPERLINK("https://www.boe.es/gazeta/dias/1814/04/24/pdfs/GRE-1814-60E.pdf#page=1","Abrir facsímil")</f>
        <v>Abrir facsímil</v>
      </c>
      <c r="K5345" s="3" t="s">
        <v>64</v>
      </c>
    </row>
    <row r="5346" spans="1:11" ht="42" customHeight="1">
      <c r="A5346" s="2" t="s">
        <v>12546</v>
      </c>
      <c r="B5346" s="2" t="s">
        <v>12547</v>
      </c>
      <c r="C5346" s="2" t="s">
        <v>38</v>
      </c>
      <c r="D5346" s="2" t="s">
        <v>39</v>
      </c>
      <c r="E5346" s="5">
        <v>-31124</v>
      </c>
      <c r="F5346" s="3" t="s">
        <v>383</v>
      </c>
      <c r="G5346" s="3" t="s">
        <v>384</v>
      </c>
      <c r="H5346" s="2" t="s">
        <v>62</v>
      </c>
      <c r="I5346" s="2" t="s">
        <v>12548</v>
      </c>
      <c r="J5346" s="3" t="str">
        <f>HYPERLINK("https://www.boe.es/gazeta/dias/1814/10/13/pdfs/GMD-1814-138.pdf#page=11","Abrir facsímil")</f>
        <v>Abrir facsímil</v>
      </c>
      <c r="K5346" s="3" t="s">
        <v>64</v>
      </c>
    </row>
    <row r="5347" spans="1:11" ht="42" customHeight="1">
      <c r="A5347" s="2" t="s">
        <v>12549</v>
      </c>
      <c r="B5347" s="2" t="s">
        <v>12550</v>
      </c>
      <c r="C5347" s="2" t="s">
        <v>26</v>
      </c>
      <c r="D5347" s="2" t="s">
        <v>27</v>
      </c>
      <c r="E5347" s="5">
        <v>-31054</v>
      </c>
      <c r="F5347" s="3" t="s">
        <v>952</v>
      </c>
      <c r="G5347" s="3" t="s">
        <v>2152</v>
      </c>
      <c r="H5347" s="2" t="s">
        <v>62</v>
      </c>
      <c r="I5347" s="2" t="s">
        <v>12551</v>
      </c>
      <c r="J5347" s="3" t="str">
        <f>HYPERLINK("https://www.boe.es/gazeta/dias/1814/12/22/pdfs/GMD-1814-169.pdf#page=6","Abrir facsímil")</f>
        <v>Abrir facsímil</v>
      </c>
      <c r="K5347" s="3" t="s">
        <v>64</v>
      </c>
    </row>
    <row r="5348" spans="1:11" ht="42" customHeight="1">
      <c r="A5348" s="2" t="s">
        <v>12552</v>
      </c>
      <c r="B5348" s="2" t="s">
        <v>12553</v>
      </c>
      <c r="C5348" s="2" t="s">
        <v>38</v>
      </c>
      <c r="D5348" s="2" t="s">
        <v>39</v>
      </c>
      <c r="E5348" s="5">
        <v>-31252</v>
      </c>
      <c r="F5348" s="3" t="s">
        <v>364</v>
      </c>
      <c r="G5348" s="3" t="s">
        <v>8092</v>
      </c>
      <c r="H5348" s="2" t="s">
        <v>62</v>
      </c>
      <c r="I5348" s="2" t="s">
        <v>12554</v>
      </c>
      <c r="J5348" s="3" t="str">
        <f>HYPERLINK("https://www.boe.es/gazeta/dias/1814/06/07/pdfs/GMD-1814-82.pdf#page=10","Abrir facsímil")</f>
        <v>Abrir facsímil</v>
      </c>
      <c r="K5348" s="3" t="s">
        <v>64</v>
      </c>
    </row>
    <row r="5349" spans="1:11" ht="42" customHeight="1">
      <c r="A5349" s="2" t="s">
        <v>12555</v>
      </c>
      <c r="B5349" s="2" t="s">
        <v>12556</v>
      </c>
      <c r="C5349" s="2" t="s">
        <v>309</v>
      </c>
      <c r="D5349" s="2" t="s">
        <v>18</v>
      </c>
      <c r="E5349" s="5">
        <v>-31136</v>
      </c>
      <c r="F5349" s="3" t="s">
        <v>956</v>
      </c>
      <c r="G5349" s="3" t="s">
        <v>1254</v>
      </c>
      <c r="H5349" s="2" t="s">
        <v>62</v>
      </c>
      <c r="I5349" s="2" t="s">
        <v>12557</v>
      </c>
      <c r="J5349" s="3" t="str">
        <f>HYPERLINK("https://www.boe.es/gazeta/dias/1814/10/01/pdfs/GMD-1814-133.pdf#page=9","Abrir facsímil")</f>
        <v>Abrir facsímil</v>
      </c>
      <c r="K5349" s="3" t="s">
        <v>64</v>
      </c>
    </row>
    <row r="5350" spans="1:11" ht="42" customHeight="1">
      <c r="A5350" s="2" t="s">
        <v>12558</v>
      </c>
      <c r="B5350" s="2" t="s">
        <v>12558</v>
      </c>
      <c r="C5350" s="2" t="s">
        <v>38</v>
      </c>
      <c r="D5350" s="2" t="s">
        <v>39</v>
      </c>
      <c r="E5350" s="5">
        <v>-31164</v>
      </c>
      <c r="F5350" s="3" t="s">
        <v>1423</v>
      </c>
      <c r="G5350" s="3" t="s">
        <v>107</v>
      </c>
      <c r="H5350" s="2" t="s">
        <v>62</v>
      </c>
      <c r="I5350" s="2" t="s">
        <v>12559</v>
      </c>
      <c r="J5350" s="3" t="str">
        <f>HYPERLINK("https://www.boe.es/gazeta/dias/1814/09/03/pdfs/GMD-1814-121.pdf#page=1","Abrir facsímil")</f>
        <v>Abrir facsímil</v>
      </c>
      <c r="K5350" s="3" t="s">
        <v>64</v>
      </c>
    </row>
    <row r="5351" spans="1:11" ht="42" customHeight="1">
      <c r="A5351" s="2" t="s">
        <v>12560</v>
      </c>
      <c r="B5351" s="2" t="s">
        <v>12561</v>
      </c>
      <c r="C5351" s="2" t="s">
        <v>17</v>
      </c>
      <c r="D5351" s="2" t="s">
        <v>18</v>
      </c>
      <c r="E5351" s="5">
        <v>-31217</v>
      </c>
      <c r="F5351" s="3" t="s">
        <v>506</v>
      </c>
      <c r="G5351" s="3" t="s">
        <v>82</v>
      </c>
      <c r="H5351" s="2" t="s">
        <v>62</v>
      </c>
      <c r="I5351" s="2" t="s">
        <v>12562</v>
      </c>
      <c r="J5351" s="3" t="str">
        <f>HYPERLINK("https://www.boe.es/gazeta/dias/1814/07/12/pdfs/GMD-1814-97.pdf#page=3","Abrir facsímil")</f>
        <v>Abrir facsímil</v>
      </c>
      <c r="K5351" s="3" t="s">
        <v>64</v>
      </c>
    </row>
    <row r="5352" spans="1:11" ht="42" customHeight="1">
      <c r="A5352" s="2" t="s">
        <v>12563</v>
      </c>
      <c r="B5352" s="2" t="s">
        <v>12564</v>
      </c>
      <c r="C5352" s="2" t="s">
        <v>38</v>
      </c>
      <c r="D5352" s="2" t="s">
        <v>39</v>
      </c>
      <c r="E5352" s="5">
        <v>-31147</v>
      </c>
      <c r="F5352" s="3" t="s">
        <v>86</v>
      </c>
      <c r="G5352" s="3" t="s">
        <v>107</v>
      </c>
      <c r="H5352" s="2" t="s">
        <v>62</v>
      </c>
      <c r="I5352" s="2" t="s">
        <v>12565</v>
      </c>
      <c r="J5352" s="3" t="str">
        <f>HYPERLINK("https://www.boe.es/gazeta/dias/1814/09/20/pdfs/GMD-1814-128.pdf#page=1","Abrir facsímil")</f>
        <v>Abrir facsímil</v>
      </c>
      <c r="K5352" s="3" t="s">
        <v>64</v>
      </c>
    </row>
    <row r="5353" spans="1:11" ht="42" customHeight="1">
      <c r="A5353" s="2" t="s">
        <v>12566</v>
      </c>
      <c r="B5353" s="2" t="s">
        <v>12566</v>
      </c>
      <c r="C5353" s="2" t="s">
        <v>38</v>
      </c>
      <c r="D5353" s="2" t="s">
        <v>314</v>
      </c>
      <c r="E5353" s="5">
        <v>-31341</v>
      </c>
      <c r="F5353" s="3" t="s">
        <v>354</v>
      </c>
      <c r="G5353" s="3" t="s">
        <v>87</v>
      </c>
      <c r="H5353" s="2" t="s">
        <v>62</v>
      </c>
      <c r="I5353" s="2" t="s">
        <v>12567</v>
      </c>
      <c r="J5353" s="3" t="str">
        <f>HYPERLINK("https://www.boe.es/gazeta/dias/1814/03/10/pdfs/GRE-1814-34E.pdf#page=2","Abrir facsímil")</f>
        <v>Abrir facsímil</v>
      </c>
      <c r="K5353" s="3" t="s">
        <v>64</v>
      </c>
    </row>
    <row r="5354" spans="1:11" ht="42" customHeight="1">
      <c r="A5354" s="2" t="s">
        <v>12566</v>
      </c>
      <c r="B5354" s="2" t="s">
        <v>12566</v>
      </c>
      <c r="C5354" s="2" t="s">
        <v>38</v>
      </c>
      <c r="D5354" s="2" t="s">
        <v>314</v>
      </c>
      <c r="E5354" s="5">
        <v>-31341</v>
      </c>
      <c r="F5354" s="3" t="s">
        <v>354</v>
      </c>
      <c r="G5354" s="3" t="s">
        <v>99</v>
      </c>
      <c r="H5354" s="2" t="s">
        <v>62</v>
      </c>
      <c r="I5354" s="2" t="s">
        <v>12568</v>
      </c>
      <c r="J5354" s="3" t="str">
        <f>HYPERLINK("https://www.boe.es/gazeta/dias/1814/03/10/pdfs/GRE-1814-34E.pdf#page=5","Abrir facsímil")</f>
        <v>Abrir facsímil</v>
      </c>
      <c r="K5354" s="3" t="s">
        <v>64</v>
      </c>
    </row>
    <row r="5355" spans="1:11" ht="42" customHeight="1">
      <c r="A5355" s="2" t="s">
        <v>12569</v>
      </c>
      <c r="B5355" s="2" t="s">
        <v>12569</v>
      </c>
      <c r="C5355" s="2" t="s">
        <v>38</v>
      </c>
      <c r="D5355" s="2" t="s">
        <v>39</v>
      </c>
      <c r="E5355" s="5">
        <v>-31395</v>
      </c>
      <c r="F5355" s="3" t="s">
        <v>662</v>
      </c>
      <c r="G5355" s="3" t="s">
        <v>57</v>
      </c>
      <c r="H5355" s="2" t="s">
        <v>62</v>
      </c>
      <c r="I5355" s="2" t="s">
        <v>12570</v>
      </c>
      <c r="J5355" s="3" t="str">
        <f>HYPERLINK("https://www.boe.es/gazeta/dias/1814/01/15/pdfs/GRE-1814-8.pdf#page=6","Abrir facsímil")</f>
        <v>Abrir facsímil</v>
      </c>
      <c r="K5355" s="3" t="s">
        <v>64</v>
      </c>
    </row>
    <row r="5356" spans="1:11" ht="42" customHeight="1">
      <c r="A5356" s="2" t="s">
        <v>12569</v>
      </c>
      <c r="B5356" s="2" t="s">
        <v>12569</v>
      </c>
      <c r="C5356" s="2" t="s">
        <v>38</v>
      </c>
      <c r="D5356" s="2" t="s">
        <v>39</v>
      </c>
      <c r="E5356" s="5">
        <v>-31395</v>
      </c>
      <c r="F5356" s="3" t="s">
        <v>662</v>
      </c>
      <c r="G5356" s="3" t="s">
        <v>20</v>
      </c>
      <c r="H5356" s="2" t="s">
        <v>62</v>
      </c>
      <c r="I5356" s="2" t="s">
        <v>12571</v>
      </c>
      <c r="J5356" s="3" t="str">
        <f>HYPERLINK("https://www.boe.es/gazeta/dias/1814/01/15/pdfs/GRE-1814-8.pdf#page=7","Abrir facsímil")</f>
        <v>Abrir facsímil</v>
      </c>
      <c r="K5356" s="3" t="s">
        <v>64</v>
      </c>
    </row>
    <row r="5357" spans="1:11" ht="42" customHeight="1">
      <c r="A5357" s="2" t="s">
        <v>12569</v>
      </c>
      <c r="B5357" s="2" t="s">
        <v>12569</v>
      </c>
      <c r="C5357" s="2" t="s">
        <v>38</v>
      </c>
      <c r="D5357" s="2" t="s">
        <v>39</v>
      </c>
      <c r="E5357" s="5">
        <v>-31390</v>
      </c>
      <c r="F5357" s="3" t="s">
        <v>349</v>
      </c>
      <c r="G5357" s="3" t="s">
        <v>82</v>
      </c>
      <c r="H5357" s="2" t="s">
        <v>62</v>
      </c>
      <c r="I5357" s="2" t="s">
        <v>12572</v>
      </c>
      <c r="J5357" s="3" t="str">
        <f>HYPERLINK("https://www.boe.es/gazeta/dias/1814/01/20/pdfs/GRE-1814-10.pdf#page=3","Abrir facsímil")</f>
        <v>Abrir facsímil</v>
      </c>
      <c r="K5357" s="3" t="s">
        <v>64</v>
      </c>
    </row>
    <row r="5358" spans="1:11" ht="42" customHeight="1">
      <c r="A5358" s="2" t="s">
        <v>12569</v>
      </c>
      <c r="B5358" s="2" t="s">
        <v>12569</v>
      </c>
      <c r="C5358" s="2" t="s">
        <v>26</v>
      </c>
      <c r="D5358" s="2" t="s">
        <v>27</v>
      </c>
      <c r="E5358" s="5">
        <v>-31376</v>
      </c>
      <c r="F5358" s="3" t="s">
        <v>1954</v>
      </c>
      <c r="G5358" s="3" t="s">
        <v>107</v>
      </c>
      <c r="H5358" s="2" t="s">
        <v>62</v>
      </c>
      <c r="I5358" s="2" t="s">
        <v>12573</v>
      </c>
      <c r="J5358" s="3" t="str">
        <f>HYPERLINK("https://www.boe.es/gazeta/dias/1814/02/03/pdfs/GRE-1814-16.pdf#page=1","Abrir facsímil")</f>
        <v>Abrir facsímil</v>
      </c>
      <c r="K5358" s="3" t="s">
        <v>64</v>
      </c>
    </row>
    <row r="5359" spans="1:11" ht="42" customHeight="1">
      <c r="A5359" s="2" t="s">
        <v>12569</v>
      </c>
      <c r="B5359" s="2" t="s">
        <v>12569</v>
      </c>
      <c r="C5359" s="2" t="s">
        <v>38</v>
      </c>
      <c r="D5359" s="2" t="s">
        <v>39</v>
      </c>
      <c r="E5359" s="5">
        <v>-31362</v>
      </c>
      <c r="F5359" s="3" t="s">
        <v>302</v>
      </c>
      <c r="G5359" s="3" t="s">
        <v>2032</v>
      </c>
      <c r="H5359" s="2" t="s">
        <v>62</v>
      </c>
      <c r="I5359" s="2" t="s">
        <v>12574</v>
      </c>
      <c r="J5359" s="3" t="str">
        <f>HYPERLINK("https://www.boe.es/gazeta/dias/1814/02/17/pdfs/GRE-1814-22.pdf#page=5","Abrir facsímil")</f>
        <v>Abrir facsímil</v>
      </c>
      <c r="K5359" s="3" t="s">
        <v>64</v>
      </c>
    </row>
    <row r="5360" spans="1:11" ht="42" customHeight="1">
      <c r="A5360" s="2" t="s">
        <v>12575</v>
      </c>
      <c r="B5360" s="2" t="s">
        <v>12575</v>
      </c>
      <c r="C5360" s="2" t="s">
        <v>144</v>
      </c>
      <c r="D5360" s="2" t="s">
        <v>18</v>
      </c>
      <c r="E5360" s="5">
        <v>-31406</v>
      </c>
      <c r="F5360" s="3" t="s">
        <v>1718</v>
      </c>
      <c r="G5360" s="3" t="s">
        <v>1801</v>
      </c>
      <c r="H5360" s="2" t="s">
        <v>62</v>
      </c>
      <c r="I5360" s="2" t="s">
        <v>12576</v>
      </c>
      <c r="J5360" s="3" t="str">
        <f>HYPERLINK("https://www.boe.es/gazeta/dias/1814/01/04/pdfs/GRE-1814-2.pdf#page=4","Abrir facsímil")</f>
        <v>Abrir facsímil</v>
      </c>
      <c r="K5360" s="3" t="s">
        <v>64</v>
      </c>
    </row>
    <row r="5361" spans="1:11" ht="42" customHeight="1">
      <c r="A5361" s="2" t="s">
        <v>12577</v>
      </c>
      <c r="B5361" s="2" t="s">
        <v>12577</v>
      </c>
      <c r="C5361" s="2" t="s">
        <v>38</v>
      </c>
      <c r="D5361" s="2" t="s">
        <v>39</v>
      </c>
      <c r="E5361" s="5">
        <v>-31315</v>
      </c>
      <c r="F5361" s="3" t="s">
        <v>645</v>
      </c>
      <c r="G5361" s="3" t="s">
        <v>82</v>
      </c>
      <c r="H5361" s="2" t="s">
        <v>62</v>
      </c>
      <c r="I5361" s="2" t="s">
        <v>12578</v>
      </c>
      <c r="J5361" s="3" t="str">
        <f>HYPERLINK("https://www.boe.es/gazeta/dias/1814/04/05/pdfs/GRE-1814-49.pdf#page=3","Abrir facsímil")</f>
        <v>Abrir facsímil</v>
      </c>
      <c r="K5361" s="3" t="s">
        <v>64</v>
      </c>
    </row>
    <row r="5362" spans="1:11" ht="42" customHeight="1">
      <c r="A5362" s="2" t="s">
        <v>12579</v>
      </c>
      <c r="B5362" s="2" t="s">
        <v>12579</v>
      </c>
      <c r="C5362" s="2" t="s">
        <v>38</v>
      </c>
      <c r="D5362" s="2" t="s">
        <v>39</v>
      </c>
      <c r="E5362" s="5">
        <v>-31082</v>
      </c>
      <c r="F5362" s="3" t="s">
        <v>535</v>
      </c>
      <c r="G5362" s="3" t="s">
        <v>82</v>
      </c>
      <c r="H5362" s="2" t="s">
        <v>62</v>
      </c>
      <c r="I5362" s="2" t="s">
        <v>12580</v>
      </c>
      <c r="J5362" s="3" t="str">
        <f>HYPERLINK("https://www.boe.es/gazeta/dias/1814/11/24/pdfs/GMD-1814-156.pdf#page=3","Abrir facsímil")</f>
        <v>Abrir facsímil</v>
      </c>
      <c r="K5362" s="3" t="s">
        <v>64</v>
      </c>
    </row>
    <row r="5363" spans="1:11" ht="42" customHeight="1">
      <c r="A5363" s="2" t="s">
        <v>12581</v>
      </c>
      <c r="B5363" s="2" t="s">
        <v>12582</v>
      </c>
      <c r="C5363" s="2" t="s">
        <v>26</v>
      </c>
      <c r="D5363" s="2" t="s">
        <v>27</v>
      </c>
      <c r="E5363" s="5">
        <v>-31243</v>
      </c>
      <c r="F5363" s="3" t="s">
        <v>500</v>
      </c>
      <c r="G5363" s="3" t="s">
        <v>8032</v>
      </c>
      <c r="H5363" s="2" t="s">
        <v>21</v>
      </c>
      <c r="I5363" s="2" t="s">
        <v>12583</v>
      </c>
      <c r="J5363" s="3" t="str">
        <f>HYPERLINK("https://www.boe.es/gazeta/dias/1814/06/16/pdfs/GMD-1814-86.pdf#page=2","Abrir facsímil")</f>
        <v>Abrir facsímil</v>
      </c>
      <c r="K5363" s="3" t="s">
        <v>23</v>
      </c>
    </row>
    <row r="5364" spans="1:11" ht="42" customHeight="1">
      <c r="A5364" s="2" t="s">
        <v>12584</v>
      </c>
      <c r="B5364" s="2" t="s">
        <v>12584</v>
      </c>
      <c r="C5364" s="2" t="s">
        <v>38</v>
      </c>
      <c r="D5364" s="2" t="s">
        <v>39</v>
      </c>
      <c r="E5364" s="5">
        <v>-31171</v>
      </c>
      <c r="F5364" s="3" t="s">
        <v>157</v>
      </c>
      <c r="G5364" s="3" t="s">
        <v>87</v>
      </c>
      <c r="H5364" s="2" t="s">
        <v>62</v>
      </c>
      <c r="I5364" s="2" t="s">
        <v>12585</v>
      </c>
      <c r="J5364" s="3" t="str">
        <f>HYPERLINK("https://www.boe.es/gazeta/dias/1814/08/27/pdfs/GMD-1814-117.pdf#page=2","Abrir facsímil")</f>
        <v>Abrir facsímil</v>
      </c>
      <c r="K5364" s="3" t="s">
        <v>64</v>
      </c>
    </row>
    <row r="5365" spans="1:11" ht="42" customHeight="1">
      <c r="A5365" s="2" t="s">
        <v>12586</v>
      </c>
      <c r="B5365" s="2" t="s">
        <v>12586</v>
      </c>
      <c r="C5365" s="2" t="s">
        <v>38</v>
      </c>
      <c r="D5365" s="2" t="s">
        <v>39</v>
      </c>
      <c r="E5365" s="5">
        <v>-31381</v>
      </c>
      <c r="F5365" s="3" t="s">
        <v>989</v>
      </c>
      <c r="G5365" s="3" t="s">
        <v>82</v>
      </c>
      <c r="H5365" s="2" t="s">
        <v>62</v>
      </c>
      <c r="I5365" s="2" t="s">
        <v>12587</v>
      </c>
      <c r="J5365" s="3" t="str">
        <f>HYPERLINK("https://www.boe.es/gazeta/dias/1814/01/29/pdfs/GRE-1814-14.pdf#page=3","Abrir facsímil")</f>
        <v>Abrir facsímil</v>
      </c>
      <c r="K5365" s="3" t="s">
        <v>64</v>
      </c>
    </row>
    <row r="5366" spans="1:11" ht="42" customHeight="1">
      <c r="A5366" s="2" t="s">
        <v>12588</v>
      </c>
      <c r="B5366" s="2" t="s">
        <v>12588</v>
      </c>
      <c r="C5366" s="2" t="s">
        <v>38</v>
      </c>
      <c r="D5366" s="2" t="s">
        <v>39</v>
      </c>
      <c r="E5366" s="5">
        <v>-31059</v>
      </c>
      <c r="F5366" s="3" t="s">
        <v>263</v>
      </c>
      <c r="G5366" s="3" t="s">
        <v>711</v>
      </c>
      <c r="H5366" s="2" t="s">
        <v>62</v>
      </c>
      <c r="I5366" s="2" t="s">
        <v>12589</v>
      </c>
      <c r="J5366" s="3" t="str">
        <f>HYPERLINK("https://www.boe.es/gazeta/dias/1814/12/17/pdfs/GMD-1814-167.pdf#page=4","Abrir facsímil")</f>
        <v>Abrir facsímil</v>
      </c>
      <c r="K5366" s="3" t="s">
        <v>64</v>
      </c>
    </row>
    <row r="5367" spans="1:11" ht="42" customHeight="1">
      <c r="A5367" s="2" t="s">
        <v>12590</v>
      </c>
      <c r="B5367" s="2" t="s">
        <v>12590</v>
      </c>
      <c r="C5367" s="2" t="s">
        <v>17</v>
      </c>
      <c r="D5367" s="2" t="s">
        <v>18</v>
      </c>
      <c r="E5367" s="5">
        <v>-31213</v>
      </c>
      <c r="F5367" s="3" t="s">
        <v>276</v>
      </c>
      <c r="G5367" s="3" t="s">
        <v>87</v>
      </c>
      <c r="H5367" s="2" t="s">
        <v>62</v>
      </c>
      <c r="I5367" s="2" t="s">
        <v>12591</v>
      </c>
      <c r="J5367" s="3" t="str">
        <f>HYPERLINK("https://www.boe.es/gazeta/dias/1814/07/16/pdfs/GMD-1814-99.pdf#page=2","Abrir facsímil")</f>
        <v>Abrir facsímil</v>
      </c>
      <c r="K5367" s="3" t="s">
        <v>64</v>
      </c>
    </row>
    <row r="5368" spans="1:11" ht="42" customHeight="1">
      <c r="A5368" s="2" t="s">
        <v>12592</v>
      </c>
      <c r="B5368" s="2" t="s">
        <v>12592</v>
      </c>
      <c r="C5368" s="2" t="s">
        <v>38</v>
      </c>
      <c r="D5368" s="2" t="s">
        <v>39</v>
      </c>
      <c r="E5368" s="5">
        <v>-31390</v>
      </c>
      <c r="F5368" s="3" t="s">
        <v>349</v>
      </c>
      <c r="G5368" s="3" t="s">
        <v>350</v>
      </c>
      <c r="H5368" s="2" t="s">
        <v>62</v>
      </c>
      <c r="I5368" s="2" t="s">
        <v>12593</v>
      </c>
      <c r="J5368" s="3" t="str">
        <f>HYPERLINK("https://www.boe.es/gazeta/dias/1814/01/20/pdfs/GRE-1814-10.pdf#page=5","Abrir facsímil")</f>
        <v>Abrir facsímil</v>
      </c>
      <c r="K5368" s="3" t="s">
        <v>64</v>
      </c>
    </row>
    <row r="5369" spans="1:11" ht="42" customHeight="1">
      <c r="A5369" s="2" t="s">
        <v>12594</v>
      </c>
      <c r="B5369" s="2" t="s">
        <v>12594</v>
      </c>
      <c r="C5369" s="2" t="s">
        <v>38</v>
      </c>
      <c r="D5369" s="2" t="s">
        <v>39</v>
      </c>
      <c r="E5369" s="5">
        <v>-31360</v>
      </c>
      <c r="F5369" s="3" t="s">
        <v>480</v>
      </c>
      <c r="G5369" s="3" t="s">
        <v>99</v>
      </c>
      <c r="H5369" s="2" t="s">
        <v>62</v>
      </c>
      <c r="I5369" s="2" t="s">
        <v>12595</v>
      </c>
      <c r="J5369" s="3" t="str">
        <f>HYPERLINK("https://www.boe.es/gazeta/dias/1814/02/19/pdfs/GRE-1814-23.pdf#page=5","Abrir facsímil")</f>
        <v>Abrir facsímil</v>
      </c>
      <c r="K5369" s="3" t="s">
        <v>64</v>
      </c>
    </row>
    <row r="5370" spans="1:11" ht="42" customHeight="1">
      <c r="A5370" s="2" t="s">
        <v>12592</v>
      </c>
      <c r="B5370" s="2" t="s">
        <v>12592</v>
      </c>
      <c r="C5370" s="2" t="s">
        <v>38</v>
      </c>
      <c r="D5370" s="2" t="s">
        <v>39</v>
      </c>
      <c r="E5370" s="5">
        <v>-31357</v>
      </c>
      <c r="F5370" s="3" t="s">
        <v>1460</v>
      </c>
      <c r="G5370" s="3" t="s">
        <v>20</v>
      </c>
      <c r="H5370" s="2" t="s">
        <v>62</v>
      </c>
      <c r="I5370" s="2" t="s">
        <v>12596</v>
      </c>
      <c r="J5370" s="3" t="str">
        <f>HYPERLINK("https://www.boe.es/gazeta/dias/1814/02/22/pdfs/GRE-1814-25.pdf#page=7","Abrir facsímil")</f>
        <v>Abrir facsímil</v>
      </c>
      <c r="K5370" s="3" t="s">
        <v>64</v>
      </c>
    </row>
    <row r="5371" spans="1:11" ht="42" customHeight="1">
      <c r="A5371" s="2" t="s">
        <v>12597</v>
      </c>
      <c r="B5371" s="2" t="s">
        <v>12598</v>
      </c>
      <c r="C5371" s="2" t="s">
        <v>38</v>
      </c>
      <c r="D5371" s="2" t="s">
        <v>314</v>
      </c>
      <c r="E5371" s="5">
        <v>-31328</v>
      </c>
      <c r="F5371" s="3" t="s">
        <v>442</v>
      </c>
      <c r="G5371" s="3" t="s">
        <v>99</v>
      </c>
      <c r="H5371" s="2" t="s">
        <v>62</v>
      </c>
      <c r="I5371" s="2" t="s">
        <v>12599</v>
      </c>
      <c r="J5371" s="3" t="str">
        <f>HYPERLINK("https://www.boe.es/gazeta/dias/1814/03/23/pdfs/GRE-1814-40E.pdf#page=5","Abrir facsímil")</f>
        <v>Abrir facsímil</v>
      </c>
      <c r="K5371" s="3" t="s">
        <v>64</v>
      </c>
    </row>
    <row r="5372" spans="1:11" ht="42" customHeight="1">
      <c r="A5372" s="2" t="s">
        <v>12600</v>
      </c>
      <c r="B5372" s="2" t="s">
        <v>12600</v>
      </c>
      <c r="C5372" s="2" t="s">
        <v>38</v>
      </c>
      <c r="D5372" s="2" t="s">
        <v>39</v>
      </c>
      <c r="E5372" s="5">
        <v>-31245</v>
      </c>
      <c r="F5372" s="3" t="s">
        <v>908</v>
      </c>
      <c r="G5372" s="3" t="s">
        <v>4652</v>
      </c>
      <c r="H5372" s="2" t="s">
        <v>62</v>
      </c>
      <c r="I5372" s="2" t="s">
        <v>12601</v>
      </c>
      <c r="J5372" s="3" t="str">
        <f>HYPERLINK("https://www.boe.es/gazeta/dias/1814/06/14/pdfs/GMD-1814-85.pdf#page=4","Abrir facsímil")</f>
        <v>Abrir facsímil</v>
      </c>
      <c r="K5372" s="3" t="s">
        <v>64</v>
      </c>
    </row>
    <row r="5373" spans="1:11" ht="42" customHeight="1">
      <c r="A5373" s="2" t="s">
        <v>12602</v>
      </c>
      <c r="B5373" s="2" t="s">
        <v>12602</v>
      </c>
      <c r="C5373" s="2" t="s">
        <v>38</v>
      </c>
      <c r="D5373" s="2" t="s">
        <v>39</v>
      </c>
      <c r="E5373" s="5">
        <v>-31283</v>
      </c>
      <c r="F5373" s="3" t="s">
        <v>701</v>
      </c>
      <c r="G5373" s="3" t="s">
        <v>87</v>
      </c>
      <c r="H5373" s="2" t="s">
        <v>62</v>
      </c>
      <c r="I5373" s="2" t="s">
        <v>12603</v>
      </c>
      <c r="J5373" s="3" t="str">
        <f>HYPERLINK("https://www.boe.es/gazeta/dias/1814/05/07/pdfs/GRE-1814-67.pdf#page=2","Abrir facsímil")</f>
        <v>Abrir facsímil</v>
      </c>
      <c r="K5373" s="3" t="s">
        <v>64</v>
      </c>
    </row>
    <row r="5374" spans="1:11" ht="42" customHeight="1">
      <c r="A5374" s="2" t="s">
        <v>12604</v>
      </c>
      <c r="B5374" s="2" t="s">
        <v>12604</v>
      </c>
      <c r="C5374" s="2" t="s">
        <v>38</v>
      </c>
      <c r="D5374" s="2" t="s">
        <v>39</v>
      </c>
      <c r="E5374" s="5">
        <v>-31283</v>
      </c>
      <c r="F5374" s="3" t="s">
        <v>701</v>
      </c>
      <c r="G5374" s="3" t="s">
        <v>99</v>
      </c>
      <c r="H5374" s="2" t="s">
        <v>62</v>
      </c>
      <c r="I5374" s="2" t="s">
        <v>12605</v>
      </c>
      <c r="J5374" s="3" t="str">
        <f>HYPERLINK("https://www.boe.es/gazeta/dias/1814/05/07/pdfs/GRE-1814-67.pdf#page=5","Abrir facsímil")</f>
        <v>Abrir facsímil</v>
      </c>
      <c r="K5374" s="3" t="s">
        <v>64</v>
      </c>
    </row>
    <row r="5375" spans="1:11" ht="42" customHeight="1">
      <c r="A5375" s="2" t="s">
        <v>12606</v>
      </c>
      <c r="B5375" s="2" t="s">
        <v>12606</v>
      </c>
      <c r="C5375" s="2" t="s">
        <v>32</v>
      </c>
      <c r="D5375" s="2" t="s">
        <v>18</v>
      </c>
      <c r="E5375" s="5">
        <v>-31210</v>
      </c>
      <c r="F5375" s="3" t="s">
        <v>141</v>
      </c>
      <c r="G5375" s="3" t="s">
        <v>87</v>
      </c>
      <c r="H5375" s="2" t="s">
        <v>62</v>
      </c>
      <c r="I5375" s="2" t="s">
        <v>12607</v>
      </c>
      <c r="J5375" s="3" t="str">
        <f>HYPERLINK("https://www.boe.es/gazeta/dias/1814/07/19/pdfs/GMD-1814-100.pdf#page=2","Abrir facsímil")</f>
        <v>Abrir facsímil</v>
      </c>
      <c r="K5375" s="3" t="s">
        <v>64</v>
      </c>
    </row>
    <row r="5376" spans="1:11" ht="42" customHeight="1">
      <c r="A5376" s="2" t="s">
        <v>12608</v>
      </c>
      <c r="B5376" s="2" t="s">
        <v>12608</v>
      </c>
      <c r="C5376" s="2" t="s">
        <v>26</v>
      </c>
      <c r="D5376" s="2" t="s">
        <v>27</v>
      </c>
      <c r="E5376" s="5">
        <v>-31385</v>
      </c>
      <c r="F5376" s="3" t="s">
        <v>783</v>
      </c>
      <c r="G5376" s="3" t="s">
        <v>1777</v>
      </c>
      <c r="H5376" s="2" t="s">
        <v>62</v>
      </c>
      <c r="I5376" s="2" t="s">
        <v>12609</v>
      </c>
      <c r="J5376" s="3" t="str">
        <f>HYPERLINK("https://www.boe.es/gazeta/dias/1814/01/25/pdfs/GRE-1814-12.pdf#page=4","Abrir facsímil")</f>
        <v>Abrir facsímil</v>
      </c>
      <c r="K5376" s="3" t="s">
        <v>64</v>
      </c>
    </row>
    <row r="5377" spans="1:11" ht="42" customHeight="1">
      <c r="A5377" s="2" t="s">
        <v>12608</v>
      </c>
      <c r="B5377" s="2" t="s">
        <v>12608</v>
      </c>
      <c r="C5377" s="2" t="s">
        <v>38</v>
      </c>
      <c r="D5377" s="2" t="s">
        <v>39</v>
      </c>
      <c r="E5377" s="5">
        <v>-31376</v>
      </c>
      <c r="F5377" s="3" t="s">
        <v>1954</v>
      </c>
      <c r="G5377" s="3" t="s">
        <v>6018</v>
      </c>
      <c r="H5377" s="2" t="s">
        <v>62</v>
      </c>
      <c r="I5377" s="2" t="s">
        <v>12610</v>
      </c>
      <c r="J5377" s="3" t="str">
        <f>HYPERLINK("https://www.boe.es/gazeta/dias/1814/02/03/pdfs/GRE-1814-16.pdf#page=4","Abrir facsímil")</f>
        <v>Abrir facsímil</v>
      </c>
      <c r="K5377" s="3" t="s">
        <v>64</v>
      </c>
    </row>
    <row r="5378" spans="1:11" ht="42" customHeight="1">
      <c r="A5378" s="2" t="s">
        <v>12608</v>
      </c>
      <c r="B5378" s="2" t="s">
        <v>12608</v>
      </c>
      <c r="C5378" s="2" t="s">
        <v>38</v>
      </c>
      <c r="D5378" s="2" t="s">
        <v>39</v>
      </c>
      <c r="E5378" s="5">
        <v>-31360</v>
      </c>
      <c r="F5378" s="3" t="s">
        <v>480</v>
      </c>
      <c r="G5378" s="3" t="s">
        <v>99</v>
      </c>
      <c r="H5378" s="2" t="s">
        <v>62</v>
      </c>
      <c r="I5378" s="2" t="s">
        <v>12611</v>
      </c>
      <c r="J5378" s="3" t="str">
        <f>HYPERLINK("https://www.boe.es/gazeta/dias/1814/02/19/pdfs/GRE-1814-23.pdf#page=5","Abrir facsímil")</f>
        <v>Abrir facsímil</v>
      </c>
      <c r="K5378" s="3" t="s">
        <v>64</v>
      </c>
    </row>
    <row r="5379" spans="1:11" ht="42" customHeight="1">
      <c r="A5379" s="2" t="s">
        <v>12608</v>
      </c>
      <c r="B5379" s="2" t="s">
        <v>12608</v>
      </c>
      <c r="C5379" s="2" t="s">
        <v>38</v>
      </c>
      <c r="D5379" s="2" t="s">
        <v>39</v>
      </c>
      <c r="E5379" s="5">
        <v>-31355</v>
      </c>
      <c r="F5379" s="3" t="s">
        <v>50</v>
      </c>
      <c r="G5379" s="3" t="s">
        <v>41</v>
      </c>
      <c r="H5379" s="2" t="s">
        <v>62</v>
      </c>
      <c r="I5379" s="2" t="s">
        <v>12612</v>
      </c>
      <c r="J5379" s="3" t="str">
        <f>HYPERLINK("https://www.boe.es/gazeta/dias/1814/02/24/pdfs/GRE-1814-26.pdf#page=4","Abrir facsímil")</f>
        <v>Abrir facsímil</v>
      </c>
      <c r="K5379" s="3" t="s">
        <v>64</v>
      </c>
    </row>
    <row r="5380" spans="1:11" ht="42" customHeight="1">
      <c r="A5380" s="2" t="s">
        <v>12608</v>
      </c>
      <c r="B5380" s="2" t="s">
        <v>12608</v>
      </c>
      <c r="C5380" s="2" t="s">
        <v>38</v>
      </c>
      <c r="D5380" s="2" t="s">
        <v>39</v>
      </c>
      <c r="E5380" s="5">
        <v>-31318</v>
      </c>
      <c r="F5380" s="3" t="s">
        <v>400</v>
      </c>
      <c r="G5380" s="3" t="s">
        <v>20</v>
      </c>
      <c r="H5380" s="2" t="s">
        <v>62</v>
      </c>
      <c r="I5380" s="2" t="s">
        <v>12613</v>
      </c>
      <c r="J5380" s="3" t="str">
        <f>HYPERLINK("https://www.boe.es/gazeta/dias/1814/04/02/pdfs/GRE-1814-47.pdf#page=7","Abrir facsímil")</f>
        <v>Abrir facsímil</v>
      </c>
      <c r="K5380" s="3" t="s">
        <v>64</v>
      </c>
    </row>
    <row r="5381" spans="1:11" ht="42" customHeight="1">
      <c r="A5381" s="2" t="s">
        <v>12608</v>
      </c>
      <c r="B5381" s="2" t="s">
        <v>12608</v>
      </c>
      <c r="C5381" s="2" t="s">
        <v>38</v>
      </c>
      <c r="D5381" s="2" t="s">
        <v>39</v>
      </c>
      <c r="E5381" s="5">
        <v>-31311</v>
      </c>
      <c r="F5381" s="3" t="s">
        <v>3144</v>
      </c>
      <c r="G5381" s="3" t="s">
        <v>57</v>
      </c>
      <c r="H5381" s="2" t="s">
        <v>62</v>
      </c>
      <c r="I5381" s="2" t="s">
        <v>12614</v>
      </c>
      <c r="J5381" s="3" t="str">
        <f>HYPERLINK("https://www.boe.es/gazeta/dias/1814/04/09/pdfs/GRE-1814-51.pdf#page=6","Abrir facsímil")</f>
        <v>Abrir facsímil</v>
      </c>
      <c r="K5381" s="3" t="s">
        <v>64</v>
      </c>
    </row>
    <row r="5382" spans="1:11" ht="42" customHeight="1">
      <c r="A5382" s="2" t="s">
        <v>12608</v>
      </c>
      <c r="B5382" s="2" t="s">
        <v>12608</v>
      </c>
      <c r="C5382" s="2" t="s">
        <v>38</v>
      </c>
      <c r="D5382" s="2" t="s">
        <v>314</v>
      </c>
      <c r="E5382" s="5">
        <v>-31294</v>
      </c>
      <c r="F5382" s="3" t="s">
        <v>2505</v>
      </c>
      <c r="G5382" s="3" t="s">
        <v>41</v>
      </c>
      <c r="H5382" s="2" t="s">
        <v>62</v>
      </c>
      <c r="I5382" s="2" t="s">
        <v>12615</v>
      </c>
      <c r="J5382" s="3" t="str">
        <f>HYPERLINK("https://www.boe.es/gazeta/dias/1814/04/26/pdfs/GRE-1814-62E.pdf#page=4","Abrir facsímil")</f>
        <v>Abrir facsímil</v>
      </c>
      <c r="K5382" s="3" t="s">
        <v>64</v>
      </c>
    </row>
    <row r="5383" spans="1:11" ht="42" customHeight="1">
      <c r="A5383" s="2" t="s">
        <v>12608</v>
      </c>
      <c r="B5383" s="2" t="s">
        <v>12608</v>
      </c>
      <c r="C5383" s="2" t="s">
        <v>38</v>
      </c>
      <c r="D5383" s="2" t="s">
        <v>39</v>
      </c>
      <c r="E5383" s="5">
        <v>-31278</v>
      </c>
      <c r="F5383" s="3" t="s">
        <v>773</v>
      </c>
      <c r="G5383" s="3" t="s">
        <v>99</v>
      </c>
      <c r="H5383" s="2" t="s">
        <v>62</v>
      </c>
      <c r="I5383" s="2" t="s">
        <v>12616</v>
      </c>
      <c r="J5383" s="3" t="str">
        <f>HYPERLINK("https://www.boe.es/gazeta/dias/1814/05/12/pdfs/GMD-1814-69.pdf#page=5","Abrir facsímil")</f>
        <v>Abrir facsímil</v>
      </c>
      <c r="K5383" s="3" t="s">
        <v>64</v>
      </c>
    </row>
    <row r="5384" spans="1:11" ht="42" customHeight="1">
      <c r="A5384" s="2" t="s">
        <v>12608</v>
      </c>
      <c r="B5384" s="2" t="s">
        <v>12608</v>
      </c>
      <c r="C5384" s="2" t="s">
        <v>309</v>
      </c>
      <c r="D5384" s="2" t="s">
        <v>18</v>
      </c>
      <c r="E5384" s="5">
        <v>-31273</v>
      </c>
      <c r="F5384" s="3" t="s">
        <v>2108</v>
      </c>
      <c r="G5384" s="3" t="s">
        <v>87</v>
      </c>
      <c r="H5384" s="2" t="s">
        <v>62</v>
      </c>
      <c r="I5384" s="2" t="s">
        <v>12617</v>
      </c>
      <c r="J5384" s="3" t="str">
        <f>HYPERLINK("https://www.boe.es/gazeta/dias/1814/05/17/pdfs/GMD-1814-72.pdf#page=2","Abrir facsímil")</f>
        <v>Abrir facsímil</v>
      </c>
      <c r="K5384" s="3" t="s">
        <v>64</v>
      </c>
    </row>
    <row r="5385" spans="1:11" ht="42" customHeight="1">
      <c r="A5385" s="2" t="s">
        <v>12608</v>
      </c>
      <c r="B5385" s="2" t="s">
        <v>12608</v>
      </c>
      <c r="C5385" s="2" t="s">
        <v>17</v>
      </c>
      <c r="D5385" s="2" t="s">
        <v>18</v>
      </c>
      <c r="E5385" s="5">
        <v>-31273</v>
      </c>
      <c r="F5385" s="3" t="s">
        <v>2108</v>
      </c>
      <c r="G5385" s="3" t="s">
        <v>82</v>
      </c>
      <c r="H5385" s="2" t="s">
        <v>62</v>
      </c>
      <c r="I5385" s="2" t="s">
        <v>12618</v>
      </c>
      <c r="J5385" s="3" t="str">
        <f>HYPERLINK("https://www.boe.es/gazeta/dias/1814/05/17/pdfs/GMD-1814-72.pdf#page=3","Abrir facsímil")</f>
        <v>Abrir facsímil</v>
      </c>
      <c r="K5385" s="3" t="s">
        <v>64</v>
      </c>
    </row>
    <row r="5386" spans="1:11" ht="42" customHeight="1">
      <c r="A5386" s="2" t="s">
        <v>12608</v>
      </c>
      <c r="B5386" s="2" t="s">
        <v>12608</v>
      </c>
      <c r="C5386" s="2" t="s">
        <v>17</v>
      </c>
      <c r="D5386" s="2" t="s">
        <v>18</v>
      </c>
      <c r="E5386" s="5">
        <v>-31273</v>
      </c>
      <c r="F5386" s="3" t="s">
        <v>2108</v>
      </c>
      <c r="G5386" s="3" t="s">
        <v>41</v>
      </c>
      <c r="H5386" s="2" t="s">
        <v>62</v>
      </c>
      <c r="I5386" s="2" t="s">
        <v>12619</v>
      </c>
      <c r="J5386" s="3" t="str">
        <f>HYPERLINK("https://www.boe.es/gazeta/dias/1814/05/17/pdfs/GMD-1814-72.pdf#page=4","Abrir facsímil")</f>
        <v>Abrir facsímil</v>
      </c>
      <c r="K5386" s="3" t="s">
        <v>64</v>
      </c>
    </row>
    <row r="5387" spans="1:11" ht="42" customHeight="1">
      <c r="A5387" s="2" t="s">
        <v>12608</v>
      </c>
      <c r="B5387" s="2" t="s">
        <v>12608</v>
      </c>
      <c r="C5387" s="2" t="s">
        <v>38</v>
      </c>
      <c r="D5387" s="2" t="s">
        <v>39</v>
      </c>
      <c r="E5387" s="5">
        <v>-31264</v>
      </c>
      <c r="F5387" s="3" t="s">
        <v>396</v>
      </c>
      <c r="G5387" s="3" t="s">
        <v>41</v>
      </c>
      <c r="H5387" s="2" t="s">
        <v>62</v>
      </c>
      <c r="I5387" s="2" t="s">
        <v>12620</v>
      </c>
      <c r="J5387" s="3" t="str">
        <f>HYPERLINK("https://www.boe.es/gazeta/dias/1814/05/26/pdfs/GMD-1814-77.pdf#page=4","Abrir facsímil")</f>
        <v>Abrir facsímil</v>
      </c>
      <c r="K5387" s="3" t="s">
        <v>64</v>
      </c>
    </row>
    <row r="5388" spans="1:11" ht="42" customHeight="1">
      <c r="A5388" s="2" t="s">
        <v>12608</v>
      </c>
      <c r="B5388" s="2" t="s">
        <v>12608</v>
      </c>
      <c r="C5388" s="2" t="s">
        <v>144</v>
      </c>
      <c r="D5388" s="2" t="s">
        <v>18</v>
      </c>
      <c r="E5388" s="5">
        <v>-31264</v>
      </c>
      <c r="F5388" s="3" t="s">
        <v>396</v>
      </c>
      <c r="G5388" s="3" t="s">
        <v>57</v>
      </c>
      <c r="H5388" s="2" t="s">
        <v>62</v>
      </c>
      <c r="I5388" s="2" t="s">
        <v>12621</v>
      </c>
      <c r="J5388" s="3" t="str">
        <f>HYPERLINK("https://www.boe.es/gazeta/dias/1814/05/26/pdfs/GMD-1814-77.pdf#page=6","Abrir facsímil")</f>
        <v>Abrir facsímil</v>
      </c>
      <c r="K5388" s="3" t="s">
        <v>64</v>
      </c>
    </row>
    <row r="5389" spans="1:11" ht="42" customHeight="1">
      <c r="A5389" s="2" t="s">
        <v>12608</v>
      </c>
      <c r="B5389" s="2" t="s">
        <v>12608</v>
      </c>
      <c r="C5389" s="2" t="s">
        <v>45</v>
      </c>
      <c r="D5389" s="2" t="s">
        <v>18</v>
      </c>
      <c r="E5389" s="5">
        <v>-31245</v>
      </c>
      <c r="F5389" s="3" t="s">
        <v>908</v>
      </c>
      <c r="G5389" s="3" t="s">
        <v>9008</v>
      </c>
      <c r="H5389" s="2" t="s">
        <v>62</v>
      </c>
      <c r="I5389" s="2" t="s">
        <v>12622</v>
      </c>
      <c r="J5389" s="3" t="str">
        <f>HYPERLINK("https://www.boe.es/gazeta/dias/1814/06/14/pdfs/GMD-1814-85.pdf#page=8","Abrir facsímil")</f>
        <v>Abrir facsímil</v>
      </c>
      <c r="K5389" s="3" t="s">
        <v>64</v>
      </c>
    </row>
    <row r="5390" spans="1:11" ht="42" customHeight="1">
      <c r="A5390" s="2" t="s">
        <v>12608</v>
      </c>
      <c r="B5390" s="2" t="s">
        <v>12608</v>
      </c>
      <c r="C5390" s="2" t="s">
        <v>144</v>
      </c>
      <c r="D5390" s="2" t="s">
        <v>18</v>
      </c>
      <c r="E5390" s="5">
        <v>-31220</v>
      </c>
      <c r="F5390" s="3" t="s">
        <v>122</v>
      </c>
      <c r="G5390" s="3" t="s">
        <v>87</v>
      </c>
      <c r="H5390" s="2" t="s">
        <v>62</v>
      </c>
      <c r="I5390" s="2" t="s">
        <v>12623</v>
      </c>
      <c r="J5390" s="3" t="str">
        <f>HYPERLINK("https://www.boe.es/gazeta/dias/1814/07/09/pdfs/GMD-1814-96.pdf#page=2","Abrir facsímil")</f>
        <v>Abrir facsímil</v>
      </c>
      <c r="K5390" s="3" t="s">
        <v>64</v>
      </c>
    </row>
    <row r="5391" spans="1:11" ht="42" customHeight="1">
      <c r="A5391" s="2" t="s">
        <v>12608</v>
      </c>
      <c r="B5391" s="2" t="s">
        <v>12608</v>
      </c>
      <c r="C5391" s="2" t="s">
        <v>26</v>
      </c>
      <c r="D5391" s="2" t="s">
        <v>27</v>
      </c>
      <c r="E5391" s="5">
        <v>-31213</v>
      </c>
      <c r="F5391" s="3" t="s">
        <v>276</v>
      </c>
      <c r="G5391" s="3" t="s">
        <v>87</v>
      </c>
      <c r="H5391" s="2" t="s">
        <v>62</v>
      </c>
      <c r="I5391" s="2" t="s">
        <v>12624</v>
      </c>
      <c r="J5391" s="3" t="str">
        <f>HYPERLINK("https://www.boe.es/gazeta/dias/1814/07/16/pdfs/GMD-1814-99.pdf#page=2","Abrir facsímil")</f>
        <v>Abrir facsímil</v>
      </c>
      <c r="K5391" s="3" t="s">
        <v>64</v>
      </c>
    </row>
    <row r="5392" spans="1:11" ht="42" customHeight="1">
      <c r="A5392" s="2" t="s">
        <v>12608</v>
      </c>
      <c r="B5392" s="2" t="s">
        <v>12608</v>
      </c>
      <c r="C5392" s="2" t="s">
        <v>17</v>
      </c>
      <c r="D5392" s="2" t="s">
        <v>18</v>
      </c>
      <c r="E5392" s="5">
        <v>-31210</v>
      </c>
      <c r="F5392" s="3" t="s">
        <v>141</v>
      </c>
      <c r="G5392" s="3" t="s">
        <v>87</v>
      </c>
      <c r="H5392" s="2" t="s">
        <v>62</v>
      </c>
      <c r="I5392" s="2" t="s">
        <v>12625</v>
      </c>
      <c r="J5392" s="3" t="str">
        <f>HYPERLINK("https://www.boe.es/gazeta/dias/1814/07/19/pdfs/GMD-1814-100.pdf#page=2","Abrir facsímil")</f>
        <v>Abrir facsímil</v>
      </c>
      <c r="K5392" s="3" t="s">
        <v>64</v>
      </c>
    </row>
    <row r="5393" spans="1:11" ht="42" customHeight="1">
      <c r="A5393" s="2" t="s">
        <v>12608</v>
      </c>
      <c r="B5393" s="2" t="s">
        <v>12608</v>
      </c>
      <c r="C5393" s="2" t="s">
        <v>38</v>
      </c>
      <c r="D5393" s="2" t="s">
        <v>39</v>
      </c>
      <c r="E5393" s="5">
        <v>-31208</v>
      </c>
      <c r="F5393" s="3" t="s">
        <v>509</v>
      </c>
      <c r="G5393" s="3" t="s">
        <v>82</v>
      </c>
      <c r="H5393" s="2" t="s">
        <v>62</v>
      </c>
      <c r="I5393" s="2" t="s">
        <v>12626</v>
      </c>
      <c r="J5393" s="3" t="str">
        <f>HYPERLINK("https://www.boe.es/gazeta/dias/1814/07/21/pdfs/GMD-1814-101.pdf#page=3","Abrir facsímil")</f>
        <v>Abrir facsímil</v>
      </c>
      <c r="K5393" s="3" t="s">
        <v>64</v>
      </c>
    </row>
    <row r="5394" spans="1:11" ht="42" customHeight="1">
      <c r="A5394" s="2" t="s">
        <v>12608</v>
      </c>
      <c r="B5394" s="2" t="s">
        <v>12608</v>
      </c>
      <c r="C5394" s="2" t="s">
        <v>26</v>
      </c>
      <c r="D5394" s="2" t="s">
        <v>27</v>
      </c>
      <c r="E5394" s="5">
        <v>-31206</v>
      </c>
      <c r="F5394" s="3" t="s">
        <v>1196</v>
      </c>
      <c r="G5394" s="3" t="s">
        <v>87</v>
      </c>
      <c r="H5394" s="2" t="s">
        <v>62</v>
      </c>
      <c r="I5394" s="2" t="s">
        <v>12627</v>
      </c>
      <c r="J5394" s="3" t="str">
        <f>HYPERLINK("https://www.boe.es/gazeta/dias/1814/07/23/pdfs/GMD-1814-102.pdf#page=2","Abrir facsímil")</f>
        <v>Abrir facsímil</v>
      </c>
      <c r="K5394" s="3" t="s">
        <v>64</v>
      </c>
    </row>
    <row r="5395" spans="1:11" ht="42" customHeight="1">
      <c r="A5395" s="2" t="s">
        <v>12608</v>
      </c>
      <c r="B5395" s="2" t="s">
        <v>12608</v>
      </c>
      <c r="C5395" s="2" t="s">
        <v>38</v>
      </c>
      <c r="D5395" s="2" t="s">
        <v>39</v>
      </c>
      <c r="E5395" s="5">
        <v>-31203</v>
      </c>
      <c r="F5395" s="3" t="s">
        <v>512</v>
      </c>
      <c r="G5395" s="3" t="s">
        <v>513</v>
      </c>
      <c r="H5395" s="2" t="s">
        <v>62</v>
      </c>
      <c r="I5395" s="2" t="s">
        <v>12628</v>
      </c>
      <c r="J5395" s="3" t="str">
        <f>HYPERLINK("https://www.boe.es/gazeta/dias/1814/07/26/pdfs/GMD-1814-103.pdf#page=2","Abrir facsímil")</f>
        <v>Abrir facsímil</v>
      </c>
      <c r="K5395" s="3" t="s">
        <v>64</v>
      </c>
    </row>
    <row r="5396" spans="1:11" ht="42" customHeight="1">
      <c r="A5396" s="2" t="s">
        <v>12608</v>
      </c>
      <c r="B5396" s="2" t="s">
        <v>12608</v>
      </c>
      <c r="C5396" s="2" t="s">
        <v>45</v>
      </c>
      <c r="D5396" s="2" t="s">
        <v>18</v>
      </c>
      <c r="E5396" s="5">
        <v>-31196</v>
      </c>
      <c r="F5396" s="3" t="s">
        <v>828</v>
      </c>
      <c r="G5396" s="3" t="s">
        <v>2073</v>
      </c>
      <c r="H5396" s="2" t="s">
        <v>62</v>
      </c>
      <c r="I5396" s="2" t="s">
        <v>12629</v>
      </c>
      <c r="J5396" s="3" t="str">
        <f>HYPERLINK("https://www.boe.es/gazeta/dias/1814/08/02/pdfs/GMD-1814-106.pdf#page=3","Abrir facsímil")</f>
        <v>Abrir facsímil</v>
      </c>
      <c r="K5396" s="3" t="s">
        <v>64</v>
      </c>
    </row>
    <row r="5397" spans="1:11" ht="42" customHeight="1">
      <c r="A5397" s="2" t="s">
        <v>12608</v>
      </c>
      <c r="B5397" s="2" t="s">
        <v>12608</v>
      </c>
      <c r="C5397" s="2" t="s">
        <v>17</v>
      </c>
      <c r="D5397" s="2" t="s">
        <v>18</v>
      </c>
      <c r="E5397" s="5">
        <v>-31189</v>
      </c>
      <c r="F5397" s="3" t="s">
        <v>379</v>
      </c>
      <c r="G5397" s="3" t="s">
        <v>82</v>
      </c>
      <c r="H5397" s="2" t="s">
        <v>62</v>
      </c>
      <c r="I5397" s="2" t="s">
        <v>12630</v>
      </c>
      <c r="J5397" s="3" t="str">
        <f>HYPERLINK("https://www.boe.es/gazeta/dias/1814/08/09/pdfs/GMD-1814-109.pdf#page=3","Abrir facsímil")</f>
        <v>Abrir facsímil</v>
      </c>
      <c r="K5397" s="3" t="s">
        <v>64</v>
      </c>
    </row>
    <row r="5398" spans="1:11" ht="42" customHeight="1">
      <c r="A5398" s="2" t="s">
        <v>12631</v>
      </c>
      <c r="B5398" s="2" t="s">
        <v>12631</v>
      </c>
      <c r="C5398" s="2" t="s">
        <v>17</v>
      </c>
      <c r="D5398" s="2" t="s">
        <v>18</v>
      </c>
      <c r="E5398" s="5">
        <v>-31278</v>
      </c>
      <c r="F5398" s="3" t="s">
        <v>773</v>
      </c>
      <c r="G5398" s="3" t="s">
        <v>99</v>
      </c>
      <c r="H5398" s="2" t="s">
        <v>62</v>
      </c>
      <c r="I5398" s="2" t="s">
        <v>12632</v>
      </c>
      <c r="J5398" s="3" t="str">
        <f>HYPERLINK("https://www.boe.es/gazeta/dias/1814/05/12/pdfs/GMD-1814-69.pdf#page=5","Abrir facsímil")</f>
        <v>Abrir facsímil</v>
      </c>
      <c r="K5398" s="3" t="s">
        <v>64</v>
      </c>
    </row>
    <row r="5399" spans="1:11" ht="42" customHeight="1">
      <c r="A5399" s="2" t="s">
        <v>12633</v>
      </c>
      <c r="B5399" s="2" t="s">
        <v>12633</v>
      </c>
      <c r="C5399" s="2" t="s">
        <v>17</v>
      </c>
      <c r="D5399" s="2" t="s">
        <v>18</v>
      </c>
      <c r="E5399" s="5">
        <v>-31311</v>
      </c>
      <c r="F5399" s="3" t="s">
        <v>3144</v>
      </c>
      <c r="G5399" s="3" t="s">
        <v>57</v>
      </c>
      <c r="H5399" s="2" t="s">
        <v>62</v>
      </c>
      <c r="I5399" s="2" t="s">
        <v>12634</v>
      </c>
      <c r="J5399" s="3" t="str">
        <f>HYPERLINK("https://www.boe.es/gazeta/dias/1814/04/09/pdfs/GRE-1814-51.pdf#page=6","Abrir facsímil")</f>
        <v>Abrir facsímil</v>
      </c>
      <c r="K5399" s="3" t="s">
        <v>64</v>
      </c>
    </row>
    <row r="5400" spans="1:11" ht="42" customHeight="1">
      <c r="A5400" s="2" t="s">
        <v>12635</v>
      </c>
      <c r="B5400" s="2" t="s">
        <v>12636</v>
      </c>
      <c r="C5400" s="2" t="s">
        <v>38</v>
      </c>
      <c r="D5400" s="2" t="s">
        <v>314</v>
      </c>
      <c r="E5400" s="5">
        <v>-31328</v>
      </c>
      <c r="F5400" s="3" t="s">
        <v>442</v>
      </c>
      <c r="G5400" s="3" t="s">
        <v>82</v>
      </c>
      <c r="H5400" s="2" t="s">
        <v>62</v>
      </c>
      <c r="I5400" s="2" t="s">
        <v>12637</v>
      </c>
      <c r="J5400" s="3" t="str">
        <f>HYPERLINK("https://www.boe.es/gazeta/dias/1814/03/23/pdfs/GRE-1814-40E.pdf#page=3","Abrir facsímil")</f>
        <v>Abrir facsímil</v>
      </c>
      <c r="K5400" s="3" t="s">
        <v>64</v>
      </c>
    </row>
    <row r="5401" spans="1:11" ht="42" customHeight="1">
      <c r="A5401" s="2" t="s">
        <v>12638</v>
      </c>
      <c r="B5401" s="2" t="s">
        <v>12638</v>
      </c>
      <c r="C5401" s="2" t="s">
        <v>38</v>
      </c>
      <c r="D5401" s="2" t="s">
        <v>39</v>
      </c>
      <c r="E5401" s="5">
        <v>-31392</v>
      </c>
      <c r="F5401" s="3" t="s">
        <v>195</v>
      </c>
      <c r="G5401" s="3" t="s">
        <v>41</v>
      </c>
      <c r="H5401" s="2" t="s">
        <v>62</v>
      </c>
      <c r="I5401" s="2" t="s">
        <v>12639</v>
      </c>
      <c r="J5401" s="3" t="str">
        <f>HYPERLINK("https://www.boe.es/gazeta/dias/1814/01/18/pdfs/GRE-1814-9.pdf#page=4","Abrir facsímil")</f>
        <v>Abrir facsímil</v>
      </c>
      <c r="K5401" s="3" t="s">
        <v>64</v>
      </c>
    </row>
    <row r="5402" spans="1:11" ht="42" customHeight="1">
      <c r="A5402" s="2" t="s">
        <v>12640</v>
      </c>
      <c r="B5402" s="2" t="s">
        <v>12640</v>
      </c>
      <c r="C5402" s="2" t="s">
        <v>38</v>
      </c>
      <c r="D5402" s="2" t="s">
        <v>39</v>
      </c>
      <c r="E5402" s="5">
        <v>-31360</v>
      </c>
      <c r="F5402" s="3" t="s">
        <v>480</v>
      </c>
      <c r="G5402" s="3" t="s">
        <v>2035</v>
      </c>
      <c r="H5402" s="2" t="s">
        <v>62</v>
      </c>
      <c r="I5402" s="2" t="s">
        <v>12641</v>
      </c>
      <c r="J5402" s="3" t="str">
        <f>HYPERLINK("https://www.boe.es/gazeta/dias/1814/02/19/pdfs/GRE-1814-23.pdf#page=4","Abrir facsímil")</f>
        <v>Abrir facsímil</v>
      </c>
      <c r="K5402" s="3" t="s">
        <v>64</v>
      </c>
    </row>
    <row r="5403" spans="1:11" ht="42" customHeight="1">
      <c r="A5403" s="2" t="s">
        <v>12642</v>
      </c>
      <c r="B5403" s="2" t="s">
        <v>12643</v>
      </c>
      <c r="C5403" s="2" t="s">
        <v>26</v>
      </c>
      <c r="D5403" s="2" t="s">
        <v>27</v>
      </c>
      <c r="E5403" s="5">
        <v>-31322</v>
      </c>
      <c r="F5403" s="3" t="s">
        <v>114</v>
      </c>
      <c r="G5403" s="3" t="s">
        <v>107</v>
      </c>
      <c r="H5403" s="2" t="s">
        <v>62</v>
      </c>
      <c r="I5403" s="2" t="s">
        <v>12644</v>
      </c>
      <c r="J5403" s="3" t="str">
        <f>HYPERLINK("https://www.boe.es/gazeta/dias/1814/03/29/pdfs/GRE-1814-44.pdf#page=1","Abrir facsímil")</f>
        <v>Abrir facsímil</v>
      </c>
      <c r="K5403" s="3" t="s">
        <v>64</v>
      </c>
    </row>
    <row r="5404" spans="1:11" ht="42" customHeight="1">
      <c r="A5404" s="2" t="s">
        <v>12645</v>
      </c>
      <c r="B5404" s="2" t="s">
        <v>12646</v>
      </c>
      <c r="C5404" s="2" t="s">
        <v>38</v>
      </c>
      <c r="D5404" s="2" t="s">
        <v>39</v>
      </c>
      <c r="E5404" s="5">
        <v>-31404</v>
      </c>
      <c r="F5404" s="3" t="s">
        <v>630</v>
      </c>
      <c r="G5404" s="3" t="s">
        <v>87</v>
      </c>
      <c r="H5404" s="2" t="s">
        <v>62</v>
      </c>
      <c r="I5404" s="2" t="s">
        <v>12647</v>
      </c>
      <c r="J5404" s="3" t="str">
        <f>HYPERLINK("https://www.boe.es/gazeta/dias/1814/01/06/pdfs/GRE-1814-3.pdf#page=2","Abrir facsímil")</f>
        <v>Abrir facsímil</v>
      </c>
      <c r="K5404" s="3" t="s">
        <v>64</v>
      </c>
    </row>
    <row r="5405" spans="1:11" ht="42" customHeight="1">
      <c r="A5405" s="2" t="s">
        <v>12648</v>
      </c>
      <c r="B5405" s="2" t="s">
        <v>12648</v>
      </c>
      <c r="C5405" s="2" t="s">
        <v>38</v>
      </c>
      <c r="D5405" s="2" t="s">
        <v>39</v>
      </c>
      <c r="E5405" s="5">
        <v>-31392</v>
      </c>
      <c r="F5405" s="3" t="s">
        <v>195</v>
      </c>
      <c r="G5405" s="3" t="s">
        <v>82</v>
      </c>
      <c r="H5405" s="2" t="s">
        <v>62</v>
      </c>
      <c r="I5405" s="2" t="s">
        <v>12649</v>
      </c>
      <c r="J5405" s="3" t="str">
        <f>HYPERLINK("https://www.boe.es/gazeta/dias/1814/01/18/pdfs/GRE-1814-9.pdf#page=3","Abrir facsímil")</f>
        <v>Abrir facsímil</v>
      </c>
      <c r="K5405" s="3" t="s">
        <v>64</v>
      </c>
    </row>
    <row r="5406" spans="1:11" ht="42" customHeight="1">
      <c r="A5406" s="2" t="s">
        <v>12650</v>
      </c>
      <c r="B5406" s="2" t="s">
        <v>12650</v>
      </c>
      <c r="C5406" s="2" t="s">
        <v>38</v>
      </c>
      <c r="D5406" s="2" t="s">
        <v>39</v>
      </c>
      <c r="E5406" s="5">
        <v>-31364</v>
      </c>
      <c r="F5406" s="3" t="s">
        <v>594</v>
      </c>
      <c r="G5406" s="3" t="s">
        <v>87</v>
      </c>
      <c r="H5406" s="2" t="s">
        <v>62</v>
      </c>
      <c r="I5406" s="2" t="s">
        <v>12651</v>
      </c>
      <c r="J5406" s="3" t="str">
        <f>HYPERLINK("https://www.boe.es/gazeta/dias/1814/02/15/pdfs/GRE-1814-21.pdf#page=2","Abrir facsímil")</f>
        <v>Abrir facsímil</v>
      </c>
      <c r="K5406" s="3" t="s">
        <v>64</v>
      </c>
    </row>
    <row r="5407" spans="1:11" ht="42" customHeight="1">
      <c r="A5407" s="2" t="s">
        <v>12650</v>
      </c>
      <c r="B5407" s="2" t="s">
        <v>12650</v>
      </c>
      <c r="C5407" s="2" t="s">
        <v>38</v>
      </c>
      <c r="D5407" s="2" t="s">
        <v>39</v>
      </c>
      <c r="E5407" s="5">
        <v>-31364</v>
      </c>
      <c r="F5407" s="3" t="s">
        <v>594</v>
      </c>
      <c r="G5407" s="3" t="s">
        <v>82</v>
      </c>
      <c r="H5407" s="2" t="s">
        <v>62</v>
      </c>
      <c r="I5407" s="2" t="s">
        <v>12652</v>
      </c>
      <c r="J5407" s="3" t="str">
        <f>HYPERLINK("https://www.boe.es/gazeta/dias/1814/02/15/pdfs/GRE-1814-21.pdf#page=3","Abrir facsímil")</f>
        <v>Abrir facsímil</v>
      </c>
      <c r="K5407" s="3" t="s">
        <v>64</v>
      </c>
    </row>
    <row r="5408" spans="1:11" ht="42" customHeight="1">
      <c r="A5408" s="2" t="s">
        <v>12650</v>
      </c>
      <c r="B5408" s="2" t="s">
        <v>12650</v>
      </c>
      <c r="C5408" s="2" t="s">
        <v>38</v>
      </c>
      <c r="D5408" s="2" t="s">
        <v>39</v>
      </c>
      <c r="E5408" s="5">
        <v>-31236</v>
      </c>
      <c r="F5408" s="3" t="s">
        <v>33</v>
      </c>
      <c r="G5408" s="3" t="s">
        <v>82</v>
      </c>
      <c r="H5408" s="2" t="s">
        <v>62</v>
      </c>
      <c r="I5408" s="2" t="s">
        <v>12653</v>
      </c>
      <c r="J5408" s="3" t="str">
        <f>HYPERLINK("https://www.boe.es/gazeta/dias/1814/06/23/pdfs/GMD-1814-89.pdf#page=3","Abrir facsímil")</f>
        <v>Abrir facsímil</v>
      </c>
      <c r="K5408" s="3" t="s">
        <v>64</v>
      </c>
    </row>
    <row r="5409" spans="1:11" ht="42" customHeight="1">
      <c r="A5409" s="2" t="s">
        <v>12654</v>
      </c>
      <c r="B5409" s="2" t="s">
        <v>12654</v>
      </c>
      <c r="C5409" s="2" t="s">
        <v>38</v>
      </c>
      <c r="D5409" s="2" t="s">
        <v>39</v>
      </c>
      <c r="E5409" s="5">
        <v>-31339</v>
      </c>
      <c r="F5409" s="3" t="s">
        <v>641</v>
      </c>
      <c r="G5409" s="3" t="s">
        <v>11239</v>
      </c>
      <c r="H5409" s="2" t="s">
        <v>62</v>
      </c>
      <c r="I5409" s="2" t="s">
        <v>12655</v>
      </c>
      <c r="J5409" s="3" t="str">
        <f>HYPERLINK("https://www.boe.es/gazeta/dias/1814/03/12/pdfs/GRE-1814-35.pdf#page=2","Abrir facsímil")</f>
        <v>Abrir facsímil</v>
      </c>
      <c r="K5409" s="3" t="s">
        <v>64</v>
      </c>
    </row>
    <row r="5410" spans="1:11" ht="42" customHeight="1">
      <c r="A5410" s="2" t="s">
        <v>12656</v>
      </c>
      <c r="B5410" s="2" t="s">
        <v>12657</v>
      </c>
      <c r="C5410" s="2" t="s">
        <v>38</v>
      </c>
      <c r="D5410" s="2" t="s">
        <v>39</v>
      </c>
      <c r="E5410" s="5">
        <v>-31383</v>
      </c>
      <c r="F5410" s="3" t="s">
        <v>715</v>
      </c>
      <c r="G5410" s="3" t="s">
        <v>20</v>
      </c>
      <c r="H5410" s="2" t="s">
        <v>62</v>
      </c>
      <c r="I5410" s="2" t="s">
        <v>12658</v>
      </c>
      <c r="J5410" s="3" t="str">
        <f>HYPERLINK("https://www.boe.es/gazeta/dias/1814/01/27/pdfs/GRE-1814-13.pdf#page=7","Abrir facsímil")</f>
        <v>Abrir facsímil</v>
      </c>
      <c r="K5410" s="3" t="s">
        <v>64</v>
      </c>
    </row>
    <row r="5411" spans="1:11" ht="42" customHeight="1">
      <c r="A5411" s="2" t="s">
        <v>12656</v>
      </c>
      <c r="B5411" s="2" t="s">
        <v>12657</v>
      </c>
      <c r="C5411" s="2" t="s">
        <v>38</v>
      </c>
      <c r="D5411" s="2" t="s">
        <v>314</v>
      </c>
      <c r="E5411" s="5">
        <v>-31296</v>
      </c>
      <c r="F5411" s="3" t="s">
        <v>315</v>
      </c>
      <c r="G5411" s="3" t="s">
        <v>41</v>
      </c>
      <c r="H5411" s="2" t="s">
        <v>62</v>
      </c>
      <c r="I5411" s="2" t="s">
        <v>12659</v>
      </c>
      <c r="J5411" s="3" t="str">
        <f>HYPERLINK("https://www.boe.es/gazeta/dias/1814/04/24/pdfs/GRE-1814-60E.pdf#page=4","Abrir facsímil")</f>
        <v>Abrir facsímil</v>
      </c>
      <c r="K5411" s="3" t="s">
        <v>64</v>
      </c>
    </row>
    <row r="5412" spans="1:11" ht="42" customHeight="1">
      <c r="A5412" s="2" t="s">
        <v>12660</v>
      </c>
      <c r="B5412" s="2" t="s">
        <v>12661</v>
      </c>
      <c r="C5412" s="2" t="s">
        <v>38</v>
      </c>
      <c r="D5412" s="2" t="s">
        <v>314</v>
      </c>
      <c r="E5412" s="5">
        <v>-31294</v>
      </c>
      <c r="F5412" s="3" t="s">
        <v>2505</v>
      </c>
      <c r="G5412" s="3" t="s">
        <v>20</v>
      </c>
      <c r="H5412" s="2" t="s">
        <v>62</v>
      </c>
      <c r="I5412" s="2" t="s">
        <v>12662</v>
      </c>
      <c r="J5412" s="3" t="str">
        <f>HYPERLINK("https://www.boe.es/gazeta/dias/1814/04/26/pdfs/GRE-1814-62E.pdf#page=7","Abrir facsímil")</f>
        <v>Abrir facsímil</v>
      </c>
      <c r="K5412" s="3" t="s">
        <v>64</v>
      </c>
    </row>
    <row r="5413" spans="1:11" ht="42" customHeight="1">
      <c r="A5413" s="2" t="s">
        <v>12663</v>
      </c>
      <c r="B5413" s="2" t="s">
        <v>12664</v>
      </c>
      <c r="C5413" s="2" t="s">
        <v>38</v>
      </c>
      <c r="D5413" s="2" t="s">
        <v>314</v>
      </c>
      <c r="E5413" s="5">
        <v>-31294</v>
      </c>
      <c r="F5413" s="3" t="s">
        <v>2505</v>
      </c>
      <c r="G5413" s="3" t="s">
        <v>99</v>
      </c>
      <c r="H5413" s="2" t="s">
        <v>62</v>
      </c>
      <c r="I5413" s="2" t="s">
        <v>12665</v>
      </c>
      <c r="J5413" s="3" t="str">
        <f>HYPERLINK("https://www.boe.es/gazeta/dias/1814/04/26/pdfs/GRE-1814-62E.pdf#page=5","Abrir facsímil")</f>
        <v>Abrir facsímil</v>
      </c>
      <c r="K5413" s="3" t="s">
        <v>64</v>
      </c>
    </row>
    <row r="5414" spans="1:11" ht="42" customHeight="1">
      <c r="A5414" s="2" t="s">
        <v>12666</v>
      </c>
      <c r="B5414" s="2" t="s">
        <v>12667</v>
      </c>
      <c r="C5414" s="2" t="s">
        <v>38</v>
      </c>
      <c r="D5414" s="2" t="s">
        <v>39</v>
      </c>
      <c r="E5414" s="5">
        <v>-31227</v>
      </c>
      <c r="F5414" s="3" t="s">
        <v>102</v>
      </c>
      <c r="G5414" s="3" t="s">
        <v>825</v>
      </c>
      <c r="H5414" s="2" t="s">
        <v>62</v>
      </c>
      <c r="I5414" s="2" t="s">
        <v>12668</v>
      </c>
      <c r="J5414" s="3" t="str">
        <f>HYPERLINK("https://www.boe.es/gazeta/dias/1814/07/02/pdfs/GMD-1814-93.pdf#page=7","Abrir facsímil")</f>
        <v>Abrir facsímil</v>
      </c>
      <c r="K5414" s="3" t="s">
        <v>64</v>
      </c>
    </row>
    <row r="5415" spans="1:11" ht="42" customHeight="1">
      <c r="A5415" s="2" t="s">
        <v>12669</v>
      </c>
      <c r="B5415" s="2" t="s">
        <v>12669</v>
      </c>
      <c r="C5415" s="2" t="s">
        <v>38</v>
      </c>
      <c r="D5415" s="2" t="s">
        <v>39</v>
      </c>
      <c r="E5415" s="5">
        <v>-31124</v>
      </c>
      <c r="F5415" s="3" t="s">
        <v>383</v>
      </c>
      <c r="G5415" s="3" t="s">
        <v>837</v>
      </c>
      <c r="H5415" s="2" t="s">
        <v>62</v>
      </c>
      <c r="I5415" s="2" t="s">
        <v>12670</v>
      </c>
      <c r="J5415" s="3" t="str">
        <f>HYPERLINK("https://www.boe.es/gazeta/dias/1814/10/13/pdfs/GMD-1814-138.pdf#page=3","Abrir facsímil")</f>
        <v>Abrir facsímil</v>
      </c>
      <c r="K5415" s="3" t="s">
        <v>64</v>
      </c>
    </row>
    <row r="5416" spans="1:11" ht="42" customHeight="1">
      <c r="A5416" s="2" t="s">
        <v>12671</v>
      </c>
      <c r="B5416" s="2" t="s">
        <v>12671</v>
      </c>
      <c r="C5416" s="2" t="s">
        <v>38</v>
      </c>
      <c r="D5416" s="2" t="s">
        <v>39</v>
      </c>
      <c r="E5416" s="5">
        <v>-31334</v>
      </c>
      <c r="F5416" s="3" t="s">
        <v>482</v>
      </c>
      <c r="G5416" s="3" t="s">
        <v>2020</v>
      </c>
      <c r="H5416" s="2" t="s">
        <v>62</v>
      </c>
      <c r="I5416" s="2" t="s">
        <v>12672</v>
      </c>
      <c r="J5416" s="3" t="str">
        <f>HYPERLINK("https://www.boe.es/gazeta/dias/1814/03/17/pdfs/GRE-1814-37.pdf#page=4","Abrir facsímil")</f>
        <v>Abrir facsímil</v>
      </c>
      <c r="K5416" s="3" t="s">
        <v>64</v>
      </c>
    </row>
    <row r="5417" spans="1:11" ht="42" customHeight="1">
      <c r="A5417" s="2" t="s">
        <v>12673</v>
      </c>
      <c r="B5417" s="2" t="s">
        <v>12673</v>
      </c>
      <c r="C5417" s="2" t="s">
        <v>38</v>
      </c>
      <c r="D5417" s="2" t="s">
        <v>39</v>
      </c>
      <c r="E5417" s="5">
        <v>-31409</v>
      </c>
      <c r="F5417" s="3" t="s">
        <v>168</v>
      </c>
      <c r="G5417" s="3" t="s">
        <v>99</v>
      </c>
      <c r="H5417" s="2" t="s">
        <v>62</v>
      </c>
      <c r="I5417" s="2" t="s">
        <v>12674</v>
      </c>
      <c r="J5417" s="3" t="str">
        <f>HYPERLINK("https://www.boe.es/gazeta/dias/1814/01/01/pdfs/GRE-1814-1.pdf#page=5","Abrir facsímil")</f>
        <v>Abrir facsímil</v>
      </c>
      <c r="K5417" s="3" t="s">
        <v>64</v>
      </c>
    </row>
    <row r="5418" spans="1:11" ht="42" customHeight="1">
      <c r="A5418" s="2" t="s">
        <v>12673</v>
      </c>
      <c r="B5418" s="2" t="s">
        <v>12673</v>
      </c>
      <c r="C5418" s="2" t="s">
        <v>38</v>
      </c>
      <c r="D5418" s="2" t="s">
        <v>39</v>
      </c>
      <c r="E5418" s="5">
        <v>-31399</v>
      </c>
      <c r="F5418" s="3" t="s">
        <v>218</v>
      </c>
      <c r="G5418" s="3" t="s">
        <v>82</v>
      </c>
      <c r="H5418" s="2" t="s">
        <v>62</v>
      </c>
      <c r="I5418" s="2" t="s">
        <v>12675</v>
      </c>
      <c r="J5418" s="3" t="str">
        <f>HYPERLINK("https://www.boe.es/gazeta/dias/1814/01/11/pdfs/GRE-1814-6.pdf#page=3","Abrir facsímil")</f>
        <v>Abrir facsímil</v>
      </c>
      <c r="K5418" s="3" t="s">
        <v>64</v>
      </c>
    </row>
    <row r="5419" spans="1:11" ht="42" customHeight="1">
      <c r="A5419" s="2" t="s">
        <v>12673</v>
      </c>
      <c r="B5419" s="2" t="s">
        <v>12673</v>
      </c>
      <c r="C5419" s="2" t="s">
        <v>38</v>
      </c>
      <c r="D5419" s="2" t="s">
        <v>39</v>
      </c>
      <c r="E5419" s="5">
        <v>-31395</v>
      </c>
      <c r="F5419" s="3" t="s">
        <v>662</v>
      </c>
      <c r="G5419" s="3" t="s">
        <v>57</v>
      </c>
      <c r="H5419" s="2" t="s">
        <v>62</v>
      </c>
      <c r="I5419" s="2" t="s">
        <v>12676</v>
      </c>
      <c r="J5419" s="3" t="str">
        <f>HYPERLINK("https://www.boe.es/gazeta/dias/1814/01/15/pdfs/GRE-1814-8.pdf#page=6","Abrir facsímil")</f>
        <v>Abrir facsímil</v>
      </c>
      <c r="K5419" s="3" t="s">
        <v>64</v>
      </c>
    </row>
    <row r="5420" spans="1:11" ht="42" customHeight="1">
      <c r="A5420" s="2" t="s">
        <v>12673</v>
      </c>
      <c r="B5420" s="2" t="s">
        <v>12673</v>
      </c>
      <c r="C5420" s="2" t="s">
        <v>38</v>
      </c>
      <c r="D5420" s="2" t="s">
        <v>39</v>
      </c>
      <c r="E5420" s="5">
        <v>-31374</v>
      </c>
      <c r="F5420" s="3" t="s">
        <v>474</v>
      </c>
      <c r="G5420" s="3" t="s">
        <v>82</v>
      </c>
      <c r="H5420" s="2" t="s">
        <v>62</v>
      </c>
      <c r="I5420" s="2" t="s">
        <v>12677</v>
      </c>
      <c r="J5420" s="3" t="str">
        <f>HYPERLINK("https://www.boe.es/gazeta/dias/1814/02/05/pdfs/GRE-1814-17.pdf#page=3","Abrir facsímil")</f>
        <v>Abrir facsímil</v>
      </c>
      <c r="K5420" s="3" t="s">
        <v>64</v>
      </c>
    </row>
    <row r="5421" spans="1:11" ht="42" customHeight="1">
      <c r="A5421" s="2" t="s">
        <v>12673</v>
      </c>
      <c r="B5421" s="2" t="s">
        <v>12673</v>
      </c>
      <c r="C5421" s="2" t="s">
        <v>38</v>
      </c>
      <c r="D5421" s="2" t="s">
        <v>39</v>
      </c>
      <c r="E5421" s="5">
        <v>-31362</v>
      </c>
      <c r="F5421" s="3" t="s">
        <v>302</v>
      </c>
      <c r="G5421" s="3" t="s">
        <v>2032</v>
      </c>
      <c r="H5421" s="2" t="s">
        <v>62</v>
      </c>
      <c r="I5421" s="2" t="s">
        <v>12678</v>
      </c>
      <c r="J5421" s="3" t="str">
        <f>HYPERLINK("https://www.boe.es/gazeta/dias/1814/02/17/pdfs/GRE-1814-22.pdf#page=5","Abrir facsímil")</f>
        <v>Abrir facsímil</v>
      </c>
      <c r="K5421" s="3" t="s">
        <v>64</v>
      </c>
    </row>
    <row r="5422" spans="1:11" ht="42" customHeight="1">
      <c r="A5422" s="2" t="s">
        <v>12673</v>
      </c>
      <c r="B5422" s="2" t="s">
        <v>12673</v>
      </c>
      <c r="C5422" s="2" t="s">
        <v>38</v>
      </c>
      <c r="D5422" s="2" t="s">
        <v>39</v>
      </c>
      <c r="E5422" s="5">
        <v>-31357</v>
      </c>
      <c r="F5422" s="3" t="s">
        <v>1460</v>
      </c>
      <c r="G5422" s="3" t="s">
        <v>87</v>
      </c>
      <c r="H5422" s="2" t="s">
        <v>62</v>
      </c>
      <c r="I5422" s="2" t="s">
        <v>12679</v>
      </c>
      <c r="J5422" s="3" t="str">
        <f>HYPERLINK("https://www.boe.es/gazeta/dias/1814/02/22/pdfs/GRE-1814-25.pdf#page=2","Abrir facsímil")</f>
        <v>Abrir facsímil</v>
      </c>
      <c r="K5422" s="3" t="s">
        <v>64</v>
      </c>
    </row>
    <row r="5423" spans="1:11" ht="42" customHeight="1">
      <c r="A5423" s="2" t="s">
        <v>12673</v>
      </c>
      <c r="B5423" s="2" t="s">
        <v>12673</v>
      </c>
      <c r="C5423" s="2" t="s">
        <v>38</v>
      </c>
      <c r="D5423" s="2" t="s">
        <v>39</v>
      </c>
      <c r="E5423" s="5">
        <v>-31334</v>
      </c>
      <c r="F5423" s="3" t="s">
        <v>482</v>
      </c>
      <c r="G5423" s="3" t="s">
        <v>2020</v>
      </c>
      <c r="H5423" s="2" t="s">
        <v>62</v>
      </c>
      <c r="I5423" s="2" t="s">
        <v>12680</v>
      </c>
      <c r="J5423" s="3" t="str">
        <f>HYPERLINK("https://www.boe.es/gazeta/dias/1814/03/17/pdfs/GRE-1814-37.pdf#page=4","Abrir facsímil")</f>
        <v>Abrir facsímil</v>
      </c>
      <c r="K5423" s="3" t="s">
        <v>64</v>
      </c>
    </row>
    <row r="5424" spans="1:11" ht="42" customHeight="1">
      <c r="A5424" s="2" t="s">
        <v>12681</v>
      </c>
      <c r="B5424" s="2" t="s">
        <v>12681</v>
      </c>
      <c r="C5424" s="2" t="s">
        <v>38</v>
      </c>
      <c r="D5424" s="2" t="s">
        <v>39</v>
      </c>
      <c r="E5424" s="5">
        <v>-31332</v>
      </c>
      <c r="F5424" s="3" t="s">
        <v>343</v>
      </c>
      <c r="G5424" s="3" t="s">
        <v>107</v>
      </c>
      <c r="H5424" s="2" t="s">
        <v>62</v>
      </c>
      <c r="I5424" s="2" t="s">
        <v>12682</v>
      </c>
      <c r="J5424" s="3" t="str">
        <f>HYPERLINK("https://www.boe.es/gazeta/dias/1814/03/19/pdfs/GRE-1814-38.pdf#page=1","Abrir facsímil")</f>
        <v>Abrir facsímil</v>
      </c>
      <c r="K5424" s="3" t="s">
        <v>64</v>
      </c>
    </row>
    <row r="5425" spans="1:11" ht="42" customHeight="1">
      <c r="A5425" s="2" t="s">
        <v>12673</v>
      </c>
      <c r="B5425" s="2" t="s">
        <v>12673</v>
      </c>
      <c r="C5425" s="2" t="s">
        <v>38</v>
      </c>
      <c r="D5425" s="2" t="s">
        <v>39</v>
      </c>
      <c r="E5425" s="5">
        <v>-31329</v>
      </c>
      <c r="F5425" s="3" t="s">
        <v>621</v>
      </c>
      <c r="G5425" s="3" t="s">
        <v>622</v>
      </c>
      <c r="H5425" s="2" t="s">
        <v>62</v>
      </c>
      <c r="I5425" s="2" t="s">
        <v>12683</v>
      </c>
      <c r="J5425" s="3" t="str">
        <f>HYPERLINK("https://www.boe.es/gazeta/dias/1814/03/22/pdfs/GRE-1814-39.pdf#page=2","Abrir facsímil")</f>
        <v>Abrir facsímil</v>
      </c>
      <c r="K5425" s="3" t="s">
        <v>64</v>
      </c>
    </row>
    <row r="5426" spans="1:11" ht="42" customHeight="1">
      <c r="A5426" s="2" t="s">
        <v>12673</v>
      </c>
      <c r="B5426" s="2" t="s">
        <v>12673</v>
      </c>
      <c r="C5426" s="2" t="s">
        <v>38</v>
      </c>
      <c r="D5426" s="2" t="s">
        <v>39</v>
      </c>
      <c r="E5426" s="5">
        <v>-31327</v>
      </c>
      <c r="F5426" s="3" t="s">
        <v>180</v>
      </c>
      <c r="G5426" s="3" t="s">
        <v>107</v>
      </c>
      <c r="H5426" s="2" t="s">
        <v>62</v>
      </c>
      <c r="I5426" s="2" t="s">
        <v>12684</v>
      </c>
      <c r="J5426" s="3" t="str">
        <f>HYPERLINK("https://www.boe.es/gazeta/dias/1814/03/24/pdfs/GRE-1814-41.pdf#page=1","Abrir facsímil")</f>
        <v>Abrir facsímil</v>
      </c>
      <c r="K5426" s="3" t="s">
        <v>64</v>
      </c>
    </row>
    <row r="5427" spans="1:11" ht="42" customHeight="1">
      <c r="A5427" s="2" t="s">
        <v>12673</v>
      </c>
      <c r="B5427" s="2" t="s">
        <v>12673</v>
      </c>
      <c r="C5427" s="2" t="s">
        <v>38</v>
      </c>
      <c r="D5427" s="2" t="s">
        <v>39</v>
      </c>
      <c r="E5427" s="5">
        <v>-31327</v>
      </c>
      <c r="F5427" s="3" t="s">
        <v>180</v>
      </c>
      <c r="G5427" s="3" t="s">
        <v>41</v>
      </c>
      <c r="H5427" s="2" t="s">
        <v>62</v>
      </c>
      <c r="I5427" s="2" t="s">
        <v>12685</v>
      </c>
      <c r="J5427" s="3" t="str">
        <f>HYPERLINK("https://www.boe.es/gazeta/dias/1814/03/24/pdfs/GRE-1814-41.pdf#page=4","Abrir facsímil")</f>
        <v>Abrir facsímil</v>
      </c>
      <c r="K5427" s="3" t="s">
        <v>64</v>
      </c>
    </row>
    <row r="5428" spans="1:11" ht="42" customHeight="1">
      <c r="A5428" s="2" t="s">
        <v>12673</v>
      </c>
      <c r="B5428" s="2" t="s">
        <v>12673</v>
      </c>
      <c r="C5428" s="2" t="s">
        <v>38</v>
      </c>
      <c r="D5428" s="2" t="s">
        <v>39</v>
      </c>
      <c r="E5428" s="5">
        <v>-31327</v>
      </c>
      <c r="F5428" s="3" t="s">
        <v>180</v>
      </c>
      <c r="G5428" s="3" t="s">
        <v>99</v>
      </c>
      <c r="H5428" s="2" t="s">
        <v>62</v>
      </c>
      <c r="I5428" s="2" t="s">
        <v>12686</v>
      </c>
      <c r="J5428" s="3" t="str">
        <f>HYPERLINK("https://www.boe.es/gazeta/dias/1814/03/24/pdfs/GRE-1814-41.pdf#page=5","Abrir facsímil")</f>
        <v>Abrir facsímil</v>
      </c>
      <c r="K5428" s="3" t="s">
        <v>64</v>
      </c>
    </row>
    <row r="5429" spans="1:11" ht="42" customHeight="1">
      <c r="A5429" s="2" t="s">
        <v>12673</v>
      </c>
      <c r="B5429" s="2" t="s">
        <v>12673</v>
      </c>
      <c r="C5429" s="2" t="s">
        <v>38</v>
      </c>
      <c r="D5429" s="2" t="s">
        <v>39</v>
      </c>
      <c r="E5429" s="5">
        <v>-31325</v>
      </c>
      <c r="F5429" s="3" t="s">
        <v>67</v>
      </c>
      <c r="G5429" s="3" t="s">
        <v>99</v>
      </c>
      <c r="H5429" s="2" t="s">
        <v>62</v>
      </c>
      <c r="I5429" s="2" t="s">
        <v>12687</v>
      </c>
      <c r="J5429" s="3" t="str">
        <f>HYPERLINK("https://www.boe.es/gazeta/dias/1814/03/26/pdfs/GRE-1814-43.pdf#page=5","Abrir facsímil")</f>
        <v>Abrir facsímil</v>
      </c>
      <c r="K5429" s="3" t="s">
        <v>64</v>
      </c>
    </row>
    <row r="5430" spans="1:11" ht="42" customHeight="1">
      <c r="A5430" s="2" t="s">
        <v>12673</v>
      </c>
      <c r="B5430" s="2" t="s">
        <v>12673</v>
      </c>
      <c r="C5430" s="2" t="s">
        <v>38</v>
      </c>
      <c r="D5430" s="2" t="s">
        <v>39</v>
      </c>
      <c r="E5430" s="5">
        <v>-31322</v>
      </c>
      <c r="F5430" s="3" t="s">
        <v>114</v>
      </c>
      <c r="G5430" s="3" t="s">
        <v>99</v>
      </c>
      <c r="H5430" s="2" t="s">
        <v>62</v>
      </c>
      <c r="I5430" s="2" t="s">
        <v>12688</v>
      </c>
      <c r="J5430" s="3" t="str">
        <f>HYPERLINK("https://www.boe.es/gazeta/dias/1814/03/29/pdfs/GRE-1814-44.pdf#page=5","Abrir facsímil")</f>
        <v>Abrir facsímil</v>
      </c>
      <c r="K5430" s="3" t="s">
        <v>64</v>
      </c>
    </row>
    <row r="5431" spans="1:11" ht="42" customHeight="1">
      <c r="A5431" s="2" t="s">
        <v>12673</v>
      </c>
      <c r="B5431" s="2" t="s">
        <v>12673</v>
      </c>
      <c r="C5431" s="2" t="s">
        <v>38</v>
      </c>
      <c r="D5431" s="2" t="s">
        <v>39</v>
      </c>
      <c r="E5431" s="5">
        <v>-31318</v>
      </c>
      <c r="F5431" s="3" t="s">
        <v>400</v>
      </c>
      <c r="G5431" s="3" t="s">
        <v>82</v>
      </c>
      <c r="H5431" s="2" t="s">
        <v>62</v>
      </c>
      <c r="I5431" s="2" t="s">
        <v>12689</v>
      </c>
      <c r="J5431" s="3" t="str">
        <f>HYPERLINK("https://www.boe.es/gazeta/dias/1814/04/02/pdfs/GRE-1814-47.pdf#page=3","Abrir facsímil")</f>
        <v>Abrir facsímil</v>
      </c>
      <c r="K5431" s="3" t="s">
        <v>64</v>
      </c>
    </row>
    <row r="5432" spans="1:11" ht="42" customHeight="1">
      <c r="A5432" s="2" t="s">
        <v>12673</v>
      </c>
      <c r="B5432" s="2" t="s">
        <v>12673</v>
      </c>
      <c r="C5432" s="2" t="s">
        <v>38</v>
      </c>
      <c r="D5432" s="2" t="s">
        <v>39</v>
      </c>
      <c r="E5432" s="5">
        <v>-31283</v>
      </c>
      <c r="F5432" s="3" t="s">
        <v>701</v>
      </c>
      <c r="G5432" s="3" t="s">
        <v>107</v>
      </c>
      <c r="H5432" s="2" t="s">
        <v>62</v>
      </c>
      <c r="I5432" s="2" t="s">
        <v>12690</v>
      </c>
      <c r="J5432" s="3" t="str">
        <f>HYPERLINK("https://www.boe.es/gazeta/dias/1814/05/07/pdfs/GRE-1814-67.pdf#page=1","Abrir facsímil")</f>
        <v>Abrir facsímil</v>
      </c>
      <c r="K5432" s="3" t="s">
        <v>64</v>
      </c>
    </row>
    <row r="5433" spans="1:11" ht="42" customHeight="1">
      <c r="A5433" s="2" t="s">
        <v>12691</v>
      </c>
      <c r="B5433" s="2" t="s">
        <v>12691</v>
      </c>
      <c r="C5433" s="2" t="s">
        <v>26</v>
      </c>
      <c r="D5433" s="2" t="s">
        <v>27</v>
      </c>
      <c r="E5433" s="5">
        <v>-31061</v>
      </c>
      <c r="F5433" s="3" t="s">
        <v>329</v>
      </c>
      <c r="G5433" s="3" t="s">
        <v>4720</v>
      </c>
      <c r="H5433" s="2" t="s">
        <v>62</v>
      </c>
      <c r="I5433" s="2" t="s">
        <v>12692</v>
      </c>
      <c r="J5433" s="3" t="str">
        <f>HYPERLINK("https://www.boe.es/gazeta/dias/1814/12/15/pdfs/GMD-1814-165.pdf#page=3","Abrir facsímil")</f>
        <v>Abrir facsímil</v>
      </c>
      <c r="K5433" s="3" t="s">
        <v>64</v>
      </c>
    </row>
    <row r="5434" spans="1:11" ht="42" customHeight="1">
      <c r="A5434" s="2" t="s">
        <v>12693</v>
      </c>
      <c r="B5434" s="2" t="s">
        <v>12693</v>
      </c>
      <c r="C5434" s="2" t="s">
        <v>38</v>
      </c>
      <c r="D5434" s="2" t="s">
        <v>39</v>
      </c>
      <c r="E5434" s="5">
        <v>-31334</v>
      </c>
      <c r="F5434" s="3" t="s">
        <v>482</v>
      </c>
      <c r="G5434" s="3" t="s">
        <v>99</v>
      </c>
      <c r="H5434" s="2" t="s">
        <v>62</v>
      </c>
      <c r="I5434" s="2" t="s">
        <v>12694</v>
      </c>
      <c r="J5434" s="3" t="str">
        <f>HYPERLINK("https://www.boe.es/gazeta/dias/1814/03/17/pdfs/GRE-1814-37.pdf#page=5","Abrir facsímil")</f>
        <v>Abrir facsímil</v>
      </c>
      <c r="K5434" s="3" t="s">
        <v>64</v>
      </c>
    </row>
    <row r="5435" spans="1:11" ht="42" customHeight="1">
      <c r="A5435" s="2" t="s">
        <v>12695</v>
      </c>
      <c r="B5435" s="2" t="s">
        <v>12695</v>
      </c>
      <c r="C5435" s="2" t="s">
        <v>38</v>
      </c>
      <c r="D5435" s="2" t="s">
        <v>39</v>
      </c>
      <c r="E5435" s="5">
        <v>-31306</v>
      </c>
      <c r="F5435" s="3" t="s">
        <v>670</v>
      </c>
      <c r="G5435" s="3" t="s">
        <v>99</v>
      </c>
      <c r="H5435" s="2" t="s">
        <v>62</v>
      </c>
      <c r="I5435" s="2" t="s">
        <v>12696</v>
      </c>
      <c r="J5435" s="3" t="str">
        <f>HYPERLINK("https://www.boe.es/gazeta/dias/1814/04/14/pdfs/GRE-1814-53.pdf#page=5","Abrir facsímil")</f>
        <v>Abrir facsímil</v>
      </c>
      <c r="K5435" s="3" t="s">
        <v>64</v>
      </c>
    </row>
    <row r="5436" spans="1:11" ht="42" customHeight="1">
      <c r="A5436" s="2" t="s">
        <v>12697</v>
      </c>
      <c r="B5436" s="2" t="s">
        <v>12697</v>
      </c>
      <c r="C5436" s="2" t="s">
        <v>38</v>
      </c>
      <c r="D5436" s="2" t="s">
        <v>39</v>
      </c>
      <c r="E5436" s="5">
        <v>-31360</v>
      </c>
      <c r="F5436" s="3" t="s">
        <v>480</v>
      </c>
      <c r="G5436" s="3" t="s">
        <v>82</v>
      </c>
      <c r="H5436" s="2" t="s">
        <v>62</v>
      </c>
      <c r="I5436" s="2" t="s">
        <v>12698</v>
      </c>
      <c r="J5436" s="3" t="str">
        <f>HYPERLINK("https://www.boe.es/gazeta/dias/1814/02/19/pdfs/GRE-1814-23.pdf#page=3","Abrir facsímil")</f>
        <v>Abrir facsímil</v>
      </c>
      <c r="K5436" s="3" t="s">
        <v>64</v>
      </c>
    </row>
    <row r="5437" spans="1:11" ht="42" customHeight="1">
      <c r="A5437" s="2" t="s">
        <v>12699</v>
      </c>
      <c r="B5437" s="2" t="s">
        <v>12699</v>
      </c>
      <c r="C5437" s="2" t="s">
        <v>38</v>
      </c>
      <c r="D5437" s="2" t="s">
        <v>39</v>
      </c>
      <c r="E5437" s="5">
        <v>-31320</v>
      </c>
      <c r="F5437" s="3" t="s">
        <v>40</v>
      </c>
      <c r="G5437" s="3" t="s">
        <v>87</v>
      </c>
      <c r="H5437" s="2" t="s">
        <v>62</v>
      </c>
      <c r="I5437" s="2" t="s">
        <v>12700</v>
      </c>
      <c r="J5437" s="3" t="str">
        <f>HYPERLINK("https://www.boe.es/gazeta/dias/1814/03/31/pdfs/GRE-1814-46.pdf#page=2","Abrir facsímil")</f>
        <v>Abrir facsímil</v>
      </c>
      <c r="K5437" s="3" t="s">
        <v>64</v>
      </c>
    </row>
    <row r="5438" spans="1:11" ht="42" customHeight="1">
      <c r="A5438" s="2" t="s">
        <v>12701</v>
      </c>
      <c r="B5438" s="2" t="s">
        <v>12701</v>
      </c>
      <c r="C5438" s="2" t="s">
        <v>38</v>
      </c>
      <c r="D5438" s="2" t="s">
        <v>39</v>
      </c>
      <c r="E5438" s="5">
        <v>-31360</v>
      </c>
      <c r="F5438" s="3" t="s">
        <v>480</v>
      </c>
      <c r="G5438" s="3" t="s">
        <v>2035</v>
      </c>
      <c r="H5438" s="2" t="s">
        <v>62</v>
      </c>
      <c r="I5438" s="2" t="s">
        <v>12702</v>
      </c>
      <c r="J5438" s="3" t="str">
        <f>HYPERLINK("https://www.boe.es/gazeta/dias/1814/02/19/pdfs/GRE-1814-23.pdf#page=4","Abrir facsímil")</f>
        <v>Abrir facsímil</v>
      </c>
      <c r="K5438" s="3" t="s">
        <v>64</v>
      </c>
    </row>
    <row r="5439" spans="1:11" ht="42" customHeight="1">
      <c r="A5439" s="2" t="s">
        <v>12701</v>
      </c>
      <c r="B5439" s="2" t="s">
        <v>12701</v>
      </c>
      <c r="C5439" s="2" t="s">
        <v>38</v>
      </c>
      <c r="D5439" s="2" t="s">
        <v>39</v>
      </c>
      <c r="E5439" s="5">
        <v>-31350</v>
      </c>
      <c r="F5439" s="3" t="s">
        <v>377</v>
      </c>
      <c r="G5439" s="3" t="s">
        <v>87</v>
      </c>
      <c r="H5439" s="2" t="s">
        <v>62</v>
      </c>
      <c r="I5439" s="2" t="s">
        <v>12703</v>
      </c>
      <c r="J5439" s="3" t="str">
        <f>HYPERLINK("https://www.boe.es/gazeta/dias/1814/03/01/pdfs/GRE-1814-28.pdf#page=2","Abrir facsímil")</f>
        <v>Abrir facsímil</v>
      </c>
      <c r="K5439" s="3" t="s">
        <v>64</v>
      </c>
    </row>
    <row r="5440" spans="1:11" ht="42" customHeight="1">
      <c r="A5440" s="2" t="s">
        <v>12701</v>
      </c>
      <c r="B5440" s="2" t="s">
        <v>12701</v>
      </c>
      <c r="C5440" s="2" t="s">
        <v>38</v>
      </c>
      <c r="D5440" s="2" t="s">
        <v>39</v>
      </c>
      <c r="E5440" s="5">
        <v>-31334</v>
      </c>
      <c r="F5440" s="3" t="s">
        <v>482</v>
      </c>
      <c r="G5440" s="3" t="s">
        <v>2020</v>
      </c>
      <c r="H5440" s="2" t="s">
        <v>62</v>
      </c>
      <c r="I5440" s="2" t="s">
        <v>12704</v>
      </c>
      <c r="J5440" s="3" t="str">
        <f>HYPERLINK("https://www.boe.es/gazeta/dias/1814/03/17/pdfs/GRE-1814-37.pdf#page=4","Abrir facsímil")</f>
        <v>Abrir facsímil</v>
      </c>
      <c r="K5440" s="3" t="s">
        <v>64</v>
      </c>
    </row>
    <row r="5441" spans="1:11" ht="42" customHeight="1">
      <c r="A5441" s="2" t="s">
        <v>12701</v>
      </c>
      <c r="B5441" s="2" t="s">
        <v>12701</v>
      </c>
      <c r="C5441" s="2" t="s">
        <v>38</v>
      </c>
      <c r="D5441" s="2" t="s">
        <v>39</v>
      </c>
      <c r="E5441" s="5">
        <v>-31334</v>
      </c>
      <c r="F5441" s="3" t="s">
        <v>482</v>
      </c>
      <c r="G5441" s="3" t="s">
        <v>99</v>
      </c>
      <c r="H5441" s="2" t="s">
        <v>62</v>
      </c>
      <c r="I5441" s="2" t="s">
        <v>12705</v>
      </c>
      <c r="J5441" s="3" t="str">
        <f>HYPERLINK("https://www.boe.es/gazeta/dias/1814/03/17/pdfs/GRE-1814-37.pdf#page=5","Abrir facsímil")</f>
        <v>Abrir facsímil</v>
      </c>
      <c r="K5441" s="3" t="s">
        <v>64</v>
      </c>
    </row>
    <row r="5442" spans="1:11" ht="42" customHeight="1">
      <c r="A5442" s="2" t="s">
        <v>12701</v>
      </c>
      <c r="B5442" s="2" t="s">
        <v>12701</v>
      </c>
      <c r="C5442" s="2" t="s">
        <v>38</v>
      </c>
      <c r="D5442" s="2" t="s">
        <v>39</v>
      </c>
      <c r="E5442" s="5">
        <v>-31325</v>
      </c>
      <c r="F5442" s="3" t="s">
        <v>67</v>
      </c>
      <c r="G5442" s="3" t="s">
        <v>2060</v>
      </c>
      <c r="H5442" s="2" t="s">
        <v>62</v>
      </c>
      <c r="I5442" s="2" t="s">
        <v>12706</v>
      </c>
      <c r="J5442" s="3" t="str">
        <f>HYPERLINK("https://www.boe.es/gazeta/dias/1814/03/26/pdfs/GRE-1814-43.pdf#page=4","Abrir facsímil")</f>
        <v>Abrir facsímil</v>
      </c>
      <c r="K5442" s="3" t="s">
        <v>64</v>
      </c>
    </row>
    <row r="5443" spans="1:11" ht="42" customHeight="1">
      <c r="A5443" s="2" t="s">
        <v>12701</v>
      </c>
      <c r="B5443" s="2" t="s">
        <v>12701</v>
      </c>
      <c r="C5443" s="2" t="s">
        <v>38</v>
      </c>
      <c r="D5443" s="2" t="s">
        <v>39</v>
      </c>
      <c r="E5443" s="5">
        <v>-31320</v>
      </c>
      <c r="F5443" s="3" t="s">
        <v>40</v>
      </c>
      <c r="G5443" s="3" t="s">
        <v>87</v>
      </c>
      <c r="H5443" s="2" t="s">
        <v>62</v>
      </c>
      <c r="I5443" s="2" t="s">
        <v>12707</v>
      </c>
      <c r="J5443" s="3" t="str">
        <f>HYPERLINK("https://www.boe.es/gazeta/dias/1814/03/31/pdfs/GRE-1814-46.pdf#page=2","Abrir facsímil")</f>
        <v>Abrir facsímil</v>
      </c>
      <c r="K5443" s="3" t="s">
        <v>64</v>
      </c>
    </row>
    <row r="5444" spans="1:11" ht="42" customHeight="1">
      <c r="A5444" s="2" t="s">
        <v>12701</v>
      </c>
      <c r="B5444" s="2" t="s">
        <v>12701</v>
      </c>
      <c r="C5444" s="2" t="s">
        <v>38</v>
      </c>
      <c r="D5444" s="2" t="s">
        <v>39</v>
      </c>
      <c r="E5444" s="5">
        <v>-31320</v>
      </c>
      <c r="F5444" s="3" t="s">
        <v>40</v>
      </c>
      <c r="G5444" s="3" t="s">
        <v>82</v>
      </c>
      <c r="H5444" s="2" t="s">
        <v>62</v>
      </c>
      <c r="I5444" s="2" t="s">
        <v>12708</v>
      </c>
      <c r="J5444" s="3" t="str">
        <f>HYPERLINK("https://www.boe.es/gazeta/dias/1814/03/31/pdfs/GRE-1814-46.pdf#page=3","Abrir facsímil")</f>
        <v>Abrir facsímil</v>
      </c>
      <c r="K5444" s="3" t="s">
        <v>64</v>
      </c>
    </row>
    <row r="5445" spans="1:11" ht="42" customHeight="1">
      <c r="A5445" s="2" t="s">
        <v>12701</v>
      </c>
      <c r="B5445" s="2" t="s">
        <v>12701</v>
      </c>
      <c r="C5445" s="2" t="s">
        <v>38</v>
      </c>
      <c r="D5445" s="2" t="s">
        <v>39</v>
      </c>
      <c r="E5445" s="5">
        <v>-31318</v>
      </c>
      <c r="F5445" s="3" t="s">
        <v>400</v>
      </c>
      <c r="G5445" s="3" t="s">
        <v>87</v>
      </c>
      <c r="H5445" s="2" t="s">
        <v>62</v>
      </c>
      <c r="I5445" s="2" t="s">
        <v>12709</v>
      </c>
      <c r="J5445" s="3" t="str">
        <f>HYPERLINK("https://www.boe.es/gazeta/dias/1814/04/02/pdfs/GRE-1814-47.pdf#page=2","Abrir facsímil")</f>
        <v>Abrir facsímil</v>
      </c>
      <c r="K5445" s="3" t="s">
        <v>64</v>
      </c>
    </row>
    <row r="5446" spans="1:11" ht="42" customHeight="1">
      <c r="A5446" s="2" t="s">
        <v>12701</v>
      </c>
      <c r="B5446" s="2" t="s">
        <v>12701</v>
      </c>
      <c r="C5446" s="2" t="s">
        <v>38</v>
      </c>
      <c r="D5446" s="2" t="s">
        <v>39</v>
      </c>
      <c r="E5446" s="5">
        <v>-31315</v>
      </c>
      <c r="F5446" s="3" t="s">
        <v>645</v>
      </c>
      <c r="G5446" s="3" t="s">
        <v>107</v>
      </c>
      <c r="H5446" s="2" t="s">
        <v>62</v>
      </c>
      <c r="I5446" s="2" t="s">
        <v>12710</v>
      </c>
      <c r="J5446" s="3" t="str">
        <f>HYPERLINK("https://www.boe.es/gazeta/dias/1814/04/05/pdfs/GRE-1814-49.pdf#page=1","Abrir facsímil")</f>
        <v>Abrir facsímil</v>
      </c>
      <c r="K5446" s="3" t="s">
        <v>64</v>
      </c>
    </row>
    <row r="5447" spans="1:11" ht="42" customHeight="1">
      <c r="A5447" s="2" t="s">
        <v>12701</v>
      </c>
      <c r="B5447" s="2" t="s">
        <v>12701</v>
      </c>
      <c r="C5447" s="2" t="s">
        <v>38</v>
      </c>
      <c r="D5447" s="2" t="s">
        <v>39</v>
      </c>
      <c r="E5447" s="5">
        <v>-31315</v>
      </c>
      <c r="F5447" s="3" t="s">
        <v>645</v>
      </c>
      <c r="G5447" s="3" t="s">
        <v>87</v>
      </c>
      <c r="H5447" s="2" t="s">
        <v>62</v>
      </c>
      <c r="I5447" s="2" t="s">
        <v>12711</v>
      </c>
      <c r="J5447" s="3" t="str">
        <f>HYPERLINK("https://www.boe.es/gazeta/dias/1814/04/05/pdfs/GRE-1814-49.pdf#page=2","Abrir facsímil")</f>
        <v>Abrir facsímil</v>
      </c>
      <c r="K5447" s="3" t="s">
        <v>64</v>
      </c>
    </row>
    <row r="5448" spans="1:11" ht="42" customHeight="1">
      <c r="A5448" s="2" t="s">
        <v>12712</v>
      </c>
      <c r="B5448" s="2" t="s">
        <v>12713</v>
      </c>
      <c r="C5448" s="2" t="s">
        <v>38</v>
      </c>
      <c r="D5448" s="2" t="s">
        <v>39</v>
      </c>
      <c r="E5448" s="5">
        <v>-31304</v>
      </c>
      <c r="F5448" s="3" t="s">
        <v>1964</v>
      </c>
      <c r="G5448" s="3" t="s">
        <v>99</v>
      </c>
      <c r="H5448" s="2" t="s">
        <v>62</v>
      </c>
      <c r="I5448" s="2" t="s">
        <v>12714</v>
      </c>
      <c r="J5448" s="3" t="str">
        <f>HYPERLINK("https://www.boe.es/gazeta/dias/1814/04/16/pdfs/GRE-1814-55.pdf#page=5","Abrir facsímil")</f>
        <v>Abrir facsímil</v>
      </c>
      <c r="K5448" s="3" t="s">
        <v>64</v>
      </c>
    </row>
    <row r="5449" spans="1:11" ht="42" customHeight="1">
      <c r="A5449" s="2" t="s">
        <v>12715</v>
      </c>
      <c r="B5449" s="2" t="s">
        <v>12716</v>
      </c>
      <c r="C5449" s="2" t="s">
        <v>38</v>
      </c>
      <c r="D5449" s="2" t="s">
        <v>314</v>
      </c>
      <c r="E5449" s="5">
        <v>-31273</v>
      </c>
      <c r="F5449" s="3" t="s">
        <v>1134</v>
      </c>
      <c r="G5449" s="3" t="s">
        <v>12717</v>
      </c>
      <c r="H5449" s="2" t="s">
        <v>62</v>
      </c>
      <c r="I5449" s="2" t="s">
        <v>12718</v>
      </c>
      <c r="J5449" s="3" t="str">
        <f>HYPERLINK("https://www.boe.es/gazeta/dias/1814/05/17/pdfs/GMD-1814-73E.pdf#page=6","Abrir facsímil")</f>
        <v>Abrir facsímil</v>
      </c>
      <c r="K5449" s="3" t="s">
        <v>64</v>
      </c>
    </row>
    <row r="5450" spans="1:11" ht="42" customHeight="1">
      <c r="A5450" s="2" t="s">
        <v>12715</v>
      </c>
      <c r="B5450" s="2" t="s">
        <v>12716</v>
      </c>
      <c r="C5450" s="2" t="s">
        <v>38</v>
      </c>
      <c r="D5450" s="2" t="s">
        <v>314</v>
      </c>
      <c r="E5450" s="5">
        <v>-31273</v>
      </c>
      <c r="F5450" s="3" t="s">
        <v>1134</v>
      </c>
      <c r="G5450" s="3" t="s">
        <v>20</v>
      </c>
      <c r="H5450" s="2" t="s">
        <v>62</v>
      </c>
      <c r="I5450" s="2" t="s">
        <v>12719</v>
      </c>
      <c r="J5450" s="3" t="str">
        <f>HYPERLINK("https://www.boe.es/gazeta/dias/1814/05/17/pdfs/GMD-1814-73E.pdf#page=7","Abrir facsímil")</f>
        <v>Abrir facsímil</v>
      </c>
      <c r="K5450" s="3" t="s">
        <v>64</v>
      </c>
    </row>
    <row r="5451" spans="1:11" ht="42" customHeight="1">
      <c r="A5451" s="2" t="s">
        <v>12720</v>
      </c>
      <c r="B5451" s="2" t="s">
        <v>12720</v>
      </c>
      <c r="C5451" s="2" t="s">
        <v>38</v>
      </c>
      <c r="D5451" s="2" t="s">
        <v>39</v>
      </c>
      <c r="E5451" s="5">
        <v>-31301</v>
      </c>
      <c r="F5451" s="3" t="s">
        <v>81</v>
      </c>
      <c r="G5451" s="3" t="s">
        <v>82</v>
      </c>
      <c r="H5451" s="2" t="s">
        <v>62</v>
      </c>
      <c r="I5451" s="2" t="s">
        <v>12721</v>
      </c>
      <c r="J5451" s="3" t="str">
        <f>HYPERLINK("https://www.boe.es/gazeta/dias/1814/04/19/pdfs/GRE-1814-56.pdf#page=3","Abrir facsímil")</f>
        <v>Abrir facsímil</v>
      </c>
      <c r="K5451" s="3" t="s">
        <v>64</v>
      </c>
    </row>
    <row r="5452" spans="1:11" ht="42" customHeight="1">
      <c r="A5452" s="2" t="s">
        <v>12722</v>
      </c>
      <c r="B5452" s="2" t="s">
        <v>12722</v>
      </c>
      <c r="C5452" s="2" t="s">
        <v>38</v>
      </c>
      <c r="D5452" s="2" t="s">
        <v>39</v>
      </c>
      <c r="E5452" s="5">
        <v>-31374</v>
      </c>
      <c r="F5452" s="3" t="s">
        <v>474</v>
      </c>
      <c r="G5452" s="3" t="s">
        <v>82</v>
      </c>
      <c r="H5452" s="2" t="s">
        <v>62</v>
      </c>
      <c r="I5452" s="2" t="s">
        <v>12723</v>
      </c>
      <c r="J5452" s="3" t="str">
        <f>HYPERLINK("https://www.boe.es/gazeta/dias/1814/02/05/pdfs/GRE-1814-17.pdf#page=3","Abrir facsímil")</f>
        <v>Abrir facsímil</v>
      </c>
      <c r="K5452" s="3" t="s">
        <v>64</v>
      </c>
    </row>
    <row r="5453" spans="1:11" ht="42" customHeight="1">
      <c r="A5453" s="2" t="s">
        <v>12724</v>
      </c>
      <c r="B5453" s="2" t="s">
        <v>12724</v>
      </c>
      <c r="C5453" s="2" t="s">
        <v>38</v>
      </c>
      <c r="D5453" s="2" t="s">
        <v>39</v>
      </c>
      <c r="E5453" s="5">
        <v>-31325</v>
      </c>
      <c r="F5453" s="3" t="s">
        <v>67</v>
      </c>
      <c r="G5453" s="3" t="s">
        <v>99</v>
      </c>
      <c r="H5453" s="2" t="s">
        <v>62</v>
      </c>
      <c r="I5453" s="2" t="s">
        <v>12725</v>
      </c>
      <c r="J5453" s="3" t="str">
        <f>HYPERLINK("https://www.boe.es/gazeta/dias/1814/03/26/pdfs/GRE-1814-43.pdf#page=5","Abrir facsímil")</f>
        <v>Abrir facsímil</v>
      </c>
      <c r="K5453" s="3" t="s">
        <v>64</v>
      </c>
    </row>
    <row r="5454" spans="1:11" ht="42" customHeight="1">
      <c r="A5454" s="2" t="s">
        <v>12726</v>
      </c>
      <c r="B5454" s="2" t="s">
        <v>12726</v>
      </c>
      <c r="C5454" s="2" t="s">
        <v>38</v>
      </c>
      <c r="D5454" s="2" t="s">
        <v>39</v>
      </c>
      <c r="E5454" s="5">
        <v>-31362</v>
      </c>
      <c r="F5454" s="3" t="s">
        <v>302</v>
      </c>
      <c r="G5454" s="3" t="s">
        <v>87</v>
      </c>
      <c r="H5454" s="2" t="s">
        <v>62</v>
      </c>
      <c r="I5454" s="2" t="s">
        <v>12727</v>
      </c>
      <c r="J5454" s="3" t="str">
        <f>HYPERLINK("https://www.boe.es/gazeta/dias/1814/02/17/pdfs/GRE-1814-22.pdf#page=2","Abrir facsímil")</f>
        <v>Abrir facsímil</v>
      </c>
      <c r="K5454" s="3" t="s">
        <v>64</v>
      </c>
    </row>
    <row r="5455" spans="1:11" ht="42" customHeight="1">
      <c r="A5455" s="2" t="s">
        <v>12728</v>
      </c>
      <c r="B5455" s="2" t="s">
        <v>12728</v>
      </c>
      <c r="C5455" s="2" t="s">
        <v>38</v>
      </c>
      <c r="D5455" s="2" t="s">
        <v>39</v>
      </c>
      <c r="E5455" s="5">
        <v>-31399</v>
      </c>
      <c r="F5455" s="3" t="s">
        <v>218</v>
      </c>
      <c r="G5455" s="3" t="s">
        <v>41</v>
      </c>
      <c r="H5455" s="2" t="s">
        <v>62</v>
      </c>
      <c r="I5455" s="2" t="s">
        <v>12729</v>
      </c>
      <c r="J5455" s="3" t="str">
        <f>HYPERLINK("https://www.boe.es/gazeta/dias/1814/01/11/pdfs/GRE-1814-6.pdf#page=4","Abrir facsímil")</f>
        <v>Abrir facsímil</v>
      </c>
      <c r="K5455" s="3" t="s">
        <v>64</v>
      </c>
    </row>
    <row r="5456" spans="1:11" ht="42" customHeight="1">
      <c r="A5456" s="2" t="s">
        <v>12730</v>
      </c>
      <c r="B5456" s="2" t="s">
        <v>12730</v>
      </c>
      <c r="C5456" s="2" t="s">
        <v>38</v>
      </c>
      <c r="D5456" s="2" t="s">
        <v>39</v>
      </c>
      <c r="E5456" s="5">
        <v>-31395</v>
      </c>
      <c r="F5456" s="3" t="s">
        <v>662</v>
      </c>
      <c r="G5456" s="3" t="s">
        <v>57</v>
      </c>
      <c r="H5456" s="2" t="s">
        <v>62</v>
      </c>
      <c r="I5456" s="2" t="s">
        <v>12731</v>
      </c>
      <c r="J5456" s="3" t="str">
        <f>HYPERLINK("https://www.boe.es/gazeta/dias/1814/01/15/pdfs/GRE-1814-8.pdf#page=6","Abrir facsímil")</f>
        <v>Abrir facsímil</v>
      </c>
      <c r="K5456" s="3" t="s">
        <v>64</v>
      </c>
    </row>
    <row r="5457" spans="1:11" ht="42" customHeight="1">
      <c r="A5457" s="2" t="s">
        <v>12728</v>
      </c>
      <c r="B5457" s="2" t="s">
        <v>12728</v>
      </c>
      <c r="C5457" s="2" t="s">
        <v>38</v>
      </c>
      <c r="D5457" s="2" t="s">
        <v>39</v>
      </c>
      <c r="E5457" s="5">
        <v>-31390</v>
      </c>
      <c r="F5457" s="3" t="s">
        <v>349</v>
      </c>
      <c r="G5457" s="3" t="s">
        <v>82</v>
      </c>
      <c r="H5457" s="2" t="s">
        <v>62</v>
      </c>
      <c r="I5457" s="2" t="s">
        <v>12732</v>
      </c>
      <c r="J5457" s="3" t="str">
        <f>HYPERLINK("https://www.boe.es/gazeta/dias/1814/01/20/pdfs/GRE-1814-10.pdf#page=3","Abrir facsímil")</f>
        <v>Abrir facsímil</v>
      </c>
      <c r="K5457" s="3" t="s">
        <v>64</v>
      </c>
    </row>
    <row r="5458" spans="1:11" ht="42" customHeight="1">
      <c r="A5458" s="2" t="s">
        <v>12728</v>
      </c>
      <c r="B5458" s="2" t="s">
        <v>12728</v>
      </c>
      <c r="C5458" s="2" t="s">
        <v>38</v>
      </c>
      <c r="D5458" s="2" t="s">
        <v>39</v>
      </c>
      <c r="E5458" s="5">
        <v>-31367</v>
      </c>
      <c r="F5458" s="3" t="s">
        <v>857</v>
      </c>
      <c r="G5458" s="3" t="s">
        <v>107</v>
      </c>
      <c r="H5458" s="2" t="s">
        <v>62</v>
      </c>
      <c r="I5458" s="2" t="s">
        <v>12733</v>
      </c>
      <c r="J5458" s="3" t="str">
        <f>HYPERLINK("https://www.boe.es/gazeta/dias/1814/02/12/pdfs/GRE-1814-20.pdf#page=1","Abrir facsímil")</f>
        <v>Abrir facsímil</v>
      </c>
      <c r="K5458" s="3" t="s">
        <v>64</v>
      </c>
    </row>
    <row r="5459" spans="1:11" ht="42" customHeight="1">
      <c r="A5459" s="2" t="s">
        <v>12728</v>
      </c>
      <c r="B5459" s="2" t="s">
        <v>12728</v>
      </c>
      <c r="C5459" s="2" t="s">
        <v>38</v>
      </c>
      <c r="D5459" s="2" t="s">
        <v>39</v>
      </c>
      <c r="E5459" s="5">
        <v>-31362</v>
      </c>
      <c r="F5459" s="3" t="s">
        <v>302</v>
      </c>
      <c r="G5459" s="3" t="s">
        <v>82</v>
      </c>
      <c r="H5459" s="2" t="s">
        <v>62</v>
      </c>
      <c r="I5459" s="2" t="s">
        <v>12734</v>
      </c>
      <c r="J5459" s="3" t="str">
        <f>HYPERLINK("https://www.boe.es/gazeta/dias/1814/02/17/pdfs/GRE-1814-22.pdf#page=3","Abrir facsímil")</f>
        <v>Abrir facsímil</v>
      </c>
      <c r="K5459" s="3" t="s">
        <v>64</v>
      </c>
    </row>
    <row r="5460" spans="1:11" ht="42" customHeight="1">
      <c r="A5460" s="2" t="s">
        <v>12728</v>
      </c>
      <c r="B5460" s="2" t="s">
        <v>12728</v>
      </c>
      <c r="C5460" s="2" t="s">
        <v>38</v>
      </c>
      <c r="D5460" s="2" t="s">
        <v>39</v>
      </c>
      <c r="E5460" s="5">
        <v>-31334</v>
      </c>
      <c r="F5460" s="3" t="s">
        <v>482</v>
      </c>
      <c r="G5460" s="3" t="s">
        <v>99</v>
      </c>
      <c r="H5460" s="2" t="s">
        <v>62</v>
      </c>
      <c r="I5460" s="2" t="s">
        <v>12735</v>
      </c>
      <c r="J5460" s="3" t="str">
        <f>HYPERLINK("https://www.boe.es/gazeta/dias/1814/03/17/pdfs/GRE-1814-37.pdf#page=5","Abrir facsímil")</f>
        <v>Abrir facsímil</v>
      </c>
      <c r="K5460" s="3" t="s">
        <v>64</v>
      </c>
    </row>
    <row r="5461" spans="1:11" ht="42" customHeight="1">
      <c r="A5461" s="2" t="s">
        <v>12728</v>
      </c>
      <c r="B5461" s="2" t="s">
        <v>12728</v>
      </c>
      <c r="C5461" s="2" t="s">
        <v>38</v>
      </c>
      <c r="D5461" s="2" t="s">
        <v>39</v>
      </c>
      <c r="E5461" s="5">
        <v>-31241</v>
      </c>
      <c r="F5461" s="3" t="s">
        <v>703</v>
      </c>
      <c r="G5461" s="3" t="s">
        <v>82</v>
      </c>
      <c r="H5461" s="2" t="s">
        <v>62</v>
      </c>
      <c r="I5461" s="2" t="s">
        <v>12736</v>
      </c>
      <c r="J5461" s="3" t="str">
        <f>HYPERLINK("https://www.boe.es/gazeta/dias/1814/06/18/pdfs/GMD-1814-87.pdf#page=3","Abrir facsímil")</f>
        <v>Abrir facsímil</v>
      </c>
      <c r="K5461" s="3" t="s">
        <v>64</v>
      </c>
    </row>
    <row r="5462" spans="1:11" ht="42" customHeight="1">
      <c r="A5462" s="2" t="s">
        <v>12737</v>
      </c>
      <c r="B5462" s="2" t="s">
        <v>12737</v>
      </c>
      <c r="C5462" s="2" t="s">
        <v>38</v>
      </c>
      <c r="D5462" s="2" t="s">
        <v>39</v>
      </c>
      <c r="E5462" s="5">
        <v>-31395</v>
      </c>
      <c r="F5462" s="3" t="s">
        <v>662</v>
      </c>
      <c r="G5462" s="3" t="s">
        <v>57</v>
      </c>
      <c r="H5462" s="2" t="s">
        <v>62</v>
      </c>
      <c r="I5462" s="2" t="s">
        <v>12738</v>
      </c>
      <c r="J5462" s="3" t="str">
        <f>HYPERLINK("https://www.boe.es/gazeta/dias/1814/01/15/pdfs/GRE-1814-8.pdf#page=6","Abrir facsímil")</f>
        <v>Abrir facsímil</v>
      </c>
      <c r="K5462" s="3" t="s">
        <v>64</v>
      </c>
    </row>
    <row r="5463" spans="1:11" ht="42" customHeight="1">
      <c r="A5463" s="2" t="s">
        <v>12739</v>
      </c>
      <c r="B5463" s="2" t="s">
        <v>12740</v>
      </c>
      <c r="C5463" s="2" t="s">
        <v>38</v>
      </c>
      <c r="D5463" s="2" t="s">
        <v>39</v>
      </c>
      <c r="E5463" s="5">
        <v>-31059</v>
      </c>
      <c r="F5463" s="3" t="s">
        <v>263</v>
      </c>
      <c r="G5463" s="3" t="s">
        <v>57</v>
      </c>
      <c r="H5463" s="2" t="s">
        <v>62</v>
      </c>
      <c r="I5463" s="2" t="s">
        <v>12741</v>
      </c>
      <c r="J5463" s="3" t="str">
        <f>HYPERLINK("https://www.boe.es/gazeta/dias/1814/12/17/pdfs/GMD-1814-167.pdf#page=6","Abrir facsímil")</f>
        <v>Abrir facsímil</v>
      </c>
      <c r="K5463" s="3" t="s">
        <v>64</v>
      </c>
    </row>
    <row r="5464" spans="1:11" ht="42" customHeight="1">
      <c r="A5464" s="2" t="s">
        <v>12742</v>
      </c>
      <c r="B5464" s="2" t="s">
        <v>12743</v>
      </c>
      <c r="C5464" s="2" t="s">
        <v>38</v>
      </c>
      <c r="D5464" s="2" t="s">
        <v>39</v>
      </c>
      <c r="E5464" s="5">
        <v>-31290</v>
      </c>
      <c r="F5464" s="3" t="s">
        <v>488</v>
      </c>
      <c r="G5464" s="3" t="s">
        <v>87</v>
      </c>
      <c r="H5464" s="2" t="s">
        <v>62</v>
      </c>
      <c r="I5464" s="2" t="s">
        <v>12744</v>
      </c>
      <c r="J5464" s="3" t="str">
        <f>HYPERLINK("https://www.boe.es/gazeta/dias/1814/04/30/pdfs/GRE-1814-64.pdf#page=2","Abrir facsímil")</f>
        <v>Abrir facsímil</v>
      </c>
      <c r="K5464" s="3" t="s">
        <v>64</v>
      </c>
    </row>
    <row r="5465" spans="1:11" ht="42" customHeight="1">
      <c r="A5465" s="2" t="s">
        <v>12745</v>
      </c>
      <c r="B5465" s="2" t="s">
        <v>12745</v>
      </c>
      <c r="C5465" s="2" t="s">
        <v>38</v>
      </c>
      <c r="D5465" s="2" t="s">
        <v>39</v>
      </c>
      <c r="E5465" s="5">
        <v>-31320</v>
      </c>
      <c r="F5465" s="3" t="s">
        <v>40</v>
      </c>
      <c r="G5465" s="3" t="s">
        <v>82</v>
      </c>
      <c r="H5465" s="2" t="s">
        <v>62</v>
      </c>
      <c r="I5465" s="2" t="s">
        <v>12746</v>
      </c>
      <c r="J5465" s="3" t="str">
        <f>HYPERLINK("https://www.boe.es/gazeta/dias/1814/03/31/pdfs/GRE-1814-46.pdf#page=3","Abrir facsímil")</f>
        <v>Abrir facsímil</v>
      </c>
      <c r="K5465" s="3" t="s">
        <v>64</v>
      </c>
    </row>
    <row r="5466" spans="1:11" ht="42" customHeight="1">
      <c r="A5466" s="2" t="s">
        <v>12747</v>
      </c>
      <c r="B5466" s="2" t="s">
        <v>12747</v>
      </c>
      <c r="C5466" s="2" t="s">
        <v>38</v>
      </c>
      <c r="D5466" s="2" t="s">
        <v>39</v>
      </c>
      <c r="E5466" s="5">
        <v>-31390</v>
      </c>
      <c r="F5466" s="3" t="s">
        <v>349</v>
      </c>
      <c r="G5466" s="3" t="s">
        <v>107</v>
      </c>
      <c r="H5466" s="2" t="s">
        <v>62</v>
      </c>
      <c r="I5466" s="2" t="s">
        <v>12748</v>
      </c>
      <c r="J5466" s="3" t="str">
        <f>HYPERLINK("https://www.boe.es/gazeta/dias/1814/01/20/pdfs/GRE-1814-10.pdf#page=1","Abrir facsímil")</f>
        <v>Abrir facsímil</v>
      </c>
      <c r="K5466" s="3" t="s">
        <v>64</v>
      </c>
    </row>
    <row r="5467" spans="1:11" ht="42" customHeight="1">
      <c r="A5467" s="2" t="s">
        <v>12747</v>
      </c>
      <c r="B5467" s="2" t="s">
        <v>12747</v>
      </c>
      <c r="C5467" s="2" t="s">
        <v>38</v>
      </c>
      <c r="D5467" s="2" t="s">
        <v>39</v>
      </c>
      <c r="E5467" s="5">
        <v>-31371</v>
      </c>
      <c r="F5467" s="3" t="s">
        <v>476</v>
      </c>
      <c r="G5467" s="3" t="s">
        <v>477</v>
      </c>
      <c r="H5467" s="2" t="s">
        <v>62</v>
      </c>
      <c r="I5467" s="2" t="s">
        <v>12749</v>
      </c>
      <c r="J5467" s="3" t="str">
        <f>HYPERLINK("https://www.boe.es/gazeta/dias/1814/02/08/pdfs/GRE-1814-31.pdf#page=6","Abrir facsímil")</f>
        <v>Abrir facsímil</v>
      </c>
      <c r="K5467" s="3" t="s">
        <v>64</v>
      </c>
    </row>
    <row r="5468" spans="1:11" ht="42" customHeight="1">
      <c r="A5468" s="2" t="s">
        <v>12747</v>
      </c>
      <c r="B5468" s="2" t="s">
        <v>12747</v>
      </c>
      <c r="C5468" s="2" t="s">
        <v>38</v>
      </c>
      <c r="D5468" s="2" t="s">
        <v>39</v>
      </c>
      <c r="E5468" s="5">
        <v>-31371</v>
      </c>
      <c r="F5468" s="3" t="s">
        <v>476</v>
      </c>
      <c r="G5468" s="3" t="s">
        <v>99</v>
      </c>
      <c r="H5468" s="2" t="s">
        <v>62</v>
      </c>
      <c r="I5468" s="2" t="s">
        <v>12750</v>
      </c>
      <c r="J5468" s="3" t="str">
        <f>HYPERLINK("https://www.boe.es/gazeta/dias/1814/02/08/pdfs/GRE-1814-31.pdf#page=5","Abrir facsímil")</f>
        <v>Abrir facsímil</v>
      </c>
      <c r="K5468" s="3" t="s">
        <v>64</v>
      </c>
    </row>
    <row r="5469" spans="1:11" ht="42" customHeight="1">
      <c r="A5469" s="2" t="s">
        <v>12747</v>
      </c>
      <c r="B5469" s="2" t="s">
        <v>12747</v>
      </c>
      <c r="C5469" s="2" t="s">
        <v>38</v>
      </c>
      <c r="D5469" s="2" t="s">
        <v>39</v>
      </c>
      <c r="E5469" s="5">
        <v>-31362</v>
      </c>
      <c r="F5469" s="3" t="s">
        <v>302</v>
      </c>
      <c r="G5469" s="3" t="s">
        <v>41</v>
      </c>
      <c r="H5469" s="2" t="s">
        <v>62</v>
      </c>
      <c r="I5469" s="2" t="s">
        <v>12751</v>
      </c>
      <c r="J5469" s="3" t="str">
        <f>HYPERLINK("https://www.boe.es/gazeta/dias/1814/02/17/pdfs/GRE-1814-22.pdf#page=4","Abrir facsímil")</f>
        <v>Abrir facsímil</v>
      </c>
      <c r="K5469" s="3" t="s">
        <v>64</v>
      </c>
    </row>
    <row r="5470" spans="1:11" ht="42" customHeight="1">
      <c r="A5470" s="2" t="s">
        <v>12747</v>
      </c>
      <c r="B5470" s="2" t="s">
        <v>12747</v>
      </c>
      <c r="C5470" s="2" t="s">
        <v>38</v>
      </c>
      <c r="D5470" s="2" t="s">
        <v>39</v>
      </c>
      <c r="E5470" s="5">
        <v>-31360</v>
      </c>
      <c r="F5470" s="3" t="s">
        <v>480</v>
      </c>
      <c r="G5470" s="3" t="s">
        <v>82</v>
      </c>
      <c r="H5470" s="2" t="s">
        <v>62</v>
      </c>
      <c r="I5470" s="2" t="s">
        <v>12752</v>
      </c>
      <c r="J5470" s="3" t="str">
        <f>HYPERLINK("https://www.boe.es/gazeta/dias/1814/02/19/pdfs/GRE-1814-23.pdf#page=3","Abrir facsímil")</f>
        <v>Abrir facsímil</v>
      </c>
      <c r="K5470" s="3" t="s">
        <v>64</v>
      </c>
    </row>
    <row r="5471" spans="1:11" ht="42" customHeight="1">
      <c r="A5471" s="2" t="s">
        <v>12747</v>
      </c>
      <c r="B5471" s="2" t="s">
        <v>12747</v>
      </c>
      <c r="C5471" s="2" t="s">
        <v>38</v>
      </c>
      <c r="D5471" s="2" t="s">
        <v>39</v>
      </c>
      <c r="E5471" s="5">
        <v>-31350</v>
      </c>
      <c r="F5471" s="3" t="s">
        <v>377</v>
      </c>
      <c r="G5471" s="3" t="s">
        <v>107</v>
      </c>
      <c r="H5471" s="2" t="s">
        <v>62</v>
      </c>
      <c r="I5471" s="2" t="s">
        <v>12753</v>
      </c>
      <c r="J5471" s="3" t="str">
        <f>HYPERLINK("https://www.boe.es/gazeta/dias/1814/03/01/pdfs/GRE-1814-28.pdf#page=1","Abrir facsímil")</f>
        <v>Abrir facsímil</v>
      </c>
      <c r="K5471" s="3" t="s">
        <v>64</v>
      </c>
    </row>
    <row r="5472" spans="1:11" ht="42" customHeight="1">
      <c r="A5472" s="2" t="s">
        <v>12747</v>
      </c>
      <c r="B5472" s="2" t="s">
        <v>12747</v>
      </c>
      <c r="C5472" s="2" t="s">
        <v>38</v>
      </c>
      <c r="D5472" s="2" t="s">
        <v>39</v>
      </c>
      <c r="E5472" s="5">
        <v>-31350</v>
      </c>
      <c r="F5472" s="3" t="s">
        <v>377</v>
      </c>
      <c r="G5472" s="3" t="s">
        <v>87</v>
      </c>
      <c r="H5472" s="2" t="s">
        <v>62</v>
      </c>
      <c r="I5472" s="2" t="s">
        <v>12754</v>
      </c>
      <c r="J5472" s="3" t="str">
        <f>HYPERLINK("https://www.boe.es/gazeta/dias/1814/03/01/pdfs/GRE-1814-28.pdf#page=2","Abrir facsímil")</f>
        <v>Abrir facsímil</v>
      </c>
      <c r="K5472" s="3" t="s">
        <v>64</v>
      </c>
    </row>
    <row r="5473" spans="1:11" ht="42" customHeight="1">
      <c r="A5473" s="2" t="s">
        <v>12747</v>
      </c>
      <c r="B5473" s="2" t="s">
        <v>12747</v>
      </c>
      <c r="C5473" s="2" t="s">
        <v>38</v>
      </c>
      <c r="D5473" s="2" t="s">
        <v>39</v>
      </c>
      <c r="E5473" s="5">
        <v>-31346</v>
      </c>
      <c r="F5473" s="3" t="s">
        <v>78</v>
      </c>
      <c r="G5473" s="3" t="s">
        <v>521</v>
      </c>
      <c r="H5473" s="2" t="s">
        <v>62</v>
      </c>
      <c r="I5473" s="2" t="s">
        <v>12755</v>
      </c>
      <c r="J5473" s="3" t="str">
        <f>HYPERLINK("https://www.boe.es/gazeta/dias/1814/03/05/pdfs/GRE-1814-30.pdf#page=3","Abrir facsímil")</f>
        <v>Abrir facsímil</v>
      </c>
      <c r="K5473" s="3" t="s">
        <v>64</v>
      </c>
    </row>
    <row r="5474" spans="1:11" ht="42" customHeight="1">
      <c r="A5474" s="2" t="s">
        <v>12747</v>
      </c>
      <c r="B5474" s="2" t="s">
        <v>12747</v>
      </c>
      <c r="C5474" s="2" t="s">
        <v>38</v>
      </c>
      <c r="D5474" s="2" t="s">
        <v>39</v>
      </c>
      <c r="E5474" s="5">
        <v>-31346</v>
      </c>
      <c r="F5474" s="3" t="s">
        <v>78</v>
      </c>
      <c r="G5474" s="3" t="s">
        <v>87</v>
      </c>
      <c r="H5474" s="2" t="s">
        <v>62</v>
      </c>
      <c r="I5474" s="2" t="s">
        <v>12756</v>
      </c>
      <c r="J5474" s="3" t="str">
        <f>HYPERLINK("https://www.boe.es/gazeta/dias/1814/03/05/pdfs/GRE-1814-30.pdf#page=2","Abrir facsímil")</f>
        <v>Abrir facsímil</v>
      </c>
      <c r="K5474" s="3" t="s">
        <v>64</v>
      </c>
    </row>
    <row r="5475" spans="1:11" ht="42" customHeight="1">
      <c r="A5475" s="2" t="s">
        <v>12747</v>
      </c>
      <c r="B5475" s="2" t="s">
        <v>12747</v>
      </c>
      <c r="C5475" s="2" t="s">
        <v>38</v>
      </c>
      <c r="D5475" s="2" t="s">
        <v>39</v>
      </c>
      <c r="E5475" s="5">
        <v>-31346</v>
      </c>
      <c r="F5475" s="3" t="s">
        <v>78</v>
      </c>
      <c r="G5475" s="3" t="s">
        <v>41</v>
      </c>
      <c r="H5475" s="2" t="s">
        <v>62</v>
      </c>
      <c r="I5475" s="2" t="s">
        <v>12757</v>
      </c>
      <c r="J5475" s="3" t="str">
        <f>HYPERLINK("https://www.boe.es/gazeta/dias/1814/03/05/pdfs/GRE-1814-30.pdf#page=4","Abrir facsímil")</f>
        <v>Abrir facsímil</v>
      </c>
      <c r="K5475" s="3" t="s">
        <v>64</v>
      </c>
    </row>
    <row r="5476" spans="1:11" ht="42" customHeight="1">
      <c r="A5476" s="2" t="s">
        <v>12747</v>
      </c>
      <c r="B5476" s="2" t="s">
        <v>12747</v>
      </c>
      <c r="C5476" s="2" t="s">
        <v>38</v>
      </c>
      <c r="D5476" s="2" t="s">
        <v>39</v>
      </c>
      <c r="E5476" s="5">
        <v>-31343</v>
      </c>
      <c r="F5476" s="3" t="s">
        <v>476</v>
      </c>
      <c r="G5476" s="3" t="s">
        <v>477</v>
      </c>
      <c r="H5476" s="2" t="s">
        <v>62</v>
      </c>
      <c r="I5476" s="2" t="s">
        <v>12749</v>
      </c>
      <c r="J5476" s="3" t="str">
        <f>HYPERLINK("https://www.boe.es/gazeta/dias/1814/03/08/pdfs/GRE-1814-31.pdf#page=6","Abrir facsímil")</f>
        <v>Abrir facsímil</v>
      </c>
      <c r="K5476" s="3" t="s">
        <v>64</v>
      </c>
    </row>
    <row r="5477" spans="1:11" ht="42" customHeight="1">
      <c r="A5477" s="2" t="s">
        <v>12747</v>
      </c>
      <c r="B5477" s="2" t="s">
        <v>12747</v>
      </c>
      <c r="C5477" s="2" t="s">
        <v>38</v>
      </c>
      <c r="D5477" s="2" t="s">
        <v>39</v>
      </c>
      <c r="E5477" s="5">
        <v>-31343</v>
      </c>
      <c r="F5477" s="3" t="s">
        <v>476</v>
      </c>
      <c r="G5477" s="3" t="s">
        <v>99</v>
      </c>
      <c r="H5477" s="2" t="s">
        <v>62</v>
      </c>
      <c r="I5477" s="2" t="s">
        <v>12750</v>
      </c>
      <c r="J5477" s="3" t="str">
        <f>HYPERLINK("https://www.boe.es/gazeta/dias/1814/03/08/pdfs/GRE-1814-31.pdf#page=5","Abrir facsímil")</f>
        <v>Abrir facsímil</v>
      </c>
      <c r="K5477" s="3" t="s">
        <v>64</v>
      </c>
    </row>
    <row r="5478" spans="1:11" ht="42" customHeight="1">
      <c r="A5478" s="2" t="s">
        <v>12747</v>
      </c>
      <c r="B5478" s="2" t="s">
        <v>12747</v>
      </c>
      <c r="C5478" s="2" t="s">
        <v>38</v>
      </c>
      <c r="D5478" s="2" t="s">
        <v>39</v>
      </c>
      <c r="E5478" s="5">
        <v>-31341</v>
      </c>
      <c r="F5478" s="3" t="s">
        <v>360</v>
      </c>
      <c r="G5478" s="3" t="s">
        <v>99</v>
      </c>
      <c r="H5478" s="2" t="s">
        <v>62</v>
      </c>
      <c r="I5478" s="2" t="s">
        <v>12758</v>
      </c>
      <c r="J5478" s="3" t="str">
        <f>HYPERLINK("https://www.boe.es/gazeta/dias/1814/03/10/pdfs/GRE-1814-33.pdf#page=5","Abrir facsímil")</f>
        <v>Abrir facsímil</v>
      </c>
      <c r="K5478" s="3" t="s">
        <v>64</v>
      </c>
    </row>
    <row r="5479" spans="1:11" ht="42" customHeight="1">
      <c r="A5479" s="2" t="s">
        <v>12747</v>
      </c>
      <c r="B5479" s="2" t="s">
        <v>12747</v>
      </c>
      <c r="C5479" s="2" t="s">
        <v>38</v>
      </c>
      <c r="D5479" s="2" t="s">
        <v>39</v>
      </c>
      <c r="E5479" s="5">
        <v>-31334</v>
      </c>
      <c r="F5479" s="3" t="s">
        <v>482</v>
      </c>
      <c r="G5479" s="3" t="s">
        <v>2020</v>
      </c>
      <c r="H5479" s="2" t="s">
        <v>62</v>
      </c>
      <c r="I5479" s="2" t="s">
        <v>12759</v>
      </c>
      <c r="J5479" s="3" t="str">
        <f>HYPERLINK("https://www.boe.es/gazeta/dias/1814/03/17/pdfs/GRE-1814-37.pdf#page=4","Abrir facsímil")</f>
        <v>Abrir facsímil</v>
      </c>
      <c r="K5479" s="3" t="s">
        <v>64</v>
      </c>
    </row>
    <row r="5480" spans="1:11" ht="42" customHeight="1">
      <c r="A5480" s="2" t="s">
        <v>12747</v>
      </c>
      <c r="B5480" s="2" t="s">
        <v>12747</v>
      </c>
      <c r="C5480" s="2" t="s">
        <v>38</v>
      </c>
      <c r="D5480" s="2" t="s">
        <v>39</v>
      </c>
      <c r="E5480" s="5">
        <v>-31320</v>
      </c>
      <c r="F5480" s="3" t="s">
        <v>40</v>
      </c>
      <c r="G5480" s="3" t="s">
        <v>87</v>
      </c>
      <c r="H5480" s="2" t="s">
        <v>62</v>
      </c>
      <c r="I5480" s="2" t="s">
        <v>12760</v>
      </c>
      <c r="J5480" s="3" t="str">
        <f>HYPERLINK("https://www.boe.es/gazeta/dias/1814/03/31/pdfs/GRE-1814-46.pdf#page=2","Abrir facsímil")</f>
        <v>Abrir facsímil</v>
      </c>
      <c r="K5480" s="3" t="s">
        <v>64</v>
      </c>
    </row>
    <row r="5481" spans="1:11" ht="42" customHeight="1">
      <c r="A5481" s="2" t="s">
        <v>12747</v>
      </c>
      <c r="B5481" s="2" t="s">
        <v>12747</v>
      </c>
      <c r="C5481" s="2" t="s">
        <v>38</v>
      </c>
      <c r="D5481" s="2" t="s">
        <v>39</v>
      </c>
      <c r="E5481" s="5">
        <v>-31320</v>
      </c>
      <c r="F5481" s="3" t="s">
        <v>40</v>
      </c>
      <c r="G5481" s="3" t="s">
        <v>82</v>
      </c>
      <c r="H5481" s="2" t="s">
        <v>62</v>
      </c>
      <c r="I5481" s="2" t="s">
        <v>12761</v>
      </c>
      <c r="J5481" s="3" t="str">
        <f>HYPERLINK("https://www.boe.es/gazeta/dias/1814/03/31/pdfs/GRE-1814-46.pdf#page=3","Abrir facsímil")</f>
        <v>Abrir facsímil</v>
      </c>
      <c r="K5481" s="3" t="s">
        <v>64</v>
      </c>
    </row>
    <row r="5482" spans="1:11" ht="42" customHeight="1">
      <c r="A5482" s="2" t="s">
        <v>12747</v>
      </c>
      <c r="B5482" s="2" t="s">
        <v>12747</v>
      </c>
      <c r="C5482" s="2" t="s">
        <v>38</v>
      </c>
      <c r="D5482" s="2" t="s">
        <v>39</v>
      </c>
      <c r="E5482" s="5">
        <v>-31315</v>
      </c>
      <c r="F5482" s="3" t="s">
        <v>645</v>
      </c>
      <c r="G5482" s="3" t="s">
        <v>107</v>
      </c>
      <c r="H5482" s="2" t="s">
        <v>62</v>
      </c>
      <c r="I5482" s="2" t="s">
        <v>12762</v>
      </c>
      <c r="J5482" s="3" t="str">
        <f>HYPERLINK("https://www.boe.es/gazeta/dias/1814/04/05/pdfs/GRE-1814-49.pdf#page=1","Abrir facsímil")</f>
        <v>Abrir facsímil</v>
      </c>
      <c r="K5482" s="3" t="s">
        <v>64</v>
      </c>
    </row>
    <row r="5483" spans="1:11" ht="42" customHeight="1">
      <c r="A5483" s="2" t="s">
        <v>12747</v>
      </c>
      <c r="B5483" s="2" t="s">
        <v>12747</v>
      </c>
      <c r="C5483" s="2" t="s">
        <v>38</v>
      </c>
      <c r="D5483" s="2" t="s">
        <v>39</v>
      </c>
      <c r="E5483" s="5">
        <v>-31315</v>
      </c>
      <c r="F5483" s="3" t="s">
        <v>645</v>
      </c>
      <c r="G5483" s="3" t="s">
        <v>87</v>
      </c>
      <c r="H5483" s="2" t="s">
        <v>62</v>
      </c>
      <c r="I5483" s="2" t="s">
        <v>12763</v>
      </c>
      <c r="J5483" s="3" t="str">
        <f>HYPERLINK("https://www.boe.es/gazeta/dias/1814/04/05/pdfs/GRE-1814-49.pdf#page=2","Abrir facsímil")</f>
        <v>Abrir facsímil</v>
      </c>
      <c r="K5483" s="3" t="s">
        <v>64</v>
      </c>
    </row>
    <row r="5484" spans="1:11" ht="42" customHeight="1">
      <c r="A5484" s="2" t="s">
        <v>12747</v>
      </c>
      <c r="B5484" s="2" t="s">
        <v>12747</v>
      </c>
      <c r="C5484" s="2" t="s">
        <v>38</v>
      </c>
      <c r="D5484" s="2" t="s">
        <v>39</v>
      </c>
      <c r="E5484" s="5">
        <v>-31297</v>
      </c>
      <c r="F5484" s="3" t="s">
        <v>737</v>
      </c>
      <c r="G5484" s="3" t="s">
        <v>87</v>
      </c>
      <c r="H5484" s="2" t="s">
        <v>62</v>
      </c>
      <c r="I5484" s="2" t="s">
        <v>12764</v>
      </c>
      <c r="J5484" s="3" t="str">
        <f>HYPERLINK("https://www.boe.es/gazeta/dias/1814/04/23/pdfs/GRE-1814-59.pdf#page=2","Abrir facsímil")</f>
        <v>Abrir facsímil</v>
      </c>
      <c r="K5484" s="3" t="s">
        <v>64</v>
      </c>
    </row>
    <row r="5485" spans="1:11" ht="42" customHeight="1">
      <c r="A5485" s="2" t="s">
        <v>12765</v>
      </c>
      <c r="B5485" s="2" t="s">
        <v>12765</v>
      </c>
      <c r="C5485" s="2" t="s">
        <v>38</v>
      </c>
      <c r="D5485" s="2" t="s">
        <v>39</v>
      </c>
      <c r="E5485" s="5">
        <v>-31315</v>
      </c>
      <c r="F5485" s="3" t="s">
        <v>645</v>
      </c>
      <c r="G5485" s="3" t="s">
        <v>87</v>
      </c>
      <c r="H5485" s="2" t="s">
        <v>62</v>
      </c>
      <c r="I5485" s="2" t="s">
        <v>12766</v>
      </c>
      <c r="J5485" s="3" t="str">
        <f>HYPERLINK("https://www.boe.es/gazeta/dias/1814/04/05/pdfs/GRE-1814-49.pdf#page=2","Abrir facsímil")</f>
        <v>Abrir facsímil</v>
      </c>
      <c r="K5485" s="3" t="s">
        <v>64</v>
      </c>
    </row>
    <row r="5486" spans="1:11" ht="42" customHeight="1">
      <c r="A5486" s="2" t="s">
        <v>12767</v>
      </c>
      <c r="B5486" s="2" t="s">
        <v>12768</v>
      </c>
      <c r="C5486" s="2" t="s">
        <v>38</v>
      </c>
      <c r="D5486" s="2" t="s">
        <v>39</v>
      </c>
      <c r="E5486" s="5">
        <v>-31315</v>
      </c>
      <c r="F5486" s="3" t="s">
        <v>645</v>
      </c>
      <c r="G5486" s="3" t="s">
        <v>107</v>
      </c>
      <c r="H5486" s="2" t="s">
        <v>62</v>
      </c>
      <c r="I5486" s="2" t="s">
        <v>12769</v>
      </c>
      <c r="J5486" s="3" t="str">
        <f>HYPERLINK("https://www.boe.es/gazeta/dias/1814/04/05/pdfs/GRE-1814-49.pdf#page=1","Abrir facsímil")</f>
        <v>Abrir facsímil</v>
      </c>
      <c r="K5486" s="3" t="s">
        <v>64</v>
      </c>
    </row>
    <row r="5487" spans="1:11" ht="42" customHeight="1">
      <c r="A5487" s="2" t="s">
        <v>12770</v>
      </c>
      <c r="B5487" s="2" t="s">
        <v>12771</v>
      </c>
      <c r="C5487" s="2" t="s">
        <v>38</v>
      </c>
      <c r="D5487" s="2" t="s">
        <v>39</v>
      </c>
      <c r="E5487" s="5">
        <v>-31315</v>
      </c>
      <c r="F5487" s="3" t="s">
        <v>645</v>
      </c>
      <c r="G5487" s="3" t="s">
        <v>87</v>
      </c>
      <c r="H5487" s="2" t="s">
        <v>62</v>
      </c>
      <c r="I5487" s="2" t="s">
        <v>12772</v>
      </c>
      <c r="J5487" s="3" t="str">
        <f>HYPERLINK("https://www.boe.es/gazeta/dias/1814/04/05/pdfs/GRE-1814-49.pdf#page=2","Abrir facsímil")</f>
        <v>Abrir facsímil</v>
      </c>
      <c r="K5487" s="3" t="s">
        <v>64</v>
      </c>
    </row>
    <row r="5488" spans="1:11" ht="42" customHeight="1">
      <c r="A5488" s="2" t="s">
        <v>12773</v>
      </c>
      <c r="B5488" s="2" t="s">
        <v>12773</v>
      </c>
      <c r="C5488" s="2" t="s">
        <v>38</v>
      </c>
      <c r="D5488" s="2" t="s">
        <v>39</v>
      </c>
      <c r="E5488" s="5">
        <v>-31320</v>
      </c>
      <c r="F5488" s="3" t="s">
        <v>40</v>
      </c>
      <c r="G5488" s="3" t="s">
        <v>87</v>
      </c>
      <c r="H5488" s="2" t="s">
        <v>62</v>
      </c>
      <c r="I5488" s="2" t="s">
        <v>12774</v>
      </c>
      <c r="J5488" s="3" t="str">
        <f>HYPERLINK("https://www.boe.es/gazeta/dias/1814/03/31/pdfs/GRE-1814-46.pdf#page=2","Abrir facsímil")</f>
        <v>Abrir facsímil</v>
      </c>
      <c r="K5488" s="3" t="s">
        <v>64</v>
      </c>
    </row>
    <row r="5489" spans="1:11" ht="42" customHeight="1">
      <c r="A5489" s="2" t="s">
        <v>12775</v>
      </c>
      <c r="B5489" s="2" t="s">
        <v>12776</v>
      </c>
      <c r="C5489" s="2" t="s">
        <v>105</v>
      </c>
      <c r="D5489" s="2" t="s">
        <v>18</v>
      </c>
      <c r="E5489" s="5">
        <v>-31087</v>
      </c>
      <c r="F5489" s="3" t="s">
        <v>118</v>
      </c>
      <c r="G5489" s="3" t="s">
        <v>52</v>
      </c>
      <c r="H5489" s="2" t="s">
        <v>62</v>
      </c>
      <c r="I5489" s="2" t="s">
        <v>12777</v>
      </c>
      <c r="J5489" s="3" t="str">
        <f>HYPERLINK("https://www.boe.es/gazeta/dias/1814/11/19/pdfs/GMD-1814-154.pdf#page=8","Abrir facsímil")</f>
        <v>Abrir facsímil</v>
      </c>
      <c r="K5489" s="3" t="s">
        <v>64</v>
      </c>
    </row>
    <row r="5490" spans="1:11" ht="42" customHeight="1">
      <c r="A5490" s="2" t="s">
        <v>12775</v>
      </c>
      <c r="B5490" s="2" t="s">
        <v>12776</v>
      </c>
      <c r="C5490" s="2" t="s">
        <v>26</v>
      </c>
      <c r="D5490" s="2" t="s">
        <v>27</v>
      </c>
      <c r="E5490" s="5">
        <v>-31075</v>
      </c>
      <c r="F5490" s="3" t="s">
        <v>537</v>
      </c>
      <c r="G5490" s="3" t="s">
        <v>20</v>
      </c>
      <c r="H5490" s="2" t="s">
        <v>62</v>
      </c>
      <c r="I5490" s="2" t="s">
        <v>12778</v>
      </c>
      <c r="J5490" s="3" t="str">
        <f>HYPERLINK("https://www.boe.es/gazeta/dias/1814/12/01/pdfs/GMD-1814-159.pdf#page=7","Abrir facsímil")</f>
        <v>Abrir facsímil</v>
      </c>
      <c r="K5490" s="3" t="s">
        <v>64</v>
      </c>
    </row>
    <row r="5491" spans="1:11" ht="42" customHeight="1">
      <c r="A5491" s="2" t="s">
        <v>12779</v>
      </c>
      <c r="B5491" s="2" t="s">
        <v>12780</v>
      </c>
      <c r="C5491" s="2" t="s">
        <v>26</v>
      </c>
      <c r="D5491" s="2" t="s">
        <v>27</v>
      </c>
      <c r="E5491" s="5">
        <v>-31243</v>
      </c>
      <c r="F5491" s="3" t="s">
        <v>500</v>
      </c>
      <c r="G5491" s="3" t="s">
        <v>137</v>
      </c>
      <c r="H5491" s="2" t="s">
        <v>62</v>
      </c>
      <c r="I5491" s="2" t="s">
        <v>12781</v>
      </c>
      <c r="J5491" s="3" t="str">
        <f>HYPERLINK("https://www.boe.es/gazeta/dias/1814/06/16/pdfs/GMD-1814-86.pdf#page=9","Abrir facsímil")</f>
        <v>Abrir facsímil</v>
      </c>
      <c r="K5491" s="3" t="s">
        <v>64</v>
      </c>
    </row>
    <row r="5492" spans="1:11" ht="42" customHeight="1">
      <c r="A5492" s="2" t="s">
        <v>12782</v>
      </c>
      <c r="B5492" s="2" t="s">
        <v>12783</v>
      </c>
      <c r="C5492" s="2" t="s">
        <v>38</v>
      </c>
      <c r="D5492" s="2" t="s">
        <v>39</v>
      </c>
      <c r="E5492" s="5">
        <v>-31297</v>
      </c>
      <c r="F5492" s="3" t="s">
        <v>737</v>
      </c>
      <c r="G5492" s="3" t="s">
        <v>3866</v>
      </c>
      <c r="H5492" s="2" t="s">
        <v>62</v>
      </c>
      <c r="I5492" s="2" t="s">
        <v>12784</v>
      </c>
      <c r="J5492" s="3" t="str">
        <f>HYPERLINK("https://www.boe.es/gazeta/dias/1814/04/23/pdfs/GRE-1814-59.pdf#page=7","Abrir facsímil")</f>
        <v>Abrir facsímil</v>
      </c>
      <c r="K5492" s="3" t="s">
        <v>64</v>
      </c>
    </row>
    <row r="5493" spans="1:11" ht="42" customHeight="1">
      <c r="A5493" s="2" t="s">
        <v>12785</v>
      </c>
      <c r="B5493" s="2" t="s">
        <v>12786</v>
      </c>
      <c r="C5493" s="2" t="s">
        <v>38</v>
      </c>
      <c r="D5493" s="2" t="s">
        <v>39</v>
      </c>
      <c r="E5493" s="5">
        <v>-31117</v>
      </c>
      <c r="F5493" s="3" t="s">
        <v>172</v>
      </c>
      <c r="G5493" s="3" t="s">
        <v>173</v>
      </c>
      <c r="H5493" s="2" t="s">
        <v>62</v>
      </c>
      <c r="I5493" s="2" t="s">
        <v>12787</v>
      </c>
      <c r="J5493" s="3" t="str">
        <f>HYPERLINK("https://www.boe.es/gazeta/dias/1814/10/20/pdfs/GMD-1814-141.pdf#page=7","Abrir facsímil")</f>
        <v>Abrir facsímil</v>
      </c>
      <c r="K5493" s="3" t="s">
        <v>64</v>
      </c>
    </row>
    <row r="5494" spans="1:11" ht="42" customHeight="1">
      <c r="A5494" s="2" t="s">
        <v>12788</v>
      </c>
      <c r="B5494" s="2" t="s">
        <v>12789</v>
      </c>
      <c r="C5494" s="2" t="s">
        <v>38</v>
      </c>
      <c r="D5494" s="2" t="s">
        <v>39</v>
      </c>
      <c r="E5494" s="5">
        <v>-31399</v>
      </c>
      <c r="F5494" s="3" t="s">
        <v>218</v>
      </c>
      <c r="G5494" s="3" t="s">
        <v>219</v>
      </c>
      <c r="H5494" s="2" t="s">
        <v>62</v>
      </c>
      <c r="I5494" s="2" t="s">
        <v>12790</v>
      </c>
      <c r="J5494" s="3" t="str">
        <f>HYPERLINK("https://www.boe.es/gazeta/dias/1814/01/11/pdfs/GRE-1814-6.pdf#page=8","Abrir facsímil")</f>
        <v>Abrir facsímil</v>
      </c>
      <c r="K5494" s="3" t="s">
        <v>64</v>
      </c>
    </row>
    <row r="5495" spans="1:11" ht="42" customHeight="1">
      <c r="A5495" s="2" t="s">
        <v>12791</v>
      </c>
      <c r="B5495" s="2" t="s">
        <v>12792</v>
      </c>
      <c r="C5495" s="2" t="s">
        <v>38</v>
      </c>
      <c r="D5495" s="2" t="s">
        <v>39</v>
      </c>
      <c r="E5495" s="5">
        <v>-31367</v>
      </c>
      <c r="F5495" s="3" t="s">
        <v>857</v>
      </c>
      <c r="G5495" s="3" t="s">
        <v>20</v>
      </c>
      <c r="H5495" s="2" t="s">
        <v>62</v>
      </c>
      <c r="I5495" s="2" t="s">
        <v>12793</v>
      </c>
      <c r="J5495" s="3" t="str">
        <f>HYPERLINK("https://www.boe.es/gazeta/dias/1814/02/12/pdfs/GRE-1814-20.pdf#page=7","Abrir facsímil")</f>
        <v>Abrir facsímil</v>
      </c>
      <c r="K5495" s="3" t="s">
        <v>64</v>
      </c>
    </row>
    <row r="5496" spans="1:11" ht="42" customHeight="1">
      <c r="A5496" s="2" t="s">
        <v>12794</v>
      </c>
      <c r="B5496" s="2" t="s">
        <v>12795</v>
      </c>
      <c r="C5496" s="2" t="s">
        <v>38</v>
      </c>
      <c r="D5496" s="2" t="s">
        <v>39</v>
      </c>
      <c r="E5496" s="5">
        <v>-31367</v>
      </c>
      <c r="F5496" s="3" t="s">
        <v>857</v>
      </c>
      <c r="G5496" s="3" t="s">
        <v>20</v>
      </c>
      <c r="H5496" s="2" t="s">
        <v>62</v>
      </c>
      <c r="I5496" s="2" t="s">
        <v>12796</v>
      </c>
      <c r="J5496" s="3" t="str">
        <f>HYPERLINK("https://www.boe.es/gazeta/dias/1814/02/12/pdfs/GRE-1814-20.pdf#page=7","Abrir facsímil")</f>
        <v>Abrir facsímil</v>
      </c>
      <c r="K5496" s="3" t="s">
        <v>64</v>
      </c>
    </row>
    <row r="5497" spans="1:11" ht="42" customHeight="1">
      <c r="A5497" s="2" t="s">
        <v>12797</v>
      </c>
      <c r="B5497" s="2" t="s">
        <v>12798</v>
      </c>
      <c r="C5497" s="2" t="s">
        <v>309</v>
      </c>
      <c r="D5497" s="2" t="s">
        <v>18</v>
      </c>
      <c r="E5497" s="5">
        <v>-31194</v>
      </c>
      <c r="F5497" s="3" t="s">
        <v>333</v>
      </c>
      <c r="G5497" s="3" t="s">
        <v>52</v>
      </c>
      <c r="H5497" s="2" t="s">
        <v>62</v>
      </c>
      <c r="I5497" s="2" t="s">
        <v>12799</v>
      </c>
      <c r="J5497" s="3" t="str">
        <f>HYPERLINK("https://www.boe.es/gazeta/dias/1814/08/04/pdfs/GMD-1814-107.pdf#page=8","Abrir facsímil")</f>
        <v>Abrir facsímil</v>
      </c>
      <c r="K5497" s="3" t="s">
        <v>64</v>
      </c>
    </row>
    <row r="5498" spans="1:11" ht="42" customHeight="1">
      <c r="A5498" s="2" t="s">
        <v>12800</v>
      </c>
      <c r="B5498" s="2" t="s">
        <v>12801</v>
      </c>
      <c r="C5498" s="2" t="s">
        <v>38</v>
      </c>
      <c r="D5498" s="2" t="s">
        <v>39</v>
      </c>
      <c r="E5498" s="5">
        <v>-31222</v>
      </c>
      <c r="F5498" s="3" t="s">
        <v>153</v>
      </c>
      <c r="G5498" s="3" t="s">
        <v>20</v>
      </c>
      <c r="H5498" s="2" t="s">
        <v>62</v>
      </c>
      <c r="I5498" s="2" t="s">
        <v>12802</v>
      </c>
      <c r="J5498" s="3" t="str">
        <f>HYPERLINK("https://www.boe.es/gazeta/dias/1814/07/07/pdfs/GMD-1814-95.pdf#page=7","Abrir facsímil")</f>
        <v>Abrir facsímil</v>
      </c>
      <c r="K5498" s="3" t="s">
        <v>64</v>
      </c>
    </row>
    <row r="5499" spans="1:11" ht="42" customHeight="1">
      <c r="A5499" s="2" t="s">
        <v>12803</v>
      </c>
      <c r="B5499" s="2" t="s">
        <v>12804</v>
      </c>
      <c r="C5499" s="2" t="s">
        <v>38</v>
      </c>
      <c r="D5499" s="2" t="s">
        <v>39</v>
      </c>
      <c r="E5499" s="5">
        <v>-31080</v>
      </c>
      <c r="F5499" s="3" t="s">
        <v>286</v>
      </c>
      <c r="G5499" s="3" t="s">
        <v>57</v>
      </c>
      <c r="H5499" s="2" t="s">
        <v>62</v>
      </c>
      <c r="I5499" s="2" t="s">
        <v>12805</v>
      </c>
      <c r="J5499" s="3" t="str">
        <f>HYPERLINK("https://www.boe.es/gazeta/dias/1814/11/26/pdfs/GMD-1814-157.pdf#page=6","Abrir facsímil")</f>
        <v>Abrir facsímil</v>
      </c>
      <c r="K5499" s="3" t="s">
        <v>64</v>
      </c>
    </row>
    <row r="5500" spans="1:11" ht="42" customHeight="1">
      <c r="A5500" s="2" t="s">
        <v>12806</v>
      </c>
      <c r="B5500" s="2" t="s">
        <v>12807</v>
      </c>
      <c r="C5500" s="2" t="s">
        <v>45</v>
      </c>
      <c r="D5500" s="2" t="s">
        <v>18</v>
      </c>
      <c r="E5500" s="5">
        <v>-31115</v>
      </c>
      <c r="F5500" s="3" t="s">
        <v>805</v>
      </c>
      <c r="G5500" s="3" t="s">
        <v>99</v>
      </c>
      <c r="H5500" s="2" t="s">
        <v>62</v>
      </c>
      <c r="I5500" s="2" t="s">
        <v>12808</v>
      </c>
      <c r="J5500" s="3" t="str">
        <f>HYPERLINK("https://www.boe.es/gazeta/dias/1814/10/22/pdfs/GMD-1814-142.pdf#page=5","Abrir facsímil")</f>
        <v>Abrir facsímil</v>
      </c>
      <c r="K5500" s="3" t="s">
        <v>64</v>
      </c>
    </row>
    <row r="5501" spans="1:11" ht="42" customHeight="1">
      <c r="A5501" s="2" t="s">
        <v>12809</v>
      </c>
      <c r="B5501" s="2" t="s">
        <v>12810</v>
      </c>
      <c r="C5501" s="2" t="s">
        <v>26</v>
      </c>
      <c r="D5501" s="2" t="s">
        <v>27</v>
      </c>
      <c r="E5501" s="5">
        <v>-31325</v>
      </c>
      <c r="F5501" s="3" t="s">
        <v>67</v>
      </c>
      <c r="G5501" s="3" t="s">
        <v>52</v>
      </c>
      <c r="H5501" s="2" t="s">
        <v>62</v>
      </c>
      <c r="I5501" s="2" t="s">
        <v>12811</v>
      </c>
      <c r="J5501" s="3" t="str">
        <f>HYPERLINK("https://www.boe.es/gazeta/dias/1814/03/26/pdfs/GRE-1814-43.pdf#page=8","Abrir facsímil")</f>
        <v>Abrir facsímil</v>
      </c>
      <c r="K5501" s="3" t="s">
        <v>64</v>
      </c>
    </row>
    <row r="5502" spans="1:11" ht="42" customHeight="1">
      <c r="A5502" s="2" t="s">
        <v>12812</v>
      </c>
      <c r="B5502" s="2" t="s">
        <v>12813</v>
      </c>
      <c r="C5502" s="2" t="s">
        <v>26</v>
      </c>
      <c r="D5502" s="2" t="s">
        <v>27</v>
      </c>
      <c r="E5502" s="5">
        <v>-31070</v>
      </c>
      <c r="F5502" s="3" t="s">
        <v>92</v>
      </c>
      <c r="G5502" s="3" t="s">
        <v>52</v>
      </c>
      <c r="H5502" s="2" t="s">
        <v>62</v>
      </c>
      <c r="I5502" s="2" t="s">
        <v>12814</v>
      </c>
      <c r="J5502" s="3" t="str">
        <f>HYPERLINK("https://www.boe.es/gazeta/dias/1814/12/06/pdfs/GMD-1814-161.pdf#page=8","Abrir facsímil")</f>
        <v>Abrir facsímil</v>
      </c>
      <c r="K5502" s="3" t="s">
        <v>64</v>
      </c>
    </row>
    <row r="5503" spans="1:11" ht="42" customHeight="1">
      <c r="A5503" s="2" t="s">
        <v>12815</v>
      </c>
      <c r="B5503" s="2" t="s">
        <v>12816</v>
      </c>
      <c r="C5503" s="2" t="s">
        <v>144</v>
      </c>
      <c r="D5503" s="2" t="s">
        <v>18</v>
      </c>
      <c r="E5503" s="5">
        <v>-31049</v>
      </c>
      <c r="F5503" s="3" t="s">
        <v>542</v>
      </c>
      <c r="G5503" s="3" t="s">
        <v>3979</v>
      </c>
      <c r="H5503" s="2" t="s">
        <v>62</v>
      </c>
      <c r="I5503" s="2" t="s">
        <v>12817</v>
      </c>
      <c r="J5503" s="3" t="str">
        <f>HYPERLINK("https://www.boe.es/gazeta/dias/1814/12/27/pdfs/GMD-1814-171.pdf#page=8","Abrir facsímil")</f>
        <v>Abrir facsímil</v>
      </c>
      <c r="K5503" s="3" t="s">
        <v>64</v>
      </c>
    </row>
    <row r="5504" spans="1:11" ht="42" customHeight="1">
      <c r="A5504" s="2" t="s">
        <v>12818</v>
      </c>
      <c r="B5504" s="2" t="s">
        <v>12819</v>
      </c>
      <c r="C5504" s="2" t="s">
        <v>144</v>
      </c>
      <c r="D5504" s="2" t="s">
        <v>18</v>
      </c>
      <c r="E5504" s="5">
        <v>-31138</v>
      </c>
      <c r="F5504" s="3" t="s">
        <v>1363</v>
      </c>
      <c r="G5504" s="3" t="s">
        <v>52</v>
      </c>
      <c r="H5504" s="2" t="s">
        <v>62</v>
      </c>
      <c r="I5504" s="2" t="s">
        <v>12820</v>
      </c>
      <c r="J5504" s="3" t="str">
        <f>HYPERLINK("https://www.boe.es/gazeta/dias/1814/09/29/pdfs/GMD-1814-132.pdf#page=8","Abrir facsímil")</f>
        <v>Abrir facsímil</v>
      </c>
      <c r="K5504" s="3" t="s">
        <v>64</v>
      </c>
    </row>
    <row r="5505" spans="1:11" ht="42" customHeight="1">
      <c r="A5505" s="2" t="s">
        <v>12821</v>
      </c>
      <c r="B5505" s="2" t="s">
        <v>12822</v>
      </c>
      <c r="C5505" s="2" t="s">
        <v>45</v>
      </c>
      <c r="D5505" s="2" t="s">
        <v>18</v>
      </c>
      <c r="E5505" s="5">
        <v>-31129</v>
      </c>
      <c r="F5505" s="3" t="s">
        <v>418</v>
      </c>
      <c r="G5505" s="3" t="s">
        <v>20</v>
      </c>
      <c r="H5505" s="2" t="s">
        <v>62</v>
      </c>
      <c r="I5505" s="2" t="s">
        <v>12823</v>
      </c>
      <c r="J5505" s="3" t="str">
        <f>HYPERLINK("https://www.boe.es/gazeta/dias/1814/10/08/pdfs/GMD-1814-136.pdf#page=7","Abrir facsímil")</f>
        <v>Abrir facsímil</v>
      </c>
      <c r="K5505" s="3" t="s">
        <v>64</v>
      </c>
    </row>
    <row r="5506" spans="1:11" ht="42" customHeight="1">
      <c r="A5506" s="2" t="s">
        <v>12824</v>
      </c>
      <c r="B5506" s="2" t="s">
        <v>12825</v>
      </c>
      <c r="C5506" s="2" t="s">
        <v>38</v>
      </c>
      <c r="D5506" s="2" t="s">
        <v>39</v>
      </c>
      <c r="E5506" s="5">
        <v>-31112</v>
      </c>
      <c r="F5506" s="3" t="s">
        <v>707</v>
      </c>
      <c r="G5506" s="3" t="s">
        <v>20</v>
      </c>
      <c r="H5506" s="2" t="s">
        <v>62</v>
      </c>
      <c r="I5506" s="2" t="s">
        <v>12826</v>
      </c>
      <c r="J5506" s="3" t="str">
        <f>HYPERLINK("https://www.boe.es/gazeta/dias/1814/10/25/pdfs/GMD-1814-143.pdf#page=7","Abrir facsímil")</f>
        <v>Abrir facsímil</v>
      </c>
      <c r="K5506" s="3" t="s">
        <v>64</v>
      </c>
    </row>
    <row r="5507" spans="1:11" ht="42" customHeight="1">
      <c r="A5507" s="2" t="s">
        <v>12827</v>
      </c>
      <c r="B5507" s="2" t="s">
        <v>12827</v>
      </c>
      <c r="C5507" s="2" t="s">
        <v>38</v>
      </c>
      <c r="D5507" s="2" t="s">
        <v>39</v>
      </c>
      <c r="E5507" s="5">
        <v>-31406</v>
      </c>
      <c r="F5507" s="3" t="s">
        <v>1718</v>
      </c>
      <c r="G5507" s="3" t="s">
        <v>107</v>
      </c>
      <c r="H5507" s="2" t="s">
        <v>62</v>
      </c>
      <c r="I5507" s="2" t="s">
        <v>12828</v>
      </c>
      <c r="J5507" s="3" t="str">
        <f>HYPERLINK("https://www.boe.es/gazeta/dias/1814/01/04/pdfs/GRE-1814-2.pdf#page=1","Abrir facsímil")</f>
        <v>Abrir facsímil</v>
      </c>
      <c r="K5507" s="3" t="s">
        <v>64</v>
      </c>
    </row>
    <row r="5508" spans="1:11" ht="42" customHeight="1">
      <c r="A5508" s="2" t="s">
        <v>12829</v>
      </c>
      <c r="B5508" s="2" t="s">
        <v>12829</v>
      </c>
      <c r="C5508" s="2" t="s">
        <v>38</v>
      </c>
      <c r="D5508" s="2" t="s">
        <v>39</v>
      </c>
      <c r="E5508" s="5">
        <v>-31353</v>
      </c>
      <c r="F5508" s="3" t="s">
        <v>247</v>
      </c>
      <c r="G5508" s="3" t="s">
        <v>3029</v>
      </c>
      <c r="H5508" s="2" t="s">
        <v>62</v>
      </c>
      <c r="I5508" s="2" t="s">
        <v>12830</v>
      </c>
      <c r="J5508" s="3" t="str">
        <f>HYPERLINK("https://www.boe.es/gazeta/dias/1814/02/26/pdfs/GRE-1814-27.pdf#page=4","Abrir facsímil")</f>
        <v>Abrir facsímil</v>
      </c>
      <c r="K5508" s="3" t="s">
        <v>64</v>
      </c>
    </row>
    <row r="5509" spans="1:11" ht="42" customHeight="1">
      <c r="A5509" s="2" t="s">
        <v>12831</v>
      </c>
      <c r="B5509" s="2" t="s">
        <v>12832</v>
      </c>
      <c r="C5509" s="2" t="s">
        <v>17</v>
      </c>
      <c r="D5509" s="2" t="s">
        <v>18</v>
      </c>
      <c r="E5509" s="5">
        <v>-31320</v>
      </c>
      <c r="F5509" s="3" t="s">
        <v>40</v>
      </c>
      <c r="G5509" s="3" t="s">
        <v>41</v>
      </c>
      <c r="H5509" s="2" t="s">
        <v>62</v>
      </c>
      <c r="I5509" s="2" t="s">
        <v>12833</v>
      </c>
      <c r="J5509" s="3" t="str">
        <f>HYPERLINK("https://www.boe.es/gazeta/dias/1814/03/31/pdfs/GRE-1814-46.pdf#page=4","Abrir facsímil")</f>
        <v>Abrir facsímil</v>
      </c>
      <c r="K5509" s="3" t="s">
        <v>64</v>
      </c>
    </row>
    <row r="5510" spans="1:11" ht="42" customHeight="1">
      <c r="A5510" s="2" t="s">
        <v>12834</v>
      </c>
      <c r="B5510" s="2" t="s">
        <v>12834</v>
      </c>
      <c r="C5510" s="2" t="s">
        <v>144</v>
      </c>
      <c r="D5510" s="2" t="s">
        <v>18</v>
      </c>
      <c r="E5510" s="5">
        <v>-31227</v>
      </c>
      <c r="F5510" s="3" t="s">
        <v>102</v>
      </c>
      <c r="G5510" s="3" t="s">
        <v>87</v>
      </c>
      <c r="H5510" s="2" t="s">
        <v>62</v>
      </c>
      <c r="I5510" s="2" t="s">
        <v>12835</v>
      </c>
      <c r="J5510" s="3" t="str">
        <f>HYPERLINK("https://www.boe.es/gazeta/dias/1814/07/02/pdfs/GMD-1814-93.pdf#page=2","Abrir facsímil")</f>
        <v>Abrir facsímil</v>
      </c>
      <c r="K5510" s="3" t="s">
        <v>64</v>
      </c>
    </row>
    <row r="5511" spans="1:11" ht="42" customHeight="1">
      <c r="A5511" s="2" t="s">
        <v>12834</v>
      </c>
      <c r="B5511" s="2" t="s">
        <v>12834</v>
      </c>
      <c r="C5511" s="2" t="s">
        <v>17</v>
      </c>
      <c r="D5511" s="2" t="s">
        <v>18</v>
      </c>
      <c r="E5511" s="5">
        <v>-31227</v>
      </c>
      <c r="F5511" s="3" t="s">
        <v>102</v>
      </c>
      <c r="G5511" s="3" t="s">
        <v>82</v>
      </c>
      <c r="H5511" s="2" t="s">
        <v>62</v>
      </c>
      <c r="I5511" s="2" t="s">
        <v>12836</v>
      </c>
      <c r="J5511" s="3" t="str">
        <f>HYPERLINK("https://www.boe.es/gazeta/dias/1814/07/02/pdfs/GMD-1814-93.pdf#page=3","Abrir facsímil")</f>
        <v>Abrir facsímil</v>
      </c>
      <c r="K5511" s="3" t="s">
        <v>64</v>
      </c>
    </row>
    <row r="5512" spans="1:11" ht="42" customHeight="1">
      <c r="A5512" s="2" t="s">
        <v>12834</v>
      </c>
      <c r="B5512" s="2" t="s">
        <v>12834</v>
      </c>
      <c r="C5512" s="2" t="s">
        <v>309</v>
      </c>
      <c r="D5512" s="2" t="s">
        <v>18</v>
      </c>
      <c r="E5512" s="5">
        <v>-31222</v>
      </c>
      <c r="F5512" s="3" t="s">
        <v>153</v>
      </c>
      <c r="G5512" s="3" t="s">
        <v>41</v>
      </c>
      <c r="H5512" s="2" t="s">
        <v>62</v>
      </c>
      <c r="I5512" s="2" t="s">
        <v>12837</v>
      </c>
      <c r="J5512" s="3" t="str">
        <f>HYPERLINK("https://www.boe.es/gazeta/dias/1814/07/07/pdfs/GMD-1814-95.pdf#page=4","Abrir facsímil")</f>
        <v>Abrir facsímil</v>
      </c>
      <c r="K5512" s="3" t="s">
        <v>64</v>
      </c>
    </row>
    <row r="5513" spans="1:11" ht="42" customHeight="1">
      <c r="A5513" s="2" t="s">
        <v>12838</v>
      </c>
      <c r="B5513" s="2" t="s">
        <v>12838</v>
      </c>
      <c r="C5513" s="2" t="s">
        <v>38</v>
      </c>
      <c r="D5513" s="2" t="s">
        <v>39</v>
      </c>
      <c r="E5513" s="5">
        <v>-31406</v>
      </c>
      <c r="F5513" s="3" t="s">
        <v>1718</v>
      </c>
      <c r="G5513" s="3" t="s">
        <v>99</v>
      </c>
      <c r="H5513" s="2" t="s">
        <v>62</v>
      </c>
      <c r="I5513" s="2" t="s">
        <v>12839</v>
      </c>
      <c r="J5513" s="3" t="str">
        <f>HYPERLINK("https://www.boe.es/gazeta/dias/1814/01/04/pdfs/GRE-1814-2.pdf#page=5","Abrir facsímil")</f>
        <v>Abrir facsímil</v>
      </c>
      <c r="K5513" s="3" t="s">
        <v>64</v>
      </c>
    </row>
    <row r="5514" spans="1:11" ht="42" customHeight="1">
      <c r="A5514" s="2" t="s">
        <v>12840</v>
      </c>
      <c r="B5514" s="2" t="s">
        <v>12841</v>
      </c>
      <c r="C5514" s="2" t="s">
        <v>38</v>
      </c>
      <c r="D5514" s="2" t="s">
        <v>39</v>
      </c>
      <c r="E5514" s="5">
        <v>-31238</v>
      </c>
      <c r="F5514" s="3" t="s">
        <v>127</v>
      </c>
      <c r="G5514" s="3" t="s">
        <v>322</v>
      </c>
      <c r="H5514" s="2" t="s">
        <v>62</v>
      </c>
      <c r="I5514" s="2" t="s">
        <v>12842</v>
      </c>
      <c r="J5514" s="3" t="str">
        <f>HYPERLINK("https://www.boe.es/gazeta/dias/1814/06/21/pdfs/GMD-1814-88.pdf#page=12","Abrir facsímil")</f>
        <v>Abrir facsímil</v>
      </c>
      <c r="K5514" s="3" t="s">
        <v>64</v>
      </c>
    </row>
    <row r="5515" spans="1:11" ht="42" customHeight="1">
      <c r="A5515" s="2" t="s">
        <v>12843</v>
      </c>
      <c r="B5515" s="2" t="s">
        <v>12844</v>
      </c>
      <c r="C5515" s="2" t="s">
        <v>17</v>
      </c>
      <c r="D5515" s="2" t="s">
        <v>18</v>
      </c>
      <c r="E5515" s="5">
        <v>-31143</v>
      </c>
      <c r="F5515" s="3" t="s">
        <v>787</v>
      </c>
      <c r="G5515" s="3" t="s">
        <v>52</v>
      </c>
      <c r="H5515" s="2" t="s">
        <v>62</v>
      </c>
      <c r="I5515" s="2" t="s">
        <v>12845</v>
      </c>
      <c r="J5515" s="3" t="str">
        <f>HYPERLINK("https://www.boe.es/gazeta/dias/1814/09/24/pdfs/GMD-1814-130.pdf#page=8","Abrir facsímil")</f>
        <v>Abrir facsímil</v>
      </c>
      <c r="K5515" s="3" t="s">
        <v>64</v>
      </c>
    </row>
    <row r="5516" spans="1:11" ht="42" customHeight="1">
      <c r="A5516" s="2" t="s">
        <v>12846</v>
      </c>
      <c r="B5516" s="2" t="s">
        <v>12846</v>
      </c>
      <c r="C5516" s="2" t="s">
        <v>38</v>
      </c>
      <c r="D5516" s="2" t="s">
        <v>39</v>
      </c>
      <c r="E5516" s="5">
        <v>-31367</v>
      </c>
      <c r="F5516" s="3" t="s">
        <v>857</v>
      </c>
      <c r="G5516" s="3" t="s">
        <v>82</v>
      </c>
      <c r="H5516" s="2" t="s">
        <v>62</v>
      </c>
      <c r="I5516" s="2" t="s">
        <v>12847</v>
      </c>
      <c r="J5516" s="3" t="str">
        <f>HYPERLINK("https://www.boe.es/gazeta/dias/1814/02/12/pdfs/GRE-1814-20.pdf#page=3","Abrir facsímil")</f>
        <v>Abrir facsímil</v>
      </c>
      <c r="K5516" s="3" t="s">
        <v>64</v>
      </c>
    </row>
    <row r="5517" spans="1:11" ht="42" customHeight="1">
      <c r="A5517" s="2" t="s">
        <v>12846</v>
      </c>
      <c r="B5517" s="2" t="s">
        <v>12846</v>
      </c>
      <c r="C5517" s="2" t="s">
        <v>38</v>
      </c>
      <c r="D5517" s="2" t="s">
        <v>39</v>
      </c>
      <c r="E5517" s="5">
        <v>-31346</v>
      </c>
      <c r="F5517" s="3" t="s">
        <v>78</v>
      </c>
      <c r="G5517" s="3" t="s">
        <v>3031</v>
      </c>
      <c r="H5517" s="2" t="s">
        <v>62</v>
      </c>
      <c r="I5517" s="2" t="s">
        <v>12848</v>
      </c>
      <c r="J5517" s="3" t="str">
        <f>HYPERLINK("https://www.boe.es/gazeta/dias/1814/03/05/pdfs/GRE-1814-30.pdf#page=5","Abrir facsímil")</f>
        <v>Abrir facsímil</v>
      </c>
      <c r="K5517" s="3" t="s">
        <v>64</v>
      </c>
    </row>
    <row r="5518" spans="1:11" ht="42" customHeight="1">
      <c r="A5518" s="2" t="s">
        <v>12849</v>
      </c>
      <c r="B5518" s="2" t="s">
        <v>12849</v>
      </c>
      <c r="C5518" s="2" t="s">
        <v>38</v>
      </c>
      <c r="D5518" s="2" t="s">
        <v>39</v>
      </c>
      <c r="E5518" s="5">
        <v>-31341</v>
      </c>
      <c r="F5518" s="3" t="s">
        <v>360</v>
      </c>
      <c r="G5518" s="3" t="s">
        <v>99</v>
      </c>
      <c r="H5518" s="2" t="s">
        <v>62</v>
      </c>
      <c r="I5518" s="2" t="s">
        <v>12850</v>
      </c>
      <c r="J5518" s="3" t="str">
        <f>HYPERLINK("https://www.boe.es/gazeta/dias/1814/03/10/pdfs/GRE-1814-33.pdf#page=5","Abrir facsímil")</f>
        <v>Abrir facsímil</v>
      </c>
      <c r="K5518" s="3" t="s">
        <v>64</v>
      </c>
    </row>
    <row r="5519" spans="1:11" ht="42" customHeight="1">
      <c r="A5519" s="2" t="s">
        <v>12849</v>
      </c>
      <c r="B5519" s="2" t="s">
        <v>12849</v>
      </c>
      <c r="C5519" s="2" t="s">
        <v>38</v>
      </c>
      <c r="D5519" s="2" t="s">
        <v>39</v>
      </c>
      <c r="E5519" s="5">
        <v>-31334</v>
      </c>
      <c r="F5519" s="3" t="s">
        <v>482</v>
      </c>
      <c r="G5519" s="3" t="s">
        <v>82</v>
      </c>
      <c r="H5519" s="2" t="s">
        <v>62</v>
      </c>
      <c r="I5519" s="2" t="s">
        <v>12851</v>
      </c>
      <c r="J5519" s="3" t="str">
        <f>HYPERLINK("https://www.boe.es/gazeta/dias/1814/03/17/pdfs/GRE-1814-37.pdf#page=3","Abrir facsímil")</f>
        <v>Abrir facsímil</v>
      </c>
      <c r="K5519" s="3" t="s">
        <v>64</v>
      </c>
    </row>
    <row r="5520" spans="1:11" ht="42" customHeight="1">
      <c r="A5520" s="2" t="s">
        <v>12849</v>
      </c>
      <c r="B5520" s="2" t="s">
        <v>12849</v>
      </c>
      <c r="C5520" s="2" t="s">
        <v>38</v>
      </c>
      <c r="D5520" s="2" t="s">
        <v>39</v>
      </c>
      <c r="E5520" s="5">
        <v>-31329</v>
      </c>
      <c r="F5520" s="3" t="s">
        <v>621</v>
      </c>
      <c r="G5520" s="3" t="s">
        <v>622</v>
      </c>
      <c r="H5520" s="2" t="s">
        <v>62</v>
      </c>
      <c r="I5520" s="2" t="s">
        <v>12852</v>
      </c>
      <c r="J5520" s="3" t="str">
        <f>HYPERLINK("https://www.boe.es/gazeta/dias/1814/03/22/pdfs/GRE-1814-39.pdf#page=2","Abrir facsímil")</f>
        <v>Abrir facsímil</v>
      </c>
      <c r="K5520" s="3" t="s">
        <v>64</v>
      </c>
    </row>
    <row r="5521" spans="1:11" ht="42" customHeight="1">
      <c r="A5521" s="2" t="s">
        <v>12849</v>
      </c>
      <c r="B5521" s="2" t="s">
        <v>12849</v>
      </c>
      <c r="C5521" s="2" t="s">
        <v>38</v>
      </c>
      <c r="D5521" s="2" t="s">
        <v>39</v>
      </c>
      <c r="E5521" s="5">
        <v>-31329</v>
      </c>
      <c r="F5521" s="3" t="s">
        <v>621</v>
      </c>
      <c r="G5521" s="3" t="s">
        <v>107</v>
      </c>
      <c r="H5521" s="2" t="s">
        <v>62</v>
      </c>
      <c r="I5521" s="2" t="s">
        <v>12853</v>
      </c>
      <c r="J5521" s="3" t="str">
        <f>HYPERLINK("https://www.boe.es/gazeta/dias/1814/03/22/pdfs/GRE-1814-39.pdf#page=1","Abrir facsímil")</f>
        <v>Abrir facsímil</v>
      </c>
      <c r="K5521" s="3" t="s">
        <v>64</v>
      </c>
    </row>
    <row r="5522" spans="1:11" ht="42" customHeight="1">
      <c r="A5522" s="2" t="s">
        <v>12849</v>
      </c>
      <c r="B5522" s="2" t="s">
        <v>12849</v>
      </c>
      <c r="C5522" s="2" t="s">
        <v>38</v>
      </c>
      <c r="D5522" s="2" t="s">
        <v>39</v>
      </c>
      <c r="E5522" s="5">
        <v>-31329</v>
      </c>
      <c r="F5522" s="3" t="s">
        <v>621</v>
      </c>
      <c r="G5522" s="3" t="s">
        <v>82</v>
      </c>
      <c r="H5522" s="2" t="s">
        <v>62</v>
      </c>
      <c r="I5522" s="2" t="s">
        <v>12854</v>
      </c>
      <c r="J5522" s="3" t="str">
        <f>HYPERLINK("https://www.boe.es/gazeta/dias/1814/03/22/pdfs/GRE-1814-39.pdf#page=3","Abrir facsímil")</f>
        <v>Abrir facsímil</v>
      </c>
      <c r="K5522" s="3" t="s">
        <v>64</v>
      </c>
    </row>
    <row r="5523" spans="1:11" ht="42" customHeight="1">
      <c r="A5523" s="2" t="s">
        <v>12849</v>
      </c>
      <c r="B5523" s="2" t="s">
        <v>12849</v>
      </c>
      <c r="C5523" s="2" t="s">
        <v>38</v>
      </c>
      <c r="D5523" s="2" t="s">
        <v>39</v>
      </c>
      <c r="E5523" s="5">
        <v>-31224</v>
      </c>
      <c r="F5523" s="3" t="s">
        <v>609</v>
      </c>
      <c r="G5523" s="3" t="s">
        <v>82</v>
      </c>
      <c r="H5523" s="2" t="s">
        <v>62</v>
      </c>
      <c r="I5523" s="2" t="s">
        <v>12855</v>
      </c>
      <c r="J5523" s="3" t="str">
        <f>HYPERLINK("https://www.boe.es/gazeta/dias/1814/07/05/pdfs/GMD-1814-94.pdf#page=3","Abrir facsímil")</f>
        <v>Abrir facsímil</v>
      </c>
      <c r="K5523" s="3" t="s">
        <v>64</v>
      </c>
    </row>
    <row r="5524" spans="1:11" ht="42" customHeight="1">
      <c r="A5524" s="2" t="s">
        <v>12856</v>
      </c>
      <c r="B5524" s="2" t="s">
        <v>12856</v>
      </c>
      <c r="C5524" s="2" t="s">
        <v>17</v>
      </c>
      <c r="D5524" s="2" t="s">
        <v>18</v>
      </c>
      <c r="E5524" s="5">
        <v>-31406</v>
      </c>
      <c r="F5524" s="3" t="s">
        <v>1718</v>
      </c>
      <c r="G5524" s="3" t="s">
        <v>99</v>
      </c>
      <c r="H5524" s="2" t="s">
        <v>62</v>
      </c>
      <c r="I5524" s="2" t="s">
        <v>12857</v>
      </c>
      <c r="J5524" s="3" t="str">
        <f>HYPERLINK("https://www.boe.es/gazeta/dias/1814/01/04/pdfs/GRE-1814-2.pdf#page=5","Abrir facsímil")</f>
        <v>Abrir facsímil</v>
      </c>
      <c r="K5524" s="3" t="s">
        <v>64</v>
      </c>
    </row>
    <row r="5525" spans="1:11" ht="42" customHeight="1">
      <c r="A5525" s="2" t="s">
        <v>12856</v>
      </c>
      <c r="B5525" s="2" t="s">
        <v>12856</v>
      </c>
      <c r="C5525" s="2" t="s">
        <v>17</v>
      </c>
      <c r="D5525" s="2" t="s">
        <v>18</v>
      </c>
      <c r="E5525" s="5">
        <v>-31395</v>
      </c>
      <c r="F5525" s="3" t="s">
        <v>662</v>
      </c>
      <c r="G5525" s="3" t="s">
        <v>82</v>
      </c>
      <c r="H5525" s="2" t="s">
        <v>62</v>
      </c>
      <c r="I5525" s="2" t="s">
        <v>12858</v>
      </c>
      <c r="J5525" s="3" t="str">
        <f>HYPERLINK("https://www.boe.es/gazeta/dias/1814/01/15/pdfs/GRE-1814-8.pdf#page=3","Abrir facsímil")</f>
        <v>Abrir facsímil</v>
      </c>
      <c r="K5525" s="3" t="s">
        <v>64</v>
      </c>
    </row>
    <row r="5526" spans="1:11" ht="42" customHeight="1">
      <c r="A5526" s="2" t="s">
        <v>12856</v>
      </c>
      <c r="B5526" s="2" t="s">
        <v>12856</v>
      </c>
      <c r="C5526" s="2" t="s">
        <v>38</v>
      </c>
      <c r="D5526" s="2" t="s">
        <v>39</v>
      </c>
      <c r="E5526" s="5">
        <v>-31392</v>
      </c>
      <c r="F5526" s="3" t="s">
        <v>195</v>
      </c>
      <c r="G5526" s="3" t="s">
        <v>3134</v>
      </c>
      <c r="H5526" s="2" t="s">
        <v>62</v>
      </c>
      <c r="I5526" s="2" t="s">
        <v>12859</v>
      </c>
      <c r="J5526" s="3" t="str">
        <f>HYPERLINK("https://www.boe.es/gazeta/dias/1814/01/18/pdfs/GRE-1814-9.pdf#page=5","Abrir facsímil")</f>
        <v>Abrir facsímil</v>
      </c>
      <c r="K5526" s="3" t="s">
        <v>64</v>
      </c>
    </row>
    <row r="5527" spans="1:11" ht="42" customHeight="1">
      <c r="A5527" s="2" t="s">
        <v>12856</v>
      </c>
      <c r="B5527" s="2" t="s">
        <v>12856</v>
      </c>
      <c r="C5527" s="2" t="s">
        <v>38</v>
      </c>
      <c r="D5527" s="2" t="s">
        <v>39</v>
      </c>
      <c r="E5527" s="5">
        <v>-31392</v>
      </c>
      <c r="F5527" s="3" t="s">
        <v>195</v>
      </c>
      <c r="G5527" s="3" t="s">
        <v>82</v>
      </c>
      <c r="H5527" s="2" t="s">
        <v>62</v>
      </c>
      <c r="I5527" s="2" t="s">
        <v>12860</v>
      </c>
      <c r="J5527" s="3" t="str">
        <f>HYPERLINK("https://www.boe.es/gazeta/dias/1814/01/18/pdfs/GRE-1814-9.pdf#page=3","Abrir facsímil")</f>
        <v>Abrir facsímil</v>
      </c>
      <c r="K5527" s="3" t="s">
        <v>64</v>
      </c>
    </row>
    <row r="5528" spans="1:11" ht="42" customHeight="1">
      <c r="A5528" s="2" t="s">
        <v>12856</v>
      </c>
      <c r="B5528" s="2" t="s">
        <v>12856</v>
      </c>
      <c r="C5528" s="2" t="s">
        <v>17</v>
      </c>
      <c r="D5528" s="2" t="s">
        <v>18</v>
      </c>
      <c r="E5528" s="5">
        <v>-31381</v>
      </c>
      <c r="F5528" s="3" t="s">
        <v>989</v>
      </c>
      <c r="G5528" s="3" t="s">
        <v>12861</v>
      </c>
      <c r="H5528" s="2" t="s">
        <v>62</v>
      </c>
      <c r="I5528" s="2" t="s">
        <v>12862</v>
      </c>
      <c r="J5528" s="3" t="str">
        <f>HYPERLINK("https://www.boe.es/gazeta/dias/1814/01/29/pdfs/GRE-1814-14.pdf#page=4","Abrir facsímil")</f>
        <v>Abrir facsímil</v>
      </c>
      <c r="K5528" s="3" t="s">
        <v>64</v>
      </c>
    </row>
    <row r="5529" spans="1:11" ht="42" customHeight="1">
      <c r="A5529" s="2" t="s">
        <v>12863</v>
      </c>
      <c r="B5529" s="2" t="s">
        <v>12864</v>
      </c>
      <c r="C5529" s="2" t="s">
        <v>17</v>
      </c>
      <c r="D5529" s="2" t="s">
        <v>18</v>
      </c>
      <c r="E5529" s="5">
        <v>-31311</v>
      </c>
      <c r="F5529" s="3" t="s">
        <v>3144</v>
      </c>
      <c r="G5529" s="3" t="s">
        <v>57</v>
      </c>
      <c r="H5529" s="2" t="s">
        <v>62</v>
      </c>
      <c r="I5529" s="2" t="s">
        <v>12865</v>
      </c>
      <c r="J5529" s="3" t="str">
        <f>HYPERLINK("https://www.boe.es/gazeta/dias/1814/04/09/pdfs/GRE-1814-51.pdf#page=6","Abrir facsímil")</f>
        <v>Abrir facsímil</v>
      </c>
      <c r="K5529" s="3" t="s">
        <v>64</v>
      </c>
    </row>
    <row r="5530" spans="1:11" ht="42" customHeight="1">
      <c r="A5530" s="2" t="s">
        <v>12866</v>
      </c>
      <c r="B5530" s="2" t="s">
        <v>12867</v>
      </c>
      <c r="C5530" s="2" t="s">
        <v>38</v>
      </c>
      <c r="D5530" s="2" t="s">
        <v>39</v>
      </c>
      <c r="E5530" s="5">
        <v>-31070</v>
      </c>
      <c r="F5530" s="3" t="s">
        <v>92</v>
      </c>
      <c r="G5530" s="3" t="s">
        <v>41</v>
      </c>
      <c r="H5530" s="2" t="s">
        <v>62</v>
      </c>
      <c r="I5530" s="2" t="s">
        <v>12868</v>
      </c>
      <c r="J5530" s="3" t="str">
        <f>HYPERLINK("https://www.boe.es/gazeta/dias/1814/12/06/pdfs/GMD-1814-161.pdf#page=4","Abrir facsímil")</f>
        <v>Abrir facsímil</v>
      </c>
      <c r="K5530" s="3" t="s">
        <v>64</v>
      </c>
    </row>
    <row r="5531" spans="1:11" ht="42" customHeight="1">
      <c r="A5531" s="2" t="s">
        <v>12869</v>
      </c>
      <c r="B5531" s="2" t="s">
        <v>12870</v>
      </c>
      <c r="C5531" s="2" t="s">
        <v>309</v>
      </c>
      <c r="D5531" s="2" t="s">
        <v>18</v>
      </c>
      <c r="E5531" s="5">
        <v>-31115</v>
      </c>
      <c r="F5531" s="3" t="s">
        <v>805</v>
      </c>
      <c r="G5531" s="3" t="s">
        <v>99</v>
      </c>
      <c r="H5531" s="2" t="s">
        <v>62</v>
      </c>
      <c r="I5531" s="2" t="s">
        <v>12871</v>
      </c>
      <c r="J5531" s="3" t="str">
        <f>HYPERLINK("https://www.boe.es/gazeta/dias/1814/10/22/pdfs/GMD-1814-142.pdf#page=5","Abrir facsímil")</f>
        <v>Abrir facsímil</v>
      </c>
      <c r="K5531" s="3" t="s">
        <v>64</v>
      </c>
    </row>
    <row r="5532" spans="1:11" ht="42" customHeight="1">
      <c r="A5532" s="2" t="s">
        <v>12872</v>
      </c>
      <c r="B5532" s="2" t="s">
        <v>12873</v>
      </c>
      <c r="C5532" s="2" t="s">
        <v>38</v>
      </c>
      <c r="D5532" s="2" t="s">
        <v>39</v>
      </c>
      <c r="E5532" s="5">
        <v>-31199</v>
      </c>
      <c r="F5532" s="3" t="s">
        <v>453</v>
      </c>
      <c r="G5532" s="3" t="s">
        <v>1027</v>
      </c>
      <c r="H5532" s="2" t="s">
        <v>62</v>
      </c>
      <c r="I5532" s="2" t="s">
        <v>12874</v>
      </c>
      <c r="J5532" s="3" t="str">
        <f>HYPERLINK("https://www.boe.es/gazeta/dias/1814/07/30/pdfs/GMD-1814-105.pdf#page=8","Abrir facsímil")</f>
        <v>Abrir facsímil</v>
      </c>
      <c r="K5532" s="3" t="s">
        <v>64</v>
      </c>
    </row>
    <row r="5533" spans="1:11" ht="42" customHeight="1">
      <c r="A5533" s="2" t="s">
        <v>12875</v>
      </c>
      <c r="B5533" s="2" t="s">
        <v>12875</v>
      </c>
      <c r="C5533" s="2" t="s">
        <v>26</v>
      </c>
      <c r="D5533" s="2" t="s">
        <v>27</v>
      </c>
      <c r="E5533" s="5">
        <v>-31367</v>
      </c>
      <c r="F5533" s="3" t="s">
        <v>857</v>
      </c>
      <c r="G5533" s="3" t="s">
        <v>87</v>
      </c>
      <c r="H5533" s="2" t="s">
        <v>62</v>
      </c>
      <c r="I5533" s="2" t="s">
        <v>12876</v>
      </c>
      <c r="J5533" s="3" t="str">
        <f>HYPERLINK("https://www.boe.es/gazeta/dias/1814/02/12/pdfs/GRE-1814-20.pdf#page=2","Abrir facsímil")</f>
        <v>Abrir facsímil</v>
      </c>
      <c r="K5533" s="3" t="s">
        <v>64</v>
      </c>
    </row>
    <row r="5534" spans="1:11" ht="42" customHeight="1">
      <c r="A5534" s="2" t="s">
        <v>12877</v>
      </c>
      <c r="B5534" s="2" t="s">
        <v>12878</v>
      </c>
      <c r="C5534" s="2" t="s">
        <v>38</v>
      </c>
      <c r="D5534" s="2" t="s">
        <v>39</v>
      </c>
      <c r="E5534" s="5">
        <v>-31234</v>
      </c>
      <c r="F5534" s="3" t="s">
        <v>462</v>
      </c>
      <c r="G5534" s="3" t="s">
        <v>2864</v>
      </c>
      <c r="H5534" s="2" t="s">
        <v>62</v>
      </c>
      <c r="I5534" s="2" t="s">
        <v>12879</v>
      </c>
      <c r="J5534" s="3" t="str">
        <f>HYPERLINK("https://www.boe.es/gazeta/dias/1814/06/25/pdfs/GMD-1814-90.pdf#page=12","Abrir facsímil")</f>
        <v>Abrir facsímil</v>
      </c>
      <c r="K5534" s="3" t="s">
        <v>64</v>
      </c>
    </row>
    <row r="5535" spans="1:11" ht="42" customHeight="1">
      <c r="A5535" s="2" t="s">
        <v>12880</v>
      </c>
      <c r="B5535" s="2" t="s">
        <v>12881</v>
      </c>
      <c r="C5535" s="2" t="s">
        <v>38</v>
      </c>
      <c r="D5535" s="2" t="s">
        <v>39</v>
      </c>
      <c r="E5535" s="5">
        <v>-31138</v>
      </c>
      <c r="F5535" s="3" t="s">
        <v>1363</v>
      </c>
      <c r="G5535" s="3" t="s">
        <v>52</v>
      </c>
      <c r="H5535" s="2" t="s">
        <v>62</v>
      </c>
      <c r="I5535" s="2" t="s">
        <v>12882</v>
      </c>
      <c r="J5535" s="3" t="str">
        <f>HYPERLINK("https://www.boe.es/gazeta/dias/1814/09/29/pdfs/GMD-1814-132.pdf#page=8","Abrir facsímil")</f>
        <v>Abrir facsímil</v>
      </c>
      <c r="K5535" s="3" t="s">
        <v>64</v>
      </c>
    </row>
    <row r="5536" spans="1:11" ht="42" customHeight="1">
      <c r="A5536" s="2" t="s">
        <v>12883</v>
      </c>
      <c r="B5536" s="2" t="s">
        <v>12884</v>
      </c>
      <c r="C5536" s="2" t="s">
        <v>45</v>
      </c>
      <c r="D5536" s="2" t="s">
        <v>18</v>
      </c>
      <c r="E5536" s="5">
        <v>-31136</v>
      </c>
      <c r="F5536" s="3" t="s">
        <v>956</v>
      </c>
      <c r="G5536" s="3" t="s">
        <v>1254</v>
      </c>
      <c r="H5536" s="2" t="s">
        <v>62</v>
      </c>
      <c r="I5536" s="2" t="s">
        <v>12885</v>
      </c>
      <c r="J5536" s="3" t="str">
        <f>HYPERLINK("https://www.boe.es/gazeta/dias/1814/10/01/pdfs/GMD-1814-133.pdf#page=9","Abrir facsímil")</f>
        <v>Abrir facsímil</v>
      </c>
      <c r="K5536" s="3" t="s">
        <v>64</v>
      </c>
    </row>
    <row r="5537" spans="1:11" ht="42" customHeight="1">
      <c r="A5537" s="2" t="s">
        <v>12886</v>
      </c>
      <c r="B5537" s="2" t="s">
        <v>12887</v>
      </c>
      <c r="C5537" s="2" t="s">
        <v>45</v>
      </c>
      <c r="D5537" s="2" t="s">
        <v>18</v>
      </c>
      <c r="E5537" s="5">
        <v>-31117</v>
      </c>
      <c r="F5537" s="3" t="s">
        <v>172</v>
      </c>
      <c r="G5537" s="3" t="s">
        <v>392</v>
      </c>
      <c r="H5537" s="2" t="s">
        <v>62</v>
      </c>
      <c r="I5537" s="2" t="s">
        <v>12888</v>
      </c>
      <c r="J5537" s="3" t="str">
        <f>HYPERLINK("https://www.boe.es/gazeta/dias/1814/10/20/pdfs/GMD-1814-141.pdf#page=8","Abrir facsímil")</f>
        <v>Abrir facsímil</v>
      </c>
      <c r="K5537" s="3" t="s">
        <v>64</v>
      </c>
    </row>
    <row r="5538" spans="1:11" ht="42" customHeight="1">
      <c r="A5538" s="2" t="s">
        <v>12889</v>
      </c>
      <c r="B5538" s="2" t="s">
        <v>12890</v>
      </c>
      <c r="C5538" s="2" t="s">
        <v>17</v>
      </c>
      <c r="D5538" s="2" t="s">
        <v>18</v>
      </c>
      <c r="E5538" s="5">
        <v>-31192</v>
      </c>
      <c r="F5538" s="3" t="s">
        <v>388</v>
      </c>
      <c r="G5538" s="3" t="s">
        <v>20</v>
      </c>
      <c r="H5538" s="2" t="s">
        <v>62</v>
      </c>
      <c r="I5538" s="2" t="s">
        <v>12891</v>
      </c>
      <c r="J5538" s="3" t="str">
        <f>HYPERLINK("https://www.boe.es/gazeta/dias/1814/08/06/pdfs/GMD-1814-108.pdf#page=7","Abrir facsímil")</f>
        <v>Abrir facsímil</v>
      </c>
      <c r="K5538" s="3" t="s">
        <v>64</v>
      </c>
    </row>
    <row r="5539" spans="1:11" ht="42" customHeight="1">
      <c r="A5539" s="2" t="s">
        <v>12892</v>
      </c>
      <c r="B5539" s="2" t="s">
        <v>12893</v>
      </c>
      <c r="C5539" s="2" t="s">
        <v>38</v>
      </c>
      <c r="D5539" s="2" t="s">
        <v>39</v>
      </c>
      <c r="E5539" s="5">
        <v>-31054</v>
      </c>
      <c r="F5539" s="3" t="s">
        <v>952</v>
      </c>
      <c r="G5539" s="3" t="s">
        <v>52</v>
      </c>
      <c r="H5539" s="2" t="s">
        <v>62</v>
      </c>
      <c r="I5539" s="2" t="s">
        <v>12894</v>
      </c>
      <c r="J5539" s="3" t="str">
        <f>HYPERLINK("https://www.boe.es/gazeta/dias/1814/12/22/pdfs/GMD-1814-169.pdf#page=8","Abrir facsímil")</f>
        <v>Abrir facsímil</v>
      </c>
      <c r="K5539" s="3" t="s">
        <v>64</v>
      </c>
    </row>
    <row r="5540" spans="1:11" ht="42" customHeight="1">
      <c r="A5540" s="2" t="s">
        <v>12895</v>
      </c>
      <c r="B5540" s="2" t="s">
        <v>12896</v>
      </c>
      <c r="C5540" s="2" t="s">
        <v>38</v>
      </c>
      <c r="D5540" s="2" t="s">
        <v>39</v>
      </c>
      <c r="E5540" s="5">
        <v>-31171</v>
      </c>
      <c r="F5540" s="3" t="s">
        <v>157</v>
      </c>
      <c r="G5540" s="3" t="s">
        <v>57</v>
      </c>
      <c r="H5540" s="2" t="s">
        <v>62</v>
      </c>
      <c r="I5540" s="2" t="s">
        <v>12897</v>
      </c>
      <c r="J5540" s="3" t="str">
        <f>HYPERLINK("https://www.boe.es/gazeta/dias/1814/08/27/pdfs/GMD-1814-117.pdf#page=6","Abrir facsímil")</f>
        <v>Abrir facsímil</v>
      </c>
      <c r="K5540" s="3" t="s">
        <v>64</v>
      </c>
    </row>
    <row r="5541" spans="1:11" ht="42" customHeight="1">
      <c r="A5541" s="2" t="s">
        <v>12898</v>
      </c>
      <c r="B5541" s="2" t="s">
        <v>12899</v>
      </c>
      <c r="C5541" s="2" t="s">
        <v>38</v>
      </c>
      <c r="D5541" s="2" t="s">
        <v>314</v>
      </c>
      <c r="E5541" s="5">
        <v>-31328</v>
      </c>
      <c r="F5541" s="3" t="s">
        <v>442</v>
      </c>
      <c r="G5541" s="3" t="s">
        <v>82</v>
      </c>
      <c r="H5541" s="2" t="s">
        <v>62</v>
      </c>
      <c r="I5541" s="2" t="s">
        <v>12900</v>
      </c>
      <c r="J5541" s="3" t="str">
        <f>HYPERLINK("https://www.boe.es/gazeta/dias/1814/03/23/pdfs/GRE-1814-40E.pdf#page=3","Abrir facsímil")</f>
        <v>Abrir facsímil</v>
      </c>
      <c r="K5541" s="3" t="s">
        <v>64</v>
      </c>
    </row>
    <row r="5542" spans="1:11" ht="42" customHeight="1">
      <c r="A5542" s="2" t="s">
        <v>12901</v>
      </c>
      <c r="B5542" s="2" t="s">
        <v>12902</v>
      </c>
      <c r="C5542" s="2" t="s">
        <v>38</v>
      </c>
      <c r="D5542" s="2" t="s">
        <v>39</v>
      </c>
      <c r="E5542" s="5">
        <v>-31313</v>
      </c>
      <c r="F5542" s="3" t="s">
        <v>239</v>
      </c>
      <c r="G5542" s="3" t="s">
        <v>590</v>
      </c>
      <c r="H5542" s="2" t="s">
        <v>62</v>
      </c>
      <c r="I5542" s="2" t="s">
        <v>12903</v>
      </c>
      <c r="J5542" s="3" t="str">
        <f>HYPERLINK("https://www.boe.es/gazeta/dias/1814/04/07/pdfs/GRE-1814-50.pdf#page=8","Abrir facsímil")</f>
        <v>Abrir facsímil</v>
      </c>
      <c r="K5542" s="3" t="s">
        <v>64</v>
      </c>
    </row>
    <row r="5543" spans="1:11" ht="42" customHeight="1">
      <c r="A5543" s="2" t="s">
        <v>12904</v>
      </c>
      <c r="B5543" s="2" t="s">
        <v>12905</v>
      </c>
      <c r="C5543" s="2" t="s">
        <v>38</v>
      </c>
      <c r="D5543" s="2" t="s">
        <v>39</v>
      </c>
      <c r="E5543" s="5">
        <v>-31381</v>
      </c>
      <c r="F5543" s="3" t="s">
        <v>989</v>
      </c>
      <c r="G5543" s="3" t="s">
        <v>52</v>
      </c>
      <c r="H5543" s="2" t="s">
        <v>62</v>
      </c>
      <c r="I5543" s="2" t="s">
        <v>12906</v>
      </c>
      <c r="J5543" s="3" t="str">
        <f>HYPERLINK("https://www.boe.es/gazeta/dias/1814/01/29/pdfs/GRE-1814-14.pdf#page=8","Abrir facsímil")</f>
        <v>Abrir facsímil</v>
      </c>
      <c r="K5543" s="3" t="s">
        <v>64</v>
      </c>
    </row>
    <row r="5544" spans="1:11" ht="42" customHeight="1">
      <c r="A5544" s="2" t="s">
        <v>12907</v>
      </c>
      <c r="B5544" s="2" t="s">
        <v>12908</v>
      </c>
      <c r="C5544" s="2" t="s">
        <v>26</v>
      </c>
      <c r="D5544" s="2" t="s">
        <v>27</v>
      </c>
      <c r="E5544" s="5">
        <v>-31292</v>
      </c>
      <c r="F5544" s="3" t="s">
        <v>557</v>
      </c>
      <c r="G5544" s="3" t="s">
        <v>52</v>
      </c>
      <c r="H5544" s="2" t="s">
        <v>62</v>
      </c>
      <c r="I5544" s="2" t="s">
        <v>12909</v>
      </c>
      <c r="J5544" s="3" t="str">
        <f>HYPERLINK("https://www.boe.es/gazeta/dias/1814/04/28/pdfs/GRE-1814-63.pdf#page=8","Abrir facsímil")</f>
        <v>Abrir facsímil</v>
      </c>
      <c r="K5544" s="3" t="s">
        <v>64</v>
      </c>
    </row>
    <row r="5545" spans="1:11" ht="42" customHeight="1">
      <c r="A5545" s="2" t="s">
        <v>12910</v>
      </c>
      <c r="B5545" s="2" t="s">
        <v>12911</v>
      </c>
      <c r="C5545" s="2" t="s">
        <v>38</v>
      </c>
      <c r="D5545" s="2" t="s">
        <v>39</v>
      </c>
      <c r="E5545" s="5">
        <v>-31119</v>
      </c>
      <c r="F5545" s="3" t="s">
        <v>136</v>
      </c>
      <c r="G5545" s="3" t="s">
        <v>137</v>
      </c>
      <c r="H5545" s="2" t="s">
        <v>62</v>
      </c>
      <c r="I5545" s="2" t="s">
        <v>12912</v>
      </c>
      <c r="J5545" s="3" t="str">
        <f>HYPERLINK("https://www.boe.es/gazeta/dias/1814/10/18/pdfs/GMD-1814-140.pdf#page=9","Abrir facsímil")</f>
        <v>Abrir facsímil</v>
      </c>
      <c r="K5545" s="3" t="s">
        <v>64</v>
      </c>
    </row>
    <row r="5546" spans="1:11" ht="42" customHeight="1">
      <c r="A5546" s="2" t="s">
        <v>12913</v>
      </c>
      <c r="B5546" s="2" t="s">
        <v>12914</v>
      </c>
      <c r="C5546" s="2" t="s">
        <v>38</v>
      </c>
      <c r="D5546" s="2" t="s">
        <v>39</v>
      </c>
      <c r="E5546" s="5">
        <v>-31196</v>
      </c>
      <c r="F5546" s="3" t="s">
        <v>828</v>
      </c>
      <c r="G5546" s="3" t="s">
        <v>52</v>
      </c>
      <c r="H5546" s="2" t="s">
        <v>62</v>
      </c>
      <c r="I5546" s="2" t="s">
        <v>12915</v>
      </c>
      <c r="J5546" s="3" t="str">
        <f>HYPERLINK("https://www.boe.es/gazeta/dias/1814/08/02/pdfs/GMD-1814-106.pdf#page=8","Abrir facsímil")</f>
        <v>Abrir facsímil</v>
      </c>
      <c r="K5546" s="3" t="s">
        <v>64</v>
      </c>
    </row>
    <row r="5547" spans="1:11" ht="42" customHeight="1">
      <c r="A5547" s="2" t="s">
        <v>12916</v>
      </c>
      <c r="B5547" s="2" t="s">
        <v>12917</v>
      </c>
      <c r="C5547" s="2" t="s">
        <v>38</v>
      </c>
      <c r="D5547" s="2" t="s">
        <v>314</v>
      </c>
      <c r="E5547" s="5">
        <v>-31296</v>
      </c>
      <c r="F5547" s="3" t="s">
        <v>315</v>
      </c>
      <c r="G5547" s="3" t="s">
        <v>52</v>
      </c>
      <c r="H5547" s="2" t="s">
        <v>62</v>
      </c>
      <c r="I5547" s="2" t="s">
        <v>12918</v>
      </c>
      <c r="J5547" s="3" t="str">
        <f>HYPERLINK("https://www.boe.es/gazeta/dias/1814/04/24/pdfs/GRE-1814-60E.pdf#page=8","Abrir facsímil")</f>
        <v>Abrir facsímil</v>
      </c>
      <c r="K5547" s="3" t="s">
        <v>64</v>
      </c>
    </row>
    <row r="5548" spans="1:11" ht="42" customHeight="1">
      <c r="A5548" s="2" t="s">
        <v>12919</v>
      </c>
      <c r="B5548" s="2" t="s">
        <v>12919</v>
      </c>
      <c r="C5548" s="2" t="s">
        <v>38</v>
      </c>
      <c r="D5548" s="2" t="s">
        <v>39</v>
      </c>
      <c r="E5548" s="5">
        <v>-31269</v>
      </c>
      <c r="F5548" s="3" t="s">
        <v>496</v>
      </c>
      <c r="G5548" s="3" t="s">
        <v>87</v>
      </c>
      <c r="H5548" s="2" t="s">
        <v>62</v>
      </c>
      <c r="I5548" s="2" t="s">
        <v>12920</v>
      </c>
      <c r="J5548" s="3" t="str">
        <f>HYPERLINK("https://www.boe.es/gazeta/dias/1814/05/21/pdfs/GMD-1814-75.pdf#page=2","Abrir facsímil")</f>
        <v>Abrir facsímil</v>
      </c>
      <c r="K5548" s="3" t="s">
        <v>64</v>
      </c>
    </row>
    <row r="5549" spans="1:11" ht="42" customHeight="1">
      <c r="A5549" s="2" t="s">
        <v>12921</v>
      </c>
      <c r="B5549" s="2" t="s">
        <v>12921</v>
      </c>
      <c r="C5549" s="2" t="s">
        <v>17</v>
      </c>
      <c r="D5549" s="2" t="s">
        <v>18</v>
      </c>
      <c r="E5549" s="5">
        <v>-31287</v>
      </c>
      <c r="F5549" s="3" t="s">
        <v>491</v>
      </c>
      <c r="G5549" s="3" t="s">
        <v>52</v>
      </c>
      <c r="H5549" s="2" t="s">
        <v>62</v>
      </c>
      <c r="I5549" s="2" t="s">
        <v>12922</v>
      </c>
      <c r="J5549" s="3" t="str">
        <f>HYPERLINK("https://www.boe.es/gazeta/dias/1814/05/03/pdfs/GRE-1814-65.pdf#page=8","Abrir facsímil")</f>
        <v>Abrir facsímil</v>
      </c>
      <c r="K5549" s="3" t="s">
        <v>64</v>
      </c>
    </row>
    <row r="5550" spans="1:11" ht="42" customHeight="1">
      <c r="A5550" s="2" t="s">
        <v>12923</v>
      </c>
      <c r="B5550" s="2" t="s">
        <v>12924</v>
      </c>
      <c r="C5550" s="2" t="s">
        <v>38</v>
      </c>
      <c r="D5550" s="2" t="s">
        <v>39</v>
      </c>
      <c r="E5550" s="5">
        <v>-31173</v>
      </c>
      <c r="F5550" s="3" t="s">
        <v>46</v>
      </c>
      <c r="G5550" s="3" t="s">
        <v>82</v>
      </c>
      <c r="H5550" s="2" t="s">
        <v>62</v>
      </c>
      <c r="I5550" s="2" t="s">
        <v>12925</v>
      </c>
      <c r="J5550" s="3" t="str">
        <f>HYPERLINK("https://www.boe.es/gazeta/dias/1814/08/25/pdfs/GMD-1814-116.pdf#page=3","Abrir facsímil")</f>
        <v>Abrir facsímil</v>
      </c>
      <c r="K5550" s="3" t="s">
        <v>64</v>
      </c>
    </row>
    <row r="5551" spans="1:11" ht="42" customHeight="1">
      <c r="A5551" s="2" t="s">
        <v>12926</v>
      </c>
      <c r="B5551" s="2" t="s">
        <v>12927</v>
      </c>
      <c r="C5551" s="2" t="s">
        <v>17</v>
      </c>
      <c r="D5551" s="2" t="s">
        <v>18</v>
      </c>
      <c r="E5551" s="5">
        <v>-31264</v>
      </c>
      <c r="F5551" s="3" t="s">
        <v>396</v>
      </c>
      <c r="G5551" s="3" t="s">
        <v>57</v>
      </c>
      <c r="H5551" s="2" t="s">
        <v>62</v>
      </c>
      <c r="I5551" s="2" t="s">
        <v>12928</v>
      </c>
      <c r="J5551" s="3" t="str">
        <f>HYPERLINK("https://www.boe.es/gazeta/dias/1814/05/26/pdfs/GMD-1814-77.pdf#page=6","Abrir facsímil")</f>
        <v>Abrir facsímil</v>
      </c>
      <c r="K5551" s="3" t="s">
        <v>64</v>
      </c>
    </row>
    <row r="5552" spans="1:11" ht="42" customHeight="1">
      <c r="A5552" s="2" t="s">
        <v>12929</v>
      </c>
      <c r="B5552" s="2" t="s">
        <v>12930</v>
      </c>
      <c r="C5552" s="2" t="s">
        <v>144</v>
      </c>
      <c r="D5552" s="2" t="s">
        <v>18</v>
      </c>
      <c r="E5552" s="5">
        <v>-31287</v>
      </c>
      <c r="F5552" s="3" t="s">
        <v>491</v>
      </c>
      <c r="G5552" s="3" t="s">
        <v>52</v>
      </c>
      <c r="H5552" s="2" t="s">
        <v>62</v>
      </c>
      <c r="I5552" s="2" t="s">
        <v>12931</v>
      </c>
      <c r="J5552" s="3" t="str">
        <f>HYPERLINK("https://www.boe.es/gazeta/dias/1814/05/03/pdfs/GRE-1814-65.pdf#page=8","Abrir facsímil")</f>
        <v>Abrir facsímil</v>
      </c>
      <c r="K5552" s="3" t="s">
        <v>64</v>
      </c>
    </row>
    <row r="5553" spans="1:11" ht="42" customHeight="1">
      <c r="A5553" s="2" t="s">
        <v>12932</v>
      </c>
      <c r="B5553" s="2" t="s">
        <v>12933</v>
      </c>
      <c r="C5553" s="2" t="s">
        <v>105</v>
      </c>
      <c r="D5553" s="2" t="s">
        <v>314</v>
      </c>
      <c r="E5553" s="5">
        <v>-31327</v>
      </c>
      <c r="F5553" s="3" t="s">
        <v>9315</v>
      </c>
      <c r="G5553" s="3" t="s">
        <v>107</v>
      </c>
      <c r="H5553" s="2" t="s">
        <v>62</v>
      </c>
      <c r="I5553" s="2" t="s">
        <v>12934</v>
      </c>
      <c r="J5553" s="3" t="str">
        <f>HYPERLINK("https://www.boe.es/gazeta/dias/1814/03/24/pdfs/GRE-1814-42E.pdf#page=1","Abrir facsímil")</f>
        <v>Abrir facsímil</v>
      </c>
      <c r="K5553" s="3" t="s">
        <v>64</v>
      </c>
    </row>
    <row r="5554" spans="1:11" ht="42" customHeight="1">
      <c r="A5554" s="2" t="s">
        <v>12935</v>
      </c>
      <c r="B5554" s="2" t="s">
        <v>12936</v>
      </c>
      <c r="C5554" s="2" t="s">
        <v>17</v>
      </c>
      <c r="D5554" s="2" t="s">
        <v>18</v>
      </c>
      <c r="E5554" s="5">
        <v>-31175</v>
      </c>
      <c r="F5554" s="3" t="s">
        <v>145</v>
      </c>
      <c r="G5554" s="3" t="s">
        <v>41</v>
      </c>
      <c r="H5554" s="2" t="s">
        <v>21</v>
      </c>
      <c r="I5554" s="2" t="s">
        <v>12937</v>
      </c>
      <c r="J5554" s="3" t="str">
        <f>HYPERLINK("https://www.boe.es/gazeta/dias/1814/08/23/pdfs/GMD-1814-115.pdf#page=4","Abrir facsímil")</f>
        <v>Abrir facsímil</v>
      </c>
      <c r="K5554" s="3" t="s">
        <v>23</v>
      </c>
    </row>
    <row r="5555" spans="1:11" ht="42" customHeight="1">
      <c r="A5555" s="2" t="s">
        <v>12938</v>
      </c>
      <c r="B5555" s="2" t="s">
        <v>12939</v>
      </c>
      <c r="C5555" s="2" t="s">
        <v>38</v>
      </c>
      <c r="D5555" s="2" t="s">
        <v>39</v>
      </c>
      <c r="E5555" s="5">
        <v>-31250</v>
      </c>
      <c r="F5555" s="3" t="s">
        <v>177</v>
      </c>
      <c r="G5555" s="3" t="s">
        <v>52</v>
      </c>
      <c r="H5555" s="2" t="s">
        <v>62</v>
      </c>
      <c r="I5555" s="2" t="s">
        <v>12940</v>
      </c>
      <c r="J5555" s="3" t="str">
        <f>HYPERLINK("https://www.boe.es/gazeta/dias/1814/06/09/pdfs/GMD-1814-83.pdf#page=8","Abrir facsímil")</f>
        <v>Abrir facsímil</v>
      </c>
      <c r="K5555" s="3" t="s">
        <v>64</v>
      </c>
    </row>
    <row r="5556" spans="1:11" ht="42" customHeight="1">
      <c r="A5556" s="2" t="s">
        <v>12941</v>
      </c>
      <c r="B5556" s="2" t="s">
        <v>12942</v>
      </c>
      <c r="C5556" s="2" t="s">
        <v>26</v>
      </c>
      <c r="D5556" s="2" t="s">
        <v>27</v>
      </c>
      <c r="E5556" s="5">
        <v>-31208</v>
      </c>
      <c r="F5556" s="3" t="s">
        <v>509</v>
      </c>
      <c r="G5556" s="3" t="s">
        <v>3455</v>
      </c>
      <c r="H5556" s="2" t="s">
        <v>62</v>
      </c>
      <c r="I5556" s="2" t="s">
        <v>12943</v>
      </c>
      <c r="J5556" s="3" t="str">
        <f>HYPERLINK("https://www.boe.es/gazeta/dias/1814/07/21/pdfs/GMD-1814-101.pdf#page=8","Abrir facsímil")</f>
        <v>Abrir facsímil</v>
      </c>
      <c r="K5556" s="3" t="s">
        <v>64</v>
      </c>
    </row>
    <row r="5557" spans="1:11" ht="42" customHeight="1">
      <c r="A5557" s="2" t="s">
        <v>12944</v>
      </c>
      <c r="B5557" s="2" t="s">
        <v>12945</v>
      </c>
      <c r="C5557" s="2" t="s">
        <v>45</v>
      </c>
      <c r="D5557" s="2" t="s">
        <v>18</v>
      </c>
      <c r="E5557" s="5">
        <v>-31068</v>
      </c>
      <c r="F5557" s="3" t="s">
        <v>548</v>
      </c>
      <c r="G5557" s="3" t="s">
        <v>20</v>
      </c>
      <c r="H5557" s="2" t="s">
        <v>62</v>
      </c>
      <c r="I5557" s="2" t="s">
        <v>12946</v>
      </c>
      <c r="J5557" s="3" t="str">
        <f>HYPERLINK("https://www.boe.es/gazeta/dias/1814/12/08/pdfs/GMD-1814-162.pdf#page=7","Abrir facsímil")</f>
        <v>Abrir facsímil</v>
      </c>
      <c r="K5557" s="3" t="s">
        <v>64</v>
      </c>
    </row>
    <row r="5558" spans="1:11" ht="42" customHeight="1">
      <c r="A5558" s="2" t="s">
        <v>12947</v>
      </c>
      <c r="B5558" s="2" t="s">
        <v>12947</v>
      </c>
      <c r="C5558" s="2" t="s">
        <v>105</v>
      </c>
      <c r="D5558" s="2" t="s">
        <v>18</v>
      </c>
      <c r="E5558" s="5">
        <v>-31381</v>
      </c>
      <c r="F5558" s="3" t="s">
        <v>989</v>
      </c>
      <c r="G5558" s="3" t="s">
        <v>12948</v>
      </c>
      <c r="H5558" s="2" t="s">
        <v>62</v>
      </c>
      <c r="I5558" s="2" t="s">
        <v>12949</v>
      </c>
      <c r="J5558" s="3" t="str">
        <f>HYPERLINK("https://www.boe.es/gazeta/dias/1814/01/29/pdfs/GRE-1814-14.pdf#page=2","Abrir facsímil")</f>
        <v>Abrir facsímil</v>
      </c>
      <c r="K5558" s="3" t="s">
        <v>64</v>
      </c>
    </row>
    <row r="5559" spans="1:11" ht="42" customHeight="1">
      <c r="A5559" s="2" t="s">
        <v>12950</v>
      </c>
      <c r="B5559" s="2" t="s">
        <v>12950</v>
      </c>
      <c r="C5559" s="2" t="s">
        <v>38</v>
      </c>
      <c r="D5559" s="2" t="s">
        <v>39</v>
      </c>
      <c r="E5559" s="5">
        <v>-31329</v>
      </c>
      <c r="F5559" s="3" t="s">
        <v>621</v>
      </c>
      <c r="G5559" s="3" t="s">
        <v>2115</v>
      </c>
      <c r="H5559" s="2" t="s">
        <v>62</v>
      </c>
      <c r="I5559" s="2" t="s">
        <v>12951</v>
      </c>
      <c r="J5559" s="3" t="str">
        <f>HYPERLINK("https://www.boe.es/gazeta/dias/1814/03/22/pdfs/GRE-1814-39.pdf#page=4","Abrir facsímil")</f>
        <v>Abrir facsímil</v>
      </c>
      <c r="K5559" s="3" t="s">
        <v>64</v>
      </c>
    </row>
    <row r="5560" spans="1:11" ht="42" customHeight="1">
      <c r="A5560" s="2" t="s">
        <v>12950</v>
      </c>
      <c r="B5560" s="2" t="s">
        <v>12950</v>
      </c>
      <c r="C5560" s="2" t="s">
        <v>38</v>
      </c>
      <c r="D5560" s="2" t="s">
        <v>39</v>
      </c>
      <c r="E5560" s="5">
        <v>-31327</v>
      </c>
      <c r="F5560" s="3" t="s">
        <v>180</v>
      </c>
      <c r="G5560" s="3" t="s">
        <v>87</v>
      </c>
      <c r="H5560" s="2" t="s">
        <v>62</v>
      </c>
      <c r="I5560" s="2" t="s">
        <v>12952</v>
      </c>
      <c r="J5560" s="3" t="str">
        <f>HYPERLINK("https://www.boe.es/gazeta/dias/1814/03/24/pdfs/GRE-1814-41.pdf#page=2","Abrir facsímil")</f>
        <v>Abrir facsímil</v>
      </c>
      <c r="K5560" s="3" t="s">
        <v>64</v>
      </c>
    </row>
    <row r="5561" spans="1:11" ht="42" customHeight="1">
      <c r="A5561" s="2" t="s">
        <v>12953</v>
      </c>
      <c r="B5561" s="2" t="s">
        <v>12953</v>
      </c>
      <c r="C5561" s="2" t="s">
        <v>38</v>
      </c>
      <c r="D5561" s="2" t="s">
        <v>39</v>
      </c>
      <c r="E5561" s="5">
        <v>-31327</v>
      </c>
      <c r="F5561" s="3" t="s">
        <v>180</v>
      </c>
      <c r="G5561" s="3" t="s">
        <v>41</v>
      </c>
      <c r="H5561" s="2" t="s">
        <v>62</v>
      </c>
      <c r="I5561" s="2" t="s">
        <v>12954</v>
      </c>
      <c r="J5561" s="3" t="str">
        <f>HYPERLINK("https://www.boe.es/gazeta/dias/1814/03/24/pdfs/GRE-1814-41.pdf#page=4","Abrir facsímil")</f>
        <v>Abrir facsímil</v>
      </c>
      <c r="K5561" s="3" t="s">
        <v>64</v>
      </c>
    </row>
    <row r="5562" spans="1:11" ht="42" customHeight="1">
      <c r="A5562" s="2" t="s">
        <v>12955</v>
      </c>
      <c r="B5562" s="2" t="s">
        <v>12956</v>
      </c>
      <c r="C5562" s="2" t="s">
        <v>32</v>
      </c>
      <c r="D5562" s="2" t="s">
        <v>18</v>
      </c>
      <c r="E5562" s="5">
        <v>-31087</v>
      </c>
      <c r="F5562" s="3" t="s">
        <v>118</v>
      </c>
      <c r="G5562" s="3" t="s">
        <v>52</v>
      </c>
      <c r="H5562" s="2" t="s">
        <v>62</v>
      </c>
      <c r="I5562" s="2" t="s">
        <v>12957</v>
      </c>
      <c r="J5562" s="3" t="str">
        <f>HYPERLINK("https://www.boe.es/gazeta/dias/1814/11/19/pdfs/GMD-1814-154.pdf#page=8","Abrir facsímil")</f>
        <v>Abrir facsímil</v>
      </c>
      <c r="K5562" s="3" t="s">
        <v>64</v>
      </c>
    </row>
    <row r="5563" spans="1:11" ht="42" customHeight="1">
      <c r="A5563" s="2" t="s">
        <v>12958</v>
      </c>
      <c r="B5563" s="2" t="s">
        <v>12959</v>
      </c>
      <c r="C5563" s="2" t="s">
        <v>32</v>
      </c>
      <c r="D5563" s="2" t="s">
        <v>18</v>
      </c>
      <c r="E5563" s="5">
        <v>-31133</v>
      </c>
      <c r="F5563" s="3" t="s">
        <v>184</v>
      </c>
      <c r="G5563" s="3" t="s">
        <v>1243</v>
      </c>
      <c r="H5563" s="2" t="s">
        <v>62</v>
      </c>
      <c r="I5563" s="2" t="s">
        <v>12960</v>
      </c>
      <c r="J5563" s="3" t="str">
        <f>HYPERLINK("https://www.boe.es/gazeta/dias/1814/10/04/pdfs/GMD-1814-134.pdf#page=8","Abrir facsímil")</f>
        <v>Abrir facsímil</v>
      </c>
      <c r="K5563" s="3" t="s">
        <v>64</v>
      </c>
    </row>
    <row r="5564" spans="1:11" ht="42" customHeight="1">
      <c r="A5564" s="2" t="s">
        <v>12961</v>
      </c>
      <c r="B5564" s="2" t="s">
        <v>12962</v>
      </c>
      <c r="C5564" s="2" t="s">
        <v>32</v>
      </c>
      <c r="D5564" s="2" t="s">
        <v>18</v>
      </c>
      <c r="E5564" s="5">
        <v>-31262</v>
      </c>
      <c r="F5564" s="3" t="s">
        <v>254</v>
      </c>
      <c r="G5564" s="3" t="s">
        <v>99</v>
      </c>
      <c r="H5564" s="2" t="s">
        <v>62</v>
      </c>
      <c r="I5564" s="2" t="s">
        <v>12963</v>
      </c>
      <c r="J5564" s="3" t="str">
        <f>HYPERLINK("https://www.boe.es/gazeta/dias/1814/05/28/pdfs/GMD-1814-78.pdf#page=5","Abrir facsímil")</f>
        <v>Abrir facsímil</v>
      </c>
      <c r="K5564" s="3" t="s">
        <v>64</v>
      </c>
    </row>
    <row r="5565" spans="1:11" ht="42" customHeight="1">
      <c r="A5565" s="2" t="s">
        <v>12961</v>
      </c>
      <c r="B5565" s="2" t="s">
        <v>12962</v>
      </c>
      <c r="C5565" s="2" t="s">
        <v>17</v>
      </c>
      <c r="D5565" s="2" t="s">
        <v>18</v>
      </c>
      <c r="E5565" s="5">
        <v>-31255</v>
      </c>
      <c r="F5565" s="3" t="s">
        <v>983</v>
      </c>
      <c r="G5565" s="3" t="s">
        <v>99</v>
      </c>
      <c r="H5565" s="2" t="s">
        <v>62</v>
      </c>
      <c r="I5565" s="2" t="s">
        <v>12964</v>
      </c>
      <c r="J5565" s="3" t="str">
        <f>HYPERLINK("https://www.boe.es/gazeta/dias/1814/06/04/pdfs/GMD-1814-81.pdf#page=5","Abrir facsímil")</f>
        <v>Abrir facsímil</v>
      </c>
      <c r="K5565" s="3" t="s">
        <v>64</v>
      </c>
    </row>
    <row r="5566" spans="1:11" ht="42" customHeight="1">
      <c r="A5566" s="2" t="s">
        <v>12965</v>
      </c>
      <c r="B5566" s="2" t="s">
        <v>12966</v>
      </c>
      <c r="C5566" s="2" t="s">
        <v>144</v>
      </c>
      <c r="D5566" s="2" t="s">
        <v>18</v>
      </c>
      <c r="E5566" s="5">
        <v>-31154</v>
      </c>
      <c r="F5566" s="3" t="s">
        <v>688</v>
      </c>
      <c r="G5566" s="3" t="s">
        <v>52</v>
      </c>
      <c r="H5566" s="2" t="s">
        <v>62</v>
      </c>
      <c r="I5566" s="2" t="s">
        <v>12967</v>
      </c>
      <c r="J5566" s="3" t="str">
        <f>HYPERLINK("https://www.boe.es/gazeta/dias/1814/09/13/pdfs/GMD-1814-125.pdf#page=8","Abrir facsímil")</f>
        <v>Abrir facsímil</v>
      </c>
      <c r="K5566" s="3" t="s">
        <v>64</v>
      </c>
    </row>
    <row r="5567" spans="1:11" ht="42" customHeight="1">
      <c r="A5567" s="2" t="s">
        <v>12968</v>
      </c>
      <c r="B5567" s="2" t="s">
        <v>12969</v>
      </c>
      <c r="C5567" s="2" t="s">
        <v>26</v>
      </c>
      <c r="D5567" s="2" t="s">
        <v>27</v>
      </c>
      <c r="E5567" s="5">
        <v>-31189</v>
      </c>
      <c r="F5567" s="3" t="s">
        <v>379</v>
      </c>
      <c r="G5567" s="3" t="s">
        <v>52</v>
      </c>
      <c r="H5567" s="2" t="s">
        <v>62</v>
      </c>
      <c r="I5567" s="2" t="s">
        <v>12970</v>
      </c>
      <c r="J5567" s="3" t="str">
        <f>HYPERLINK("https://www.boe.es/gazeta/dias/1814/08/09/pdfs/GMD-1814-109.pdf#page=8","Abrir facsímil")</f>
        <v>Abrir facsímil</v>
      </c>
      <c r="K5567" s="3" t="s">
        <v>64</v>
      </c>
    </row>
    <row r="5568" spans="1:11" ht="42" customHeight="1">
      <c r="A5568" s="2" t="s">
        <v>12971</v>
      </c>
      <c r="B5568" s="2" t="s">
        <v>12972</v>
      </c>
      <c r="C5568" s="2" t="s">
        <v>17</v>
      </c>
      <c r="D5568" s="2" t="s">
        <v>18</v>
      </c>
      <c r="E5568" s="5">
        <v>-31308</v>
      </c>
      <c r="F5568" s="3" t="s">
        <v>210</v>
      </c>
      <c r="G5568" s="3" t="s">
        <v>20</v>
      </c>
      <c r="H5568" s="2" t="s">
        <v>62</v>
      </c>
      <c r="I5568" s="2" t="s">
        <v>12973</v>
      </c>
      <c r="J5568" s="3" t="str">
        <f>HYPERLINK("https://www.boe.es/gazeta/dias/1814/04/12/pdfs/GRE-1814-52.pdf#page=7","Abrir facsímil")</f>
        <v>Abrir facsímil</v>
      </c>
      <c r="K5568" s="3" t="s">
        <v>64</v>
      </c>
    </row>
    <row r="5569" spans="1:11" ht="42" customHeight="1">
      <c r="A5569" s="2" t="s">
        <v>12974</v>
      </c>
      <c r="B5569" s="2" t="s">
        <v>12975</v>
      </c>
      <c r="C5569" s="2" t="s">
        <v>45</v>
      </c>
      <c r="D5569" s="2" t="s">
        <v>18</v>
      </c>
      <c r="E5569" s="5">
        <v>-31094</v>
      </c>
      <c r="F5569" s="3" t="s">
        <v>761</v>
      </c>
      <c r="G5569" s="3" t="s">
        <v>52</v>
      </c>
      <c r="H5569" s="2" t="s">
        <v>62</v>
      </c>
      <c r="I5569" s="2" t="s">
        <v>12976</v>
      </c>
      <c r="J5569" s="3" t="str">
        <f>HYPERLINK("https://www.boe.es/gazeta/dias/1814/11/12/pdfs/GMD-1814-151.pdf#page=8","Abrir facsímil")</f>
        <v>Abrir facsímil</v>
      </c>
      <c r="K5569" s="3" t="s">
        <v>64</v>
      </c>
    </row>
    <row r="5570" spans="1:11" ht="42" customHeight="1">
      <c r="A5570" s="2" t="s">
        <v>12977</v>
      </c>
      <c r="B5570" s="2" t="s">
        <v>12978</v>
      </c>
      <c r="C5570" s="2" t="s">
        <v>17</v>
      </c>
      <c r="D5570" s="2" t="s">
        <v>18</v>
      </c>
      <c r="E5570" s="5">
        <v>-31173</v>
      </c>
      <c r="F5570" s="3" t="s">
        <v>46</v>
      </c>
      <c r="G5570" s="3" t="s">
        <v>82</v>
      </c>
      <c r="H5570" s="2" t="s">
        <v>62</v>
      </c>
      <c r="I5570" s="2" t="s">
        <v>12979</v>
      </c>
      <c r="J5570" s="3" t="str">
        <f>HYPERLINK("https://www.boe.es/gazeta/dias/1814/08/25/pdfs/GMD-1814-116.pdf#page=3","Abrir facsímil")</f>
        <v>Abrir facsímil</v>
      </c>
      <c r="K5570" s="3" t="s">
        <v>64</v>
      </c>
    </row>
    <row r="5571" spans="1:11" ht="42" customHeight="1">
      <c r="A5571" s="2" t="s">
        <v>12980</v>
      </c>
      <c r="B5571" s="2" t="s">
        <v>12981</v>
      </c>
      <c r="C5571" s="2" t="s">
        <v>38</v>
      </c>
      <c r="D5571" s="2" t="s">
        <v>39</v>
      </c>
      <c r="E5571" s="5">
        <v>-31194</v>
      </c>
      <c r="F5571" s="3" t="s">
        <v>333</v>
      </c>
      <c r="G5571" s="3" t="s">
        <v>57</v>
      </c>
      <c r="H5571" s="2" t="s">
        <v>62</v>
      </c>
      <c r="I5571" s="2" t="s">
        <v>12982</v>
      </c>
      <c r="J5571" s="3" t="str">
        <f>HYPERLINK("https://www.boe.es/gazeta/dias/1814/08/04/pdfs/GMD-1814-107.pdf#page=6","Abrir facsímil")</f>
        <v>Abrir facsímil</v>
      </c>
      <c r="K5571" s="3" t="s">
        <v>64</v>
      </c>
    </row>
    <row r="5572" spans="1:11" ht="42" customHeight="1">
      <c r="A5572" s="2" t="s">
        <v>12983</v>
      </c>
      <c r="B5572" s="2" t="s">
        <v>12984</v>
      </c>
      <c r="C5572" s="2" t="s">
        <v>38</v>
      </c>
      <c r="D5572" s="2" t="s">
        <v>39</v>
      </c>
      <c r="E5572" s="5">
        <v>-31206</v>
      </c>
      <c r="F5572" s="3" t="s">
        <v>1196</v>
      </c>
      <c r="G5572" s="3" t="s">
        <v>41</v>
      </c>
      <c r="H5572" s="2" t="s">
        <v>62</v>
      </c>
      <c r="I5572" s="2" t="s">
        <v>12985</v>
      </c>
      <c r="J5572" s="3" t="str">
        <f>HYPERLINK("https://www.boe.es/gazeta/dias/1814/07/23/pdfs/GMD-1814-102.pdf#page=4","Abrir facsímil")</f>
        <v>Abrir facsímil</v>
      </c>
      <c r="K5572" s="3" t="s">
        <v>64</v>
      </c>
    </row>
    <row r="5573" spans="1:11" ht="42" customHeight="1"/>
    <row r="5574" spans="1:11" ht="42" customHeight="1"/>
    <row r="5575" spans="1:11" ht="42" customHeight="1"/>
    <row r="5576" spans="1:11" ht="42" customHeight="1"/>
    <row r="5577" spans="1:11" ht="42" customHeight="1"/>
    <row r="5578" spans="1:11" ht="42" customHeight="1"/>
    <row r="5579" spans="1:11" ht="42" customHeight="1"/>
    <row r="5580" spans="1:11" ht="42" customHeight="1"/>
    <row r="5581" spans="1:11" ht="42" customHeight="1"/>
    <row r="5582" spans="1:11" ht="42" customHeight="1"/>
    <row r="5583" spans="1:11" ht="42" customHeight="1"/>
    <row r="5584" spans="1:11"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5572">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8" t="s">
        <v>12986</v>
      </c>
      <c r="B1" s="8"/>
      <c r="C1" s="8"/>
      <c r="D1" s="8"/>
      <c r="E1" s="8"/>
      <c r="F1" s="8"/>
    </row>
    <row r="2" spans="1:6" ht="21.95" customHeight="1">
      <c r="A2" s="12" t="s">
        <v>12987</v>
      </c>
      <c r="B2" s="12"/>
      <c r="C2" s="12"/>
      <c r="D2" s="12"/>
      <c r="E2" s="12"/>
      <c r="F2" s="12"/>
    </row>
    <row r="4" spans="1:6" ht="30" customHeight="1">
      <c r="A4" s="1" t="s">
        <v>8</v>
      </c>
      <c r="B4" s="1" t="s">
        <v>9</v>
      </c>
      <c r="C4" s="1" t="s">
        <v>12988</v>
      </c>
      <c r="D4" s="1" t="s">
        <v>12989</v>
      </c>
      <c r="E4" s="1" t="s">
        <v>12990</v>
      </c>
      <c r="F4" s="1" t="s">
        <v>12991</v>
      </c>
    </row>
    <row r="5" spans="1:6" ht="30.95" customHeight="1">
      <c r="A5" s="6">
        <v>-31409</v>
      </c>
      <c r="B5" s="2" t="s">
        <v>168</v>
      </c>
      <c r="C5" s="2" t="s">
        <v>12992</v>
      </c>
      <c r="D5" s="3">
        <v>8</v>
      </c>
      <c r="E5" s="3">
        <v>15</v>
      </c>
      <c r="F5" s="3" t="str">
        <f>HYPERLINK("https://www.boe.es/gazeta/dias/1814/01/01/pdfs/GRE-1814-1.pdf","Abrir PDF")</f>
        <v>Abrir PDF</v>
      </c>
    </row>
    <row r="6" spans="1:6" ht="30.95" customHeight="1">
      <c r="A6" s="6">
        <v>-31406</v>
      </c>
      <c r="B6" s="2" t="s">
        <v>1718</v>
      </c>
      <c r="C6" s="2" t="s">
        <v>12993</v>
      </c>
      <c r="D6" s="3">
        <v>8</v>
      </c>
      <c r="E6" s="3">
        <v>9</v>
      </c>
      <c r="F6" s="3" t="str">
        <f>HYPERLINK("https://www.boe.es/gazeta/dias/1814/01/04/pdfs/GRE-1814-2.pdf","Abrir PDF")</f>
        <v>Abrir PDF</v>
      </c>
    </row>
    <row r="7" spans="1:6" ht="30.95" customHeight="1">
      <c r="A7" s="6">
        <v>-31405</v>
      </c>
      <c r="B7" s="2" t="s">
        <v>1754</v>
      </c>
      <c r="C7" s="2" t="s">
        <v>12994</v>
      </c>
      <c r="D7" s="3">
        <v>8</v>
      </c>
      <c r="E7" s="3">
        <v>34</v>
      </c>
      <c r="F7" s="3" t="str">
        <f>HYPERLINK("https://www.boe.es/gazeta/dias/1814/01/05/pdfs/GRE-1814-5.pdf","Abrir PDF")</f>
        <v>Abrir PDF</v>
      </c>
    </row>
    <row r="8" spans="1:6" ht="30.95" customHeight="1">
      <c r="A8" s="6">
        <v>-31404</v>
      </c>
      <c r="B8" s="2" t="s">
        <v>630</v>
      </c>
      <c r="C8" s="2" t="s">
        <v>12995</v>
      </c>
      <c r="D8" s="3">
        <v>8</v>
      </c>
      <c r="E8" s="3">
        <v>39</v>
      </c>
      <c r="F8" s="3" t="str">
        <f>HYPERLINK("https://www.boe.es/gazeta/dias/1814/01/06/pdfs/GRE-1814-3.pdf","Abrir PDF")</f>
        <v>Abrir PDF</v>
      </c>
    </row>
    <row r="9" spans="1:6" ht="30.95" customHeight="1">
      <c r="A9" s="6">
        <v>-31404</v>
      </c>
      <c r="B9" s="2" t="s">
        <v>4587</v>
      </c>
      <c r="C9" s="2" t="s">
        <v>12996</v>
      </c>
      <c r="D9" s="3">
        <v>4</v>
      </c>
      <c r="E9" s="3">
        <v>4</v>
      </c>
      <c r="F9" s="3" t="str">
        <f>HYPERLINK("https://www.boe.es/gazeta/dias/1814/01/06/pdfs/GRE-1814-4E.pdf","Abrir PDF")</f>
        <v>Abrir PDF</v>
      </c>
    </row>
    <row r="10" spans="1:6" ht="30.95" customHeight="1">
      <c r="A10" s="6">
        <v>-31402</v>
      </c>
      <c r="B10" s="2" t="s">
        <v>1754</v>
      </c>
      <c r="C10" s="2" t="s">
        <v>12994</v>
      </c>
      <c r="D10" s="3">
        <v>8</v>
      </c>
      <c r="E10" s="3">
        <v>34</v>
      </c>
      <c r="F10" s="3" t="str">
        <f>HYPERLINK("https://www.boe.es/gazeta/dias/1814/01/08/pdfs/GRE-1814-5.pdf","Abrir PDF")</f>
        <v>Abrir PDF</v>
      </c>
    </row>
    <row r="11" spans="1:6" ht="30.95" customHeight="1">
      <c r="A11" s="6">
        <v>-31399</v>
      </c>
      <c r="B11" s="2" t="s">
        <v>218</v>
      </c>
      <c r="C11" s="2" t="s">
        <v>12997</v>
      </c>
      <c r="D11" s="3">
        <v>8</v>
      </c>
      <c r="E11" s="3">
        <v>45</v>
      </c>
      <c r="F11" s="3" t="str">
        <f>HYPERLINK("https://www.boe.es/gazeta/dias/1814/01/11/pdfs/GRE-1814-6.pdf","Abrir PDF")</f>
        <v>Abrir PDF</v>
      </c>
    </row>
    <row r="12" spans="1:6" ht="30.95" customHeight="1">
      <c r="A12" s="6">
        <v>-31397</v>
      </c>
      <c r="B12" s="2" t="s">
        <v>929</v>
      </c>
      <c r="C12" s="2" t="s">
        <v>12998</v>
      </c>
      <c r="D12" s="3">
        <v>8</v>
      </c>
      <c r="E12" s="3">
        <v>11</v>
      </c>
      <c r="F12" s="3" t="str">
        <f>HYPERLINK("https://www.boe.es/gazeta/dias/1814/01/13/pdfs/GRE-1814-7.pdf","Abrir PDF")</f>
        <v>Abrir PDF</v>
      </c>
    </row>
    <row r="13" spans="1:6" ht="30.95" customHeight="1">
      <c r="A13" s="6">
        <v>-31395</v>
      </c>
      <c r="B13" s="2" t="s">
        <v>662</v>
      </c>
      <c r="C13" s="2" t="s">
        <v>12999</v>
      </c>
      <c r="D13" s="3">
        <v>8</v>
      </c>
      <c r="E13" s="3">
        <v>38</v>
      </c>
      <c r="F13" s="3" t="str">
        <f>HYPERLINK("https://www.boe.es/gazeta/dias/1814/01/15/pdfs/GRE-1814-8.pdf","Abrir PDF")</f>
        <v>Abrir PDF</v>
      </c>
    </row>
    <row r="14" spans="1:6" ht="30.95" customHeight="1">
      <c r="A14" s="6">
        <v>-31392</v>
      </c>
      <c r="B14" s="2" t="s">
        <v>195</v>
      </c>
      <c r="C14" s="2" t="s">
        <v>13000</v>
      </c>
      <c r="D14" s="3">
        <v>8</v>
      </c>
      <c r="E14" s="3">
        <v>31</v>
      </c>
      <c r="F14" s="3" t="str">
        <f>HYPERLINK("https://www.boe.es/gazeta/dias/1814/01/18/pdfs/GRE-1814-9.pdf","Abrir PDF")</f>
        <v>Abrir PDF</v>
      </c>
    </row>
    <row r="15" spans="1:6" ht="30.95" customHeight="1">
      <c r="A15" s="6">
        <v>-31390</v>
      </c>
      <c r="B15" s="2" t="s">
        <v>349</v>
      </c>
      <c r="C15" s="2" t="s">
        <v>13001</v>
      </c>
      <c r="D15" s="3">
        <v>8</v>
      </c>
      <c r="E15" s="3">
        <v>35</v>
      </c>
      <c r="F15" s="3" t="str">
        <f>HYPERLINK("https://www.boe.es/gazeta/dias/1814/01/20/pdfs/GRE-1814-10.pdf","Abrir PDF")</f>
        <v>Abrir PDF</v>
      </c>
    </row>
    <row r="16" spans="1:6" ht="30.95" customHeight="1">
      <c r="A16" s="6">
        <v>-31388</v>
      </c>
      <c r="B16" s="2" t="s">
        <v>1299</v>
      </c>
      <c r="C16" s="2" t="s">
        <v>13002</v>
      </c>
      <c r="D16" s="3">
        <v>8</v>
      </c>
      <c r="E16" s="3">
        <v>27</v>
      </c>
      <c r="F16" s="3" t="str">
        <f>HYPERLINK("https://www.boe.es/gazeta/dias/1814/01/22/pdfs/GRE-1814-11.pdf","Abrir PDF")</f>
        <v>Abrir PDF</v>
      </c>
    </row>
    <row r="17" spans="1:6" ht="30.95" customHeight="1">
      <c r="A17" s="6">
        <v>-31385</v>
      </c>
      <c r="B17" s="2" t="s">
        <v>783</v>
      </c>
      <c r="C17" s="2" t="s">
        <v>13003</v>
      </c>
      <c r="D17" s="3">
        <v>8</v>
      </c>
      <c r="E17" s="3">
        <v>31</v>
      </c>
      <c r="F17" s="3" t="str">
        <f>HYPERLINK("https://www.boe.es/gazeta/dias/1814/01/25/pdfs/GRE-1814-12.pdf","Abrir PDF")</f>
        <v>Abrir PDF</v>
      </c>
    </row>
    <row r="18" spans="1:6" ht="30.95" customHeight="1">
      <c r="A18" s="6">
        <v>-31383</v>
      </c>
      <c r="B18" s="2" t="s">
        <v>715</v>
      </c>
      <c r="C18" s="2" t="s">
        <v>13004</v>
      </c>
      <c r="D18" s="3">
        <v>8</v>
      </c>
      <c r="E18" s="3">
        <v>38</v>
      </c>
      <c r="F18" s="3" t="str">
        <f>HYPERLINK("https://www.boe.es/gazeta/dias/1814/01/27/pdfs/GRE-1814-13.pdf","Abrir PDF")</f>
        <v>Abrir PDF</v>
      </c>
    </row>
    <row r="19" spans="1:6" ht="30.95" customHeight="1">
      <c r="A19" s="6">
        <v>-31381</v>
      </c>
      <c r="B19" s="2" t="s">
        <v>989</v>
      </c>
      <c r="C19" s="2" t="s">
        <v>13005</v>
      </c>
      <c r="D19" s="3">
        <v>8</v>
      </c>
      <c r="E19" s="3">
        <v>27</v>
      </c>
      <c r="F19" s="3" t="str">
        <f>HYPERLINK("https://www.boe.es/gazeta/dias/1814/01/29/pdfs/GRE-1814-14.pdf","Abrir PDF")</f>
        <v>Abrir PDF</v>
      </c>
    </row>
    <row r="20" spans="1:6" ht="30.95" customHeight="1">
      <c r="A20" s="6">
        <v>-31378</v>
      </c>
      <c r="B20" s="2" t="s">
        <v>98</v>
      </c>
      <c r="C20" s="2" t="s">
        <v>13006</v>
      </c>
      <c r="D20" s="3">
        <v>8</v>
      </c>
      <c r="E20" s="3">
        <v>13</v>
      </c>
      <c r="F20" s="3" t="str">
        <f>HYPERLINK("https://www.boe.es/gazeta/dias/1814/02/01/pdfs/GRE-1814-15.pdf","Abrir PDF")</f>
        <v>Abrir PDF</v>
      </c>
    </row>
    <row r="21" spans="1:6" ht="30.95" customHeight="1">
      <c r="A21" s="6">
        <v>-31376</v>
      </c>
      <c r="B21" s="2" t="s">
        <v>1954</v>
      </c>
      <c r="C21" s="2" t="s">
        <v>13007</v>
      </c>
      <c r="D21" s="3">
        <v>8</v>
      </c>
      <c r="E21" s="3">
        <v>19</v>
      </c>
      <c r="F21" s="3" t="str">
        <f>HYPERLINK("https://www.boe.es/gazeta/dias/1814/02/03/pdfs/GRE-1814-16.pdf","Abrir PDF")</f>
        <v>Abrir PDF</v>
      </c>
    </row>
    <row r="22" spans="1:6" ht="30.95" customHeight="1">
      <c r="A22" s="6">
        <v>-31374</v>
      </c>
      <c r="B22" s="2" t="s">
        <v>474</v>
      </c>
      <c r="C22" s="2" t="s">
        <v>13008</v>
      </c>
      <c r="D22" s="3">
        <v>8</v>
      </c>
      <c r="E22" s="3">
        <v>26</v>
      </c>
      <c r="F22" s="3" t="str">
        <f>HYPERLINK("https://www.boe.es/gazeta/dias/1814/02/05/pdfs/GRE-1814-17.pdf","Abrir PDF")</f>
        <v>Abrir PDF</v>
      </c>
    </row>
    <row r="23" spans="1:6" ht="30.95" customHeight="1">
      <c r="A23" s="6">
        <v>-31371</v>
      </c>
      <c r="B23" s="2" t="s">
        <v>1017</v>
      </c>
      <c r="C23" s="2" t="s">
        <v>13009</v>
      </c>
      <c r="D23" s="3">
        <v>8</v>
      </c>
      <c r="E23" s="3">
        <v>27</v>
      </c>
      <c r="F23" s="3" t="str">
        <f>HYPERLINK("https://www.boe.es/gazeta/dias/1814/02/08/pdfs/GRE-1814-18.pdf","Abrir PDF")</f>
        <v>Abrir PDF</v>
      </c>
    </row>
    <row r="24" spans="1:6" ht="30.95" customHeight="1">
      <c r="A24" s="6">
        <v>-31371</v>
      </c>
      <c r="B24" s="2" t="s">
        <v>476</v>
      </c>
      <c r="C24" s="2" t="s">
        <v>13010</v>
      </c>
      <c r="D24" s="3">
        <v>8</v>
      </c>
      <c r="E24" s="3">
        <v>74</v>
      </c>
      <c r="F24" s="3" t="str">
        <f>HYPERLINK("https://www.boe.es/gazeta/dias/1814/02/08/pdfs/GRE-1814-31.pdf","Abrir PDF")</f>
        <v>Abrir PDF</v>
      </c>
    </row>
    <row r="25" spans="1:6" ht="30.95" customHeight="1">
      <c r="A25" s="6">
        <v>-31369</v>
      </c>
      <c r="B25" s="2" t="s">
        <v>695</v>
      </c>
      <c r="C25" s="2" t="s">
        <v>13011</v>
      </c>
      <c r="D25" s="3">
        <v>8</v>
      </c>
      <c r="E25" s="3">
        <v>32</v>
      </c>
      <c r="F25" s="3" t="str">
        <f>HYPERLINK("https://www.boe.es/gazeta/dias/1814/02/10/pdfs/GRE-1814-19.pdf","Abrir PDF")</f>
        <v>Abrir PDF</v>
      </c>
    </row>
    <row r="26" spans="1:6" ht="30.95" customHeight="1">
      <c r="A26" s="6">
        <v>-31367</v>
      </c>
      <c r="B26" s="2" t="s">
        <v>857</v>
      </c>
      <c r="C26" s="2" t="s">
        <v>13012</v>
      </c>
      <c r="D26" s="3">
        <v>8</v>
      </c>
      <c r="E26" s="3">
        <v>29</v>
      </c>
      <c r="F26" s="3" t="str">
        <f>HYPERLINK("https://www.boe.es/gazeta/dias/1814/02/12/pdfs/GRE-1814-20.pdf","Abrir PDF")</f>
        <v>Abrir PDF</v>
      </c>
    </row>
    <row r="27" spans="1:6" ht="30.95" customHeight="1">
      <c r="A27" s="6">
        <v>-31364</v>
      </c>
      <c r="B27" s="2" t="s">
        <v>594</v>
      </c>
      <c r="C27" s="2" t="s">
        <v>13013</v>
      </c>
      <c r="D27" s="3">
        <v>8</v>
      </c>
      <c r="E27" s="3">
        <v>39</v>
      </c>
      <c r="F27" s="3" t="str">
        <f>HYPERLINK("https://www.boe.es/gazeta/dias/1814/02/15/pdfs/GRE-1814-21.pdf","Abrir PDF")</f>
        <v>Abrir PDF</v>
      </c>
    </row>
    <row r="28" spans="1:6" ht="30.95" customHeight="1">
      <c r="A28" s="6">
        <v>-31362</v>
      </c>
      <c r="B28" s="2" t="s">
        <v>302</v>
      </c>
      <c r="C28" s="2" t="s">
        <v>13014</v>
      </c>
      <c r="D28" s="3">
        <v>8</v>
      </c>
      <c r="E28" s="3">
        <v>36</v>
      </c>
      <c r="F28" s="3" t="str">
        <f>HYPERLINK("https://www.boe.es/gazeta/dias/1814/02/17/pdfs/GRE-1814-22.pdf","Abrir PDF")</f>
        <v>Abrir PDF</v>
      </c>
    </row>
    <row r="29" spans="1:6" ht="30.95" customHeight="1">
      <c r="A29" s="6">
        <v>-31360</v>
      </c>
      <c r="B29" s="2" t="s">
        <v>480</v>
      </c>
      <c r="C29" s="2" t="s">
        <v>13015</v>
      </c>
      <c r="D29" s="3">
        <v>8</v>
      </c>
      <c r="E29" s="3">
        <v>39</v>
      </c>
      <c r="F29" s="3" t="str">
        <f>HYPERLINK("https://www.boe.es/gazeta/dias/1814/02/19/pdfs/GRE-1814-23.pdf","Abrir PDF")</f>
        <v>Abrir PDF</v>
      </c>
    </row>
    <row r="30" spans="1:6" ht="30.95" customHeight="1">
      <c r="A30" s="6">
        <v>-31359</v>
      </c>
      <c r="B30" s="2" t="s">
        <v>11448</v>
      </c>
      <c r="C30" s="2" t="s">
        <v>13016</v>
      </c>
      <c r="D30" s="3">
        <v>1</v>
      </c>
      <c r="E30" s="3">
        <v>2</v>
      </c>
      <c r="F30" s="3" t="str">
        <f>HYPERLINK("https://www.boe.es/gazeta/dias/1814/02/20/pdfs/GRE-1814-24E.pdf","Abrir PDF")</f>
        <v>Abrir PDF</v>
      </c>
    </row>
    <row r="31" spans="1:6" ht="30.95" customHeight="1">
      <c r="A31" s="6">
        <v>-31357</v>
      </c>
      <c r="B31" s="2" t="s">
        <v>1460</v>
      </c>
      <c r="C31" s="2" t="s">
        <v>13017</v>
      </c>
      <c r="D31" s="3">
        <v>8</v>
      </c>
      <c r="E31" s="3">
        <v>17</v>
      </c>
      <c r="F31" s="3" t="str">
        <f>HYPERLINK("https://www.boe.es/gazeta/dias/1814/02/22/pdfs/GRE-1814-25.pdf","Abrir PDF")</f>
        <v>Abrir PDF</v>
      </c>
    </row>
    <row r="32" spans="1:6" ht="30.95" customHeight="1">
      <c r="A32" s="6">
        <v>-31355</v>
      </c>
      <c r="B32" s="2" t="s">
        <v>50</v>
      </c>
      <c r="C32" s="2" t="s">
        <v>13018</v>
      </c>
      <c r="D32" s="3">
        <v>8</v>
      </c>
      <c r="E32" s="3">
        <v>49</v>
      </c>
      <c r="F32" s="3" t="str">
        <f>HYPERLINK("https://www.boe.es/gazeta/dias/1814/02/24/pdfs/GRE-1814-26.pdf","Abrir PDF")</f>
        <v>Abrir PDF</v>
      </c>
    </row>
    <row r="33" spans="1:6" ht="30.95" customHeight="1">
      <c r="A33" s="6">
        <v>-31353</v>
      </c>
      <c r="B33" s="2" t="s">
        <v>247</v>
      </c>
      <c r="C33" s="2" t="s">
        <v>13019</v>
      </c>
      <c r="D33" s="3">
        <v>8</v>
      </c>
      <c r="E33" s="3">
        <v>43</v>
      </c>
      <c r="F33" s="3" t="str">
        <f>HYPERLINK("https://www.boe.es/gazeta/dias/1814/02/26/pdfs/GRE-1814-27.pdf","Abrir PDF")</f>
        <v>Abrir PDF</v>
      </c>
    </row>
    <row r="34" spans="1:6" ht="30.95" customHeight="1">
      <c r="A34" s="6">
        <v>-31350</v>
      </c>
      <c r="B34" s="2" t="s">
        <v>377</v>
      </c>
      <c r="C34" s="2" t="s">
        <v>13020</v>
      </c>
      <c r="D34" s="3">
        <v>8</v>
      </c>
      <c r="E34" s="3">
        <v>41</v>
      </c>
      <c r="F34" s="3" t="str">
        <f>HYPERLINK("https://www.boe.es/gazeta/dias/1814/03/01/pdfs/GRE-1814-28.pdf","Abrir PDF")</f>
        <v>Abrir PDF</v>
      </c>
    </row>
    <row r="35" spans="1:6" ht="30.95" customHeight="1">
      <c r="A35" s="6">
        <v>-31348</v>
      </c>
      <c r="B35" s="2" t="s">
        <v>898</v>
      </c>
      <c r="C35" s="2" t="s">
        <v>13021</v>
      </c>
      <c r="D35" s="3">
        <v>8</v>
      </c>
      <c r="E35" s="3">
        <v>29</v>
      </c>
      <c r="F35" s="3" t="str">
        <f>HYPERLINK("https://www.boe.es/gazeta/dias/1814/03/03/pdfs/GRE-1814-29.pdf","Abrir PDF")</f>
        <v>Abrir PDF</v>
      </c>
    </row>
    <row r="36" spans="1:6" ht="30.95" customHeight="1">
      <c r="A36" s="6">
        <v>-31346</v>
      </c>
      <c r="B36" s="2" t="s">
        <v>78</v>
      </c>
      <c r="C36" s="2" t="s">
        <v>13022</v>
      </c>
      <c r="D36" s="3">
        <v>8</v>
      </c>
      <c r="E36" s="3">
        <v>45</v>
      </c>
      <c r="F36" s="3" t="str">
        <f>HYPERLINK("https://www.boe.es/gazeta/dias/1814/03/05/pdfs/GRE-1814-30.pdf","Abrir PDF")</f>
        <v>Abrir PDF</v>
      </c>
    </row>
    <row r="37" spans="1:6" ht="30.95" customHeight="1">
      <c r="A37" s="6">
        <v>-31343</v>
      </c>
      <c r="B37" s="2" t="s">
        <v>476</v>
      </c>
      <c r="C37" s="2" t="s">
        <v>13010</v>
      </c>
      <c r="D37" s="3">
        <v>8</v>
      </c>
      <c r="E37" s="3">
        <v>74</v>
      </c>
      <c r="F37" s="3" t="str">
        <f>HYPERLINK("https://www.boe.es/gazeta/dias/1814/03/08/pdfs/GRE-1814-31.pdf","Abrir PDF")</f>
        <v>Abrir PDF</v>
      </c>
    </row>
    <row r="38" spans="1:6" ht="30.95" customHeight="1">
      <c r="A38" s="6">
        <v>-31342</v>
      </c>
      <c r="B38" s="2" t="s">
        <v>4519</v>
      </c>
      <c r="C38" s="2" t="s">
        <v>13023</v>
      </c>
      <c r="D38" s="3">
        <v>1</v>
      </c>
      <c r="E38" s="3">
        <v>2</v>
      </c>
      <c r="F38" s="3" t="str">
        <f>HYPERLINK("https://www.boe.es/gazeta/dias/1814/03/09/pdfs/GRE-1814-32E.pdf","Abrir PDF")</f>
        <v>Abrir PDF</v>
      </c>
    </row>
    <row r="39" spans="1:6" ht="30.95" customHeight="1">
      <c r="A39" s="6">
        <v>-31341</v>
      </c>
      <c r="B39" s="2" t="s">
        <v>360</v>
      </c>
      <c r="C39" s="2" t="s">
        <v>13024</v>
      </c>
      <c r="D39" s="3">
        <v>8</v>
      </c>
      <c r="E39" s="3">
        <v>28</v>
      </c>
      <c r="F39" s="3" t="str">
        <f>HYPERLINK("https://www.boe.es/gazeta/dias/1814/03/10/pdfs/GRE-1814-33.pdf","Abrir PDF")</f>
        <v>Abrir PDF</v>
      </c>
    </row>
    <row r="40" spans="1:6" ht="30.95" customHeight="1">
      <c r="A40" s="6">
        <v>-31341</v>
      </c>
      <c r="B40" s="2" t="s">
        <v>354</v>
      </c>
      <c r="C40" s="2" t="s">
        <v>13025</v>
      </c>
      <c r="D40" s="3">
        <v>8</v>
      </c>
      <c r="E40" s="3">
        <v>43</v>
      </c>
      <c r="F40" s="3" t="str">
        <f>HYPERLINK("https://www.boe.es/gazeta/dias/1814/03/10/pdfs/GRE-1814-34E.pdf","Abrir PDF")</f>
        <v>Abrir PDF</v>
      </c>
    </row>
    <row r="41" spans="1:6" ht="30.95" customHeight="1">
      <c r="A41" s="6">
        <v>-31340</v>
      </c>
      <c r="B41" s="2" t="s">
        <v>13026</v>
      </c>
      <c r="C41" s="2" t="s">
        <v>13027</v>
      </c>
      <c r="D41" s="3">
        <v>0</v>
      </c>
      <c r="E41" s="3">
        <v>0</v>
      </c>
      <c r="F41" s="3" t="str">
        <f>HYPERLINK("https://www.boe.es/gazeta/dias/1814/03/11/pdfs/GRE-1814-34.pdf","Abrir PDF")</f>
        <v>Abrir PDF</v>
      </c>
    </row>
    <row r="42" spans="1:6" ht="30.95" customHeight="1">
      <c r="A42" s="6">
        <v>-31339</v>
      </c>
      <c r="B42" s="2" t="s">
        <v>641</v>
      </c>
      <c r="C42" s="2" t="s">
        <v>13028</v>
      </c>
      <c r="D42" s="3">
        <v>8</v>
      </c>
      <c r="E42" s="3">
        <v>22</v>
      </c>
      <c r="F42" s="3" t="str">
        <f>HYPERLINK("https://www.boe.es/gazeta/dias/1814/03/12/pdfs/GRE-1814-35.pdf","Abrir PDF")</f>
        <v>Abrir PDF</v>
      </c>
    </row>
    <row r="43" spans="1:6" ht="30.95" customHeight="1">
      <c r="A43" s="6">
        <v>-31336</v>
      </c>
      <c r="B43" s="2" t="s">
        <v>1789</v>
      </c>
      <c r="C43" s="2" t="s">
        <v>13029</v>
      </c>
      <c r="D43" s="3">
        <v>8</v>
      </c>
      <c r="E43" s="3">
        <v>19</v>
      </c>
      <c r="F43" s="3" t="str">
        <f>HYPERLINK("https://www.boe.es/gazeta/dias/1814/03/15/pdfs/GRE-1814-36.pdf","Abrir PDF")</f>
        <v>Abrir PDF</v>
      </c>
    </row>
    <row r="44" spans="1:6" ht="30.95" customHeight="1">
      <c r="A44" s="6">
        <v>-31334</v>
      </c>
      <c r="B44" s="2" t="s">
        <v>482</v>
      </c>
      <c r="C44" s="2" t="s">
        <v>13030</v>
      </c>
      <c r="D44" s="3">
        <v>8</v>
      </c>
      <c r="E44" s="3">
        <v>40</v>
      </c>
      <c r="F44" s="3" t="str">
        <f>HYPERLINK("https://www.boe.es/gazeta/dias/1814/03/17/pdfs/GRE-1814-37.pdf","Abrir PDF")</f>
        <v>Abrir PDF</v>
      </c>
    </row>
    <row r="45" spans="1:6" ht="30.95" customHeight="1">
      <c r="A45" s="6">
        <v>-31332</v>
      </c>
      <c r="B45" s="2" t="s">
        <v>343</v>
      </c>
      <c r="C45" s="2" t="s">
        <v>13031</v>
      </c>
      <c r="D45" s="3">
        <v>8</v>
      </c>
      <c r="E45" s="3">
        <v>16</v>
      </c>
      <c r="F45" s="3" t="str">
        <f>HYPERLINK("https://www.boe.es/gazeta/dias/1814/03/19/pdfs/GRE-1814-38.pdf","Abrir PDF")</f>
        <v>Abrir PDF</v>
      </c>
    </row>
    <row r="46" spans="1:6" ht="30.95" customHeight="1">
      <c r="A46" s="6">
        <v>-31329</v>
      </c>
      <c r="B46" s="2" t="s">
        <v>621</v>
      </c>
      <c r="C46" s="2" t="s">
        <v>13032</v>
      </c>
      <c r="D46" s="3">
        <v>8</v>
      </c>
      <c r="E46" s="3">
        <v>60</v>
      </c>
      <c r="F46" s="3" t="str">
        <f>HYPERLINK("https://www.boe.es/gazeta/dias/1814/03/22/pdfs/GRE-1814-39.pdf","Abrir PDF")</f>
        <v>Abrir PDF</v>
      </c>
    </row>
    <row r="47" spans="1:6" ht="30.95" customHeight="1">
      <c r="A47" s="6">
        <v>-31328</v>
      </c>
      <c r="B47" s="2" t="s">
        <v>442</v>
      </c>
      <c r="C47" s="2" t="s">
        <v>13033</v>
      </c>
      <c r="D47" s="3">
        <v>8</v>
      </c>
      <c r="E47" s="3">
        <v>50</v>
      </c>
      <c r="F47" s="3" t="str">
        <f>HYPERLINK("https://www.boe.es/gazeta/dias/1814/03/23/pdfs/GRE-1814-40E.pdf","Abrir PDF")</f>
        <v>Abrir PDF</v>
      </c>
    </row>
    <row r="48" spans="1:6" ht="30.95" customHeight="1">
      <c r="A48" s="6">
        <v>-31327</v>
      </c>
      <c r="B48" s="2" t="s">
        <v>180</v>
      </c>
      <c r="C48" s="2" t="s">
        <v>13034</v>
      </c>
      <c r="D48" s="3">
        <v>8</v>
      </c>
      <c r="E48" s="3">
        <v>48</v>
      </c>
      <c r="F48" s="3" t="str">
        <f>HYPERLINK("https://www.boe.es/gazeta/dias/1814/03/24/pdfs/GRE-1814-41.pdf","Abrir PDF")</f>
        <v>Abrir PDF</v>
      </c>
    </row>
    <row r="49" spans="1:6" ht="30.95" customHeight="1">
      <c r="A49" s="6">
        <v>-31327</v>
      </c>
      <c r="B49" s="2" t="s">
        <v>9315</v>
      </c>
      <c r="C49" s="2" t="s">
        <v>13035</v>
      </c>
      <c r="D49" s="3">
        <v>1</v>
      </c>
      <c r="E49" s="3">
        <v>2</v>
      </c>
      <c r="F49" s="3" t="str">
        <f>HYPERLINK("https://www.boe.es/gazeta/dias/1814/03/24/pdfs/GRE-1814-42E.pdf","Abrir PDF")</f>
        <v>Abrir PDF</v>
      </c>
    </row>
    <row r="50" spans="1:6" ht="30.95" customHeight="1">
      <c r="A50" s="6">
        <v>-31325</v>
      </c>
      <c r="B50" s="2" t="s">
        <v>67</v>
      </c>
      <c r="C50" s="2" t="s">
        <v>13036</v>
      </c>
      <c r="D50" s="3">
        <v>8</v>
      </c>
      <c r="E50" s="3">
        <v>51</v>
      </c>
      <c r="F50" s="3" t="str">
        <f>HYPERLINK("https://www.boe.es/gazeta/dias/1814/03/26/pdfs/GRE-1814-43.pdf","Abrir PDF")</f>
        <v>Abrir PDF</v>
      </c>
    </row>
    <row r="51" spans="1:6" ht="30.95" customHeight="1">
      <c r="A51" s="6">
        <v>-31322</v>
      </c>
      <c r="B51" s="2" t="s">
        <v>114</v>
      </c>
      <c r="C51" s="2" t="s">
        <v>13037</v>
      </c>
      <c r="D51" s="3">
        <v>8</v>
      </c>
      <c r="E51" s="3">
        <v>44</v>
      </c>
      <c r="F51" s="3" t="str">
        <f>HYPERLINK("https://www.boe.es/gazeta/dias/1814/03/29/pdfs/GRE-1814-44.pdf","Abrir PDF")</f>
        <v>Abrir PDF</v>
      </c>
    </row>
    <row r="52" spans="1:6" ht="30.95" customHeight="1">
      <c r="A52" s="6">
        <v>-31322</v>
      </c>
      <c r="B52" s="2" t="s">
        <v>883</v>
      </c>
      <c r="C52" s="2" t="s">
        <v>13038</v>
      </c>
      <c r="D52" s="3">
        <v>1</v>
      </c>
      <c r="E52" s="3">
        <v>6</v>
      </c>
      <c r="F52" s="3" t="str">
        <f>HYPERLINK("https://www.boe.es/gazeta/dias/1814/03/29/pdfs/GRE-1814-45E.pdf","Abrir PDF")</f>
        <v>Abrir PDF</v>
      </c>
    </row>
    <row r="53" spans="1:6" ht="30.95" customHeight="1">
      <c r="A53" s="6">
        <v>-31320</v>
      </c>
      <c r="B53" s="2" t="s">
        <v>40</v>
      </c>
      <c r="C53" s="2" t="s">
        <v>13039</v>
      </c>
      <c r="D53" s="3">
        <v>8</v>
      </c>
      <c r="E53" s="3">
        <v>37</v>
      </c>
      <c r="F53" s="3" t="str">
        <f>HYPERLINK("https://www.boe.es/gazeta/dias/1814/03/31/pdfs/GRE-1814-46.pdf","Abrir PDF")</f>
        <v>Abrir PDF</v>
      </c>
    </row>
    <row r="54" spans="1:6" ht="30.95" customHeight="1">
      <c r="A54" s="6">
        <v>-31318</v>
      </c>
      <c r="B54" s="2" t="s">
        <v>400</v>
      </c>
      <c r="C54" s="2" t="s">
        <v>13040</v>
      </c>
      <c r="D54" s="3">
        <v>8</v>
      </c>
      <c r="E54" s="3">
        <v>47</v>
      </c>
      <c r="F54" s="3" t="str">
        <f>HYPERLINK("https://www.boe.es/gazeta/dias/1814/04/02/pdfs/GRE-1814-47.pdf","Abrir PDF")</f>
        <v>Abrir PDF</v>
      </c>
    </row>
    <row r="55" spans="1:6" ht="30.95" customHeight="1">
      <c r="A55" s="6">
        <v>-31317</v>
      </c>
      <c r="B55" s="2" t="s">
        <v>2780</v>
      </c>
      <c r="C55" s="2" t="s">
        <v>13041</v>
      </c>
      <c r="D55" s="3">
        <v>2</v>
      </c>
      <c r="E55" s="3">
        <v>6</v>
      </c>
      <c r="F55" s="3" t="str">
        <f>HYPERLINK("https://www.boe.es/gazeta/dias/1814/04/03/pdfs/GRE-1814-48E.pdf","Abrir PDF")</f>
        <v>Abrir PDF</v>
      </c>
    </row>
    <row r="56" spans="1:6" ht="30.95" customHeight="1">
      <c r="A56" s="6">
        <v>-31315</v>
      </c>
      <c r="B56" s="2" t="s">
        <v>645</v>
      </c>
      <c r="C56" s="2" t="s">
        <v>13042</v>
      </c>
      <c r="D56" s="3">
        <v>8</v>
      </c>
      <c r="E56" s="3">
        <v>46</v>
      </c>
      <c r="F56" s="3" t="str">
        <f>HYPERLINK("https://www.boe.es/gazeta/dias/1814/04/05/pdfs/GRE-1814-49.pdf","Abrir PDF")</f>
        <v>Abrir PDF</v>
      </c>
    </row>
    <row r="57" spans="1:6" ht="30.95" customHeight="1">
      <c r="A57" s="6">
        <v>-31313</v>
      </c>
      <c r="B57" s="2" t="s">
        <v>239</v>
      </c>
      <c r="C57" s="2" t="s">
        <v>13043</v>
      </c>
      <c r="D57" s="3">
        <v>8</v>
      </c>
      <c r="E57" s="3">
        <v>24</v>
      </c>
      <c r="F57" s="3" t="str">
        <f>HYPERLINK("https://www.boe.es/gazeta/dias/1814/04/07/pdfs/GRE-1814-50.pdf","Abrir PDF")</f>
        <v>Abrir PDF</v>
      </c>
    </row>
    <row r="58" spans="1:6" ht="30.95" customHeight="1">
      <c r="A58" s="6">
        <v>-31311</v>
      </c>
      <c r="B58" s="2" t="s">
        <v>3144</v>
      </c>
      <c r="C58" s="2" t="s">
        <v>13044</v>
      </c>
      <c r="D58" s="3">
        <v>8</v>
      </c>
      <c r="E58" s="3">
        <v>18</v>
      </c>
      <c r="F58" s="3" t="str">
        <f>HYPERLINK("https://www.boe.es/gazeta/dias/1814/04/09/pdfs/GRE-1814-51.pdf","Abrir PDF")</f>
        <v>Abrir PDF</v>
      </c>
    </row>
    <row r="59" spans="1:6" ht="30.95" customHeight="1">
      <c r="A59" s="6">
        <v>-31308</v>
      </c>
      <c r="B59" s="2" t="s">
        <v>210</v>
      </c>
      <c r="C59" s="2" t="s">
        <v>13045</v>
      </c>
      <c r="D59" s="3">
        <v>8</v>
      </c>
      <c r="E59" s="3">
        <v>38</v>
      </c>
      <c r="F59" s="3" t="str">
        <f>HYPERLINK("https://www.boe.es/gazeta/dias/1814/04/12/pdfs/GRE-1814-52.pdf","Abrir PDF")</f>
        <v>Abrir PDF</v>
      </c>
    </row>
    <row r="60" spans="1:6" ht="30.95" customHeight="1">
      <c r="A60" s="6">
        <v>-31306</v>
      </c>
      <c r="B60" s="2" t="s">
        <v>670</v>
      </c>
      <c r="C60" s="2" t="s">
        <v>13046</v>
      </c>
      <c r="D60" s="3">
        <v>8</v>
      </c>
      <c r="E60" s="3">
        <v>25</v>
      </c>
      <c r="F60" s="3" t="str">
        <f>HYPERLINK("https://www.boe.es/gazeta/dias/1814/04/14/pdfs/GRE-1814-53.pdf","Abrir PDF")</f>
        <v>Abrir PDF</v>
      </c>
    </row>
    <row r="61" spans="1:6" ht="30.95" customHeight="1">
      <c r="A61" s="6">
        <v>-31305</v>
      </c>
      <c r="B61" s="2" t="s">
        <v>3464</v>
      </c>
      <c r="C61" s="2" t="s">
        <v>13047</v>
      </c>
      <c r="D61" s="3">
        <v>1</v>
      </c>
      <c r="E61" s="3">
        <v>1</v>
      </c>
      <c r="F61" s="3" t="str">
        <f>HYPERLINK("https://www.boe.es/gazeta/dias/1814/04/15/pdfs/GRE-1814-54E.pdf","Abrir PDF")</f>
        <v>Abrir PDF</v>
      </c>
    </row>
    <row r="62" spans="1:6" ht="30.95" customHeight="1">
      <c r="A62" s="6">
        <v>-31304</v>
      </c>
      <c r="B62" s="2" t="s">
        <v>1964</v>
      </c>
      <c r="C62" s="2" t="s">
        <v>13048</v>
      </c>
      <c r="D62" s="3">
        <v>8</v>
      </c>
      <c r="E62" s="3">
        <v>24</v>
      </c>
      <c r="F62" s="3" t="str">
        <f>HYPERLINK("https://www.boe.es/gazeta/dias/1814/04/16/pdfs/GRE-1814-55.pdf","Abrir PDF")</f>
        <v>Abrir PDF</v>
      </c>
    </row>
    <row r="63" spans="1:6" ht="30.95" customHeight="1">
      <c r="A63" s="6">
        <v>-31301</v>
      </c>
      <c r="B63" s="2" t="s">
        <v>81</v>
      </c>
      <c r="C63" s="2" t="s">
        <v>13049</v>
      </c>
      <c r="D63" s="3">
        <v>8</v>
      </c>
      <c r="E63" s="3">
        <v>51</v>
      </c>
      <c r="F63" s="3" t="str">
        <f>HYPERLINK("https://www.boe.es/gazeta/dias/1814/04/19/pdfs/GRE-1814-56.pdf","Abrir PDF")</f>
        <v>Abrir PDF</v>
      </c>
    </row>
    <row r="64" spans="1:6" ht="30.95" customHeight="1">
      <c r="A64" s="6">
        <v>-31299</v>
      </c>
      <c r="B64" s="2" t="s">
        <v>71</v>
      </c>
      <c r="C64" s="2" t="s">
        <v>13050</v>
      </c>
      <c r="D64" s="3">
        <v>8</v>
      </c>
      <c r="E64" s="3">
        <v>30</v>
      </c>
      <c r="F64" s="3" t="str">
        <f>HYPERLINK("https://www.boe.es/gazeta/dias/1814/04/21/pdfs/GRE-1814-57.pdf","Abrir PDF")</f>
        <v>Abrir PDF</v>
      </c>
    </row>
    <row r="65" spans="1:6" ht="30.95" customHeight="1">
      <c r="A65" s="6">
        <v>-31299</v>
      </c>
      <c r="B65" s="2" t="s">
        <v>484</v>
      </c>
      <c r="C65" s="2" t="s">
        <v>13051</v>
      </c>
      <c r="D65" s="3">
        <v>1</v>
      </c>
      <c r="E65" s="3">
        <v>7</v>
      </c>
      <c r="F65" s="3" t="str">
        <f>HYPERLINK("https://www.boe.es/gazeta/dias/1814/04/21/pdfs/GRE-1814-58E.pdf","Abrir PDF")</f>
        <v>Abrir PDF</v>
      </c>
    </row>
    <row r="66" spans="1:6" ht="30.95" customHeight="1">
      <c r="A66" s="6">
        <v>-31297</v>
      </c>
      <c r="B66" s="2" t="s">
        <v>737</v>
      </c>
      <c r="C66" s="2" t="s">
        <v>13052</v>
      </c>
      <c r="D66" s="3">
        <v>8</v>
      </c>
      <c r="E66" s="3">
        <v>33</v>
      </c>
      <c r="F66" s="3" t="str">
        <f>HYPERLINK("https://www.boe.es/gazeta/dias/1814/04/23/pdfs/GRE-1814-59.pdf","Abrir PDF")</f>
        <v>Abrir PDF</v>
      </c>
    </row>
    <row r="67" spans="1:6" ht="30.95" customHeight="1">
      <c r="A67" s="6">
        <v>-31296</v>
      </c>
      <c r="B67" s="2" t="s">
        <v>315</v>
      </c>
      <c r="C67" s="2" t="s">
        <v>13053</v>
      </c>
      <c r="D67" s="3">
        <v>8</v>
      </c>
      <c r="E67" s="3">
        <v>145</v>
      </c>
      <c r="F67" s="3" t="str">
        <f>HYPERLINK("https://www.boe.es/gazeta/dias/1814/04/24/pdfs/GRE-1814-60E.pdf","Abrir PDF")</f>
        <v>Abrir PDF</v>
      </c>
    </row>
    <row r="68" spans="1:6" ht="30.95" customHeight="1">
      <c r="A68" s="6">
        <v>-31294</v>
      </c>
      <c r="B68" s="2" t="s">
        <v>680</v>
      </c>
      <c r="C68" s="2" t="s">
        <v>13054</v>
      </c>
      <c r="D68" s="3">
        <v>8</v>
      </c>
      <c r="E68" s="3">
        <v>15</v>
      </c>
      <c r="F68" s="3" t="str">
        <f>HYPERLINK("https://www.boe.es/gazeta/dias/1814/04/26/pdfs/GRE-1814-61.pdf","Abrir PDF")</f>
        <v>Abrir PDF</v>
      </c>
    </row>
    <row r="69" spans="1:6" ht="30.95" customHeight="1">
      <c r="A69" s="6">
        <v>-31294</v>
      </c>
      <c r="B69" s="2" t="s">
        <v>2505</v>
      </c>
      <c r="C69" s="2" t="s">
        <v>13055</v>
      </c>
      <c r="D69" s="3">
        <v>8</v>
      </c>
      <c r="E69" s="3">
        <v>32</v>
      </c>
      <c r="F69" s="3" t="str">
        <f>HYPERLINK("https://www.boe.es/gazeta/dias/1814/04/26/pdfs/GRE-1814-62E.pdf","Abrir PDF")</f>
        <v>Abrir PDF</v>
      </c>
    </row>
    <row r="70" spans="1:6" ht="30.95" customHeight="1">
      <c r="A70" s="6">
        <v>-31292</v>
      </c>
      <c r="B70" s="2" t="s">
        <v>557</v>
      </c>
      <c r="C70" s="2" t="s">
        <v>13056</v>
      </c>
      <c r="D70" s="3">
        <v>8</v>
      </c>
      <c r="E70" s="3">
        <v>42</v>
      </c>
      <c r="F70" s="3" t="str">
        <f>HYPERLINK("https://www.boe.es/gazeta/dias/1814/04/28/pdfs/GRE-1814-63.pdf","Abrir PDF")</f>
        <v>Abrir PDF</v>
      </c>
    </row>
    <row r="71" spans="1:6" ht="30.95" customHeight="1">
      <c r="A71" s="6">
        <v>-31290</v>
      </c>
      <c r="B71" s="2" t="s">
        <v>488</v>
      </c>
      <c r="C71" s="2" t="s">
        <v>13057</v>
      </c>
      <c r="D71" s="3">
        <v>8</v>
      </c>
      <c r="E71" s="3">
        <v>35</v>
      </c>
      <c r="F71" s="3" t="str">
        <f>HYPERLINK("https://www.boe.es/gazeta/dias/1814/04/30/pdfs/GRE-1814-64.pdf","Abrir PDF")</f>
        <v>Abrir PDF</v>
      </c>
    </row>
    <row r="72" spans="1:6" ht="30.95" customHeight="1">
      <c r="A72" s="6">
        <v>-31287</v>
      </c>
      <c r="B72" s="2" t="s">
        <v>491</v>
      </c>
      <c r="C72" s="2" t="s">
        <v>13058</v>
      </c>
      <c r="D72" s="3">
        <v>8</v>
      </c>
      <c r="E72" s="3">
        <v>23</v>
      </c>
      <c r="F72" s="3" t="str">
        <f>HYPERLINK("https://www.boe.es/gazeta/dias/1814/05/03/pdfs/GRE-1814-65.pdf","Abrir PDF")</f>
        <v>Abrir PDF</v>
      </c>
    </row>
    <row r="73" spans="1:6" ht="30.95" customHeight="1">
      <c r="A73" s="6">
        <v>-31285</v>
      </c>
      <c r="B73" s="2" t="s">
        <v>1141</v>
      </c>
      <c r="C73" s="2" t="s">
        <v>13059</v>
      </c>
      <c r="D73" s="3">
        <v>8</v>
      </c>
      <c r="E73" s="3">
        <v>15</v>
      </c>
      <c r="F73" s="3" t="str">
        <f>HYPERLINK("https://www.boe.es/gazeta/dias/1814/05/05/pdfs/GRE-1814-66.pdf","Abrir PDF")</f>
        <v>Abrir PDF</v>
      </c>
    </row>
    <row r="74" spans="1:6" ht="30.95" customHeight="1">
      <c r="A74" s="6">
        <v>-31283</v>
      </c>
      <c r="B74" s="2" t="s">
        <v>701</v>
      </c>
      <c r="C74" s="2" t="s">
        <v>13060</v>
      </c>
      <c r="D74" s="3">
        <v>8</v>
      </c>
      <c r="E74" s="3">
        <v>22</v>
      </c>
      <c r="F74" s="3" t="str">
        <f>HYPERLINK("https://www.boe.es/gazeta/dias/1814/05/07/pdfs/GRE-1814-67.pdf","Abrir PDF")</f>
        <v>Abrir PDF</v>
      </c>
    </row>
    <row r="75" spans="1:6" ht="30.95" customHeight="1">
      <c r="A75" s="6">
        <v>-31280</v>
      </c>
      <c r="B75" s="2" t="s">
        <v>4480</v>
      </c>
      <c r="C75" s="2" t="s">
        <v>13061</v>
      </c>
      <c r="D75" s="3">
        <v>12</v>
      </c>
      <c r="E75" s="3">
        <v>4</v>
      </c>
      <c r="F75" s="3" t="str">
        <f>HYPERLINK("https://www.boe.es/gazeta/dias/1814/05/10/pdfs/GRE-1814-68.pdf","Abrir PDF")</f>
        <v>Abrir PDF</v>
      </c>
    </row>
    <row r="76" spans="1:6" ht="30.95" customHeight="1">
      <c r="A76" s="6">
        <v>-31278</v>
      </c>
      <c r="B76" s="2" t="s">
        <v>773</v>
      </c>
      <c r="C76" s="2" t="s">
        <v>13062</v>
      </c>
      <c r="D76" s="3">
        <v>8</v>
      </c>
      <c r="E76" s="3">
        <v>16</v>
      </c>
      <c r="F76" s="3" t="str">
        <f>HYPERLINK("https://www.boe.es/gazeta/dias/1814/05/12/pdfs/GMD-1814-69.pdf","Abrir PDF")</f>
        <v>Abrir PDF</v>
      </c>
    </row>
    <row r="77" spans="1:6" ht="30.95" customHeight="1">
      <c r="A77" s="6">
        <v>-31278</v>
      </c>
      <c r="B77" s="2" t="s">
        <v>11220</v>
      </c>
      <c r="C77" s="2" t="s">
        <v>13063</v>
      </c>
      <c r="D77" s="3">
        <v>7</v>
      </c>
      <c r="E77" s="3">
        <v>1</v>
      </c>
      <c r="F77" s="3" t="str">
        <f>HYPERLINK("https://www.boe.es/gazeta/dias/1814/05/12/pdfs/GMD-1814-70E.pdf","Abrir PDF")</f>
        <v>Abrir PDF</v>
      </c>
    </row>
    <row r="78" spans="1:6" ht="30.95" customHeight="1">
      <c r="A78" s="6">
        <v>-31276</v>
      </c>
      <c r="B78" s="2" t="s">
        <v>494</v>
      </c>
      <c r="C78" s="2" t="s">
        <v>13064</v>
      </c>
      <c r="D78" s="3">
        <v>8</v>
      </c>
      <c r="E78" s="3">
        <v>16</v>
      </c>
      <c r="F78" s="3" t="str">
        <f>HYPERLINK("https://www.boe.es/gazeta/dias/1814/05/14/pdfs/GMD-1814-71.pdf","Abrir PDF")</f>
        <v>Abrir PDF</v>
      </c>
    </row>
    <row r="79" spans="1:6" ht="30.95" customHeight="1">
      <c r="A79" s="6">
        <v>-31273</v>
      </c>
      <c r="B79" s="2" t="s">
        <v>2108</v>
      </c>
      <c r="C79" s="2" t="s">
        <v>13065</v>
      </c>
      <c r="D79" s="3">
        <v>8</v>
      </c>
      <c r="E79" s="3">
        <v>17</v>
      </c>
      <c r="F79" s="3" t="str">
        <f>HYPERLINK("https://www.boe.es/gazeta/dias/1814/05/17/pdfs/GMD-1814-72.pdf","Abrir PDF")</f>
        <v>Abrir PDF</v>
      </c>
    </row>
    <row r="80" spans="1:6" ht="30.95" customHeight="1">
      <c r="A80" s="6">
        <v>-31273</v>
      </c>
      <c r="B80" s="2" t="s">
        <v>1134</v>
      </c>
      <c r="C80" s="2" t="s">
        <v>13066</v>
      </c>
      <c r="D80" s="3">
        <v>8</v>
      </c>
      <c r="E80" s="3">
        <v>7</v>
      </c>
      <c r="F80" s="3" t="str">
        <f>HYPERLINK("https://www.boe.es/gazeta/dias/1814/05/17/pdfs/GMD-1814-73E.pdf","Abrir PDF")</f>
        <v>Abrir PDF</v>
      </c>
    </row>
    <row r="81" spans="1:6" ht="30.95" customHeight="1">
      <c r="A81" s="6">
        <v>-31271</v>
      </c>
      <c r="B81" s="2" t="s">
        <v>243</v>
      </c>
      <c r="C81" s="2" t="s">
        <v>13067</v>
      </c>
      <c r="D81" s="3">
        <v>8</v>
      </c>
      <c r="E81" s="3">
        <v>14</v>
      </c>
      <c r="F81" s="3" t="str">
        <f>HYPERLINK("https://www.boe.es/gazeta/dias/1814/05/19/pdfs/GMD-1814-74.pdf","Abrir PDF")</f>
        <v>Abrir PDF</v>
      </c>
    </row>
    <row r="82" spans="1:6" ht="30.95" customHeight="1">
      <c r="A82" s="6">
        <v>-31269</v>
      </c>
      <c r="B82" s="2" t="s">
        <v>496</v>
      </c>
      <c r="C82" s="2" t="s">
        <v>13068</v>
      </c>
      <c r="D82" s="3">
        <v>8</v>
      </c>
      <c r="E82" s="3">
        <v>18</v>
      </c>
      <c r="F82" s="3" t="str">
        <f>HYPERLINK("https://www.boe.es/gazeta/dias/1814/05/21/pdfs/GMD-1814-75.pdf","Abrir PDF")</f>
        <v>Abrir PDF</v>
      </c>
    </row>
    <row r="83" spans="1:6" ht="30.95" customHeight="1">
      <c r="A83" s="6">
        <v>-31266</v>
      </c>
      <c r="B83" s="2" t="s">
        <v>191</v>
      </c>
      <c r="C83" s="2" t="s">
        <v>13069</v>
      </c>
      <c r="D83" s="3">
        <v>8</v>
      </c>
      <c r="E83" s="3">
        <v>17</v>
      </c>
      <c r="F83" s="3" t="str">
        <f>HYPERLINK("https://www.boe.es/gazeta/dias/1814/05/24/pdfs/GMD-1814-76.pdf","Abrir PDF")</f>
        <v>Abrir PDF</v>
      </c>
    </row>
    <row r="84" spans="1:6" ht="30.95" customHeight="1">
      <c r="A84" s="6">
        <v>-31264</v>
      </c>
      <c r="B84" s="2" t="s">
        <v>396</v>
      </c>
      <c r="C84" s="2" t="s">
        <v>13070</v>
      </c>
      <c r="D84" s="3">
        <v>8</v>
      </c>
      <c r="E84" s="3">
        <v>29</v>
      </c>
      <c r="F84" s="3" t="str">
        <f>HYPERLINK("https://www.boe.es/gazeta/dias/1814/05/26/pdfs/GMD-1814-77.pdf","Abrir PDF")</f>
        <v>Abrir PDF</v>
      </c>
    </row>
    <row r="85" spans="1:6" ht="30.95" customHeight="1">
      <c r="A85" s="6">
        <v>-31262</v>
      </c>
      <c r="B85" s="2" t="s">
        <v>254</v>
      </c>
      <c r="C85" s="2" t="s">
        <v>13071</v>
      </c>
      <c r="D85" s="3">
        <v>8</v>
      </c>
      <c r="E85" s="3">
        <v>36</v>
      </c>
      <c r="F85" s="3" t="str">
        <f>HYPERLINK("https://www.boe.es/gazeta/dias/1814/05/28/pdfs/GMD-1814-78.pdf","Abrir PDF")</f>
        <v>Abrir PDF</v>
      </c>
    </row>
    <row r="86" spans="1:6" ht="30.95" customHeight="1">
      <c r="A86" s="6">
        <v>-31259</v>
      </c>
      <c r="B86" s="2" t="s">
        <v>853</v>
      </c>
      <c r="C86" s="2" t="s">
        <v>13072</v>
      </c>
      <c r="D86" s="3">
        <v>8</v>
      </c>
      <c r="E86" s="3">
        <v>36</v>
      </c>
      <c r="F86" s="3" t="str">
        <f>HYPERLINK("https://www.boe.es/gazeta/dias/1814/05/31/pdfs/GMD-1814-79.pdf","Abrir PDF")</f>
        <v>Abrir PDF</v>
      </c>
    </row>
    <row r="87" spans="1:6" ht="30.95" customHeight="1">
      <c r="A87" s="6">
        <v>-31257</v>
      </c>
      <c r="B87" s="2" t="s">
        <v>437</v>
      </c>
      <c r="C87" s="2" t="s">
        <v>13073</v>
      </c>
      <c r="D87" s="3">
        <v>8</v>
      </c>
      <c r="E87" s="3">
        <v>36</v>
      </c>
      <c r="F87" s="3" t="str">
        <f>HYPERLINK("https://www.boe.es/gazeta/dias/1814/06/02/pdfs/GMD-1814-80.pdf","Abrir PDF")</f>
        <v>Abrir PDF</v>
      </c>
    </row>
    <row r="88" spans="1:6" ht="30.95" customHeight="1">
      <c r="A88" s="6">
        <v>-31255</v>
      </c>
      <c r="B88" s="2" t="s">
        <v>983</v>
      </c>
      <c r="C88" s="2" t="s">
        <v>13074</v>
      </c>
      <c r="D88" s="3">
        <v>12</v>
      </c>
      <c r="E88" s="3">
        <v>32</v>
      </c>
      <c r="F88" s="3" t="str">
        <f>HYPERLINK("https://www.boe.es/gazeta/dias/1814/06/04/pdfs/GMD-1814-81.pdf","Abrir PDF")</f>
        <v>Abrir PDF</v>
      </c>
    </row>
    <row r="89" spans="1:6" ht="30.95" customHeight="1">
      <c r="A89" s="6">
        <v>-31252</v>
      </c>
      <c r="B89" s="2" t="s">
        <v>364</v>
      </c>
      <c r="C89" s="2" t="s">
        <v>13075</v>
      </c>
      <c r="D89" s="3">
        <v>12</v>
      </c>
      <c r="E89" s="3">
        <v>65</v>
      </c>
      <c r="F89" s="3" t="str">
        <f>HYPERLINK("https://www.boe.es/gazeta/dias/1814/06/07/pdfs/GMD-1814-82.pdf","Abrir PDF")</f>
        <v>Abrir PDF</v>
      </c>
    </row>
    <row r="90" spans="1:6" ht="30.95" customHeight="1">
      <c r="A90" s="6">
        <v>-31250</v>
      </c>
      <c r="B90" s="2" t="s">
        <v>177</v>
      </c>
      <c r="C90" s="2" t="s">
        <v>13076</v>
      </c>
      <c r="D90" s="3">
        <v>8</v>
      </c>
      <c r="E90" s="3">
        <v>55</v>
      </c>
      <c r="F90" s="3" t="str">
        <f>HYPERLINK("https://www.boe.es/gazeta/dias/1814/06/09/pdfs/GMD-1814-83.pdf","Abrir PDF")</f>
        <v>Abrir PDF</v>
      </c>
    </row>
    <row r="91" spans="1:6" ht="30.95" customHeight="1">
      <c r="A91" s="6">
        <v>-31248</v>
      </c>
      <c r="B91" s="2" t="s">
        <v>1123</v>
      </c>
      <c r="C91" s="2" t="s">
        <v>13077</v>
      </c>
      <c r="D91" s="3">
        <v>8</v>
      </c>
      <c r="E91" s="3">
        <v>37</v>
      </c>
      <c r="F91" s="3" t="str">
        <f>HYPERLINK("https://www.boe.es/gazeta/dias/1814/06/11/pdfs/GMD-1814-84.pdf","Abrir PDF")</f>
        <v>Abrir PDF</v>
      </c>
    </row>
    <row r="92" spans="1:6" ht="30.95" customHeight="1">
      <c r="A92" s="6">
        <v>-31245</v>
      </c>
      <c r="B92" s="2" t="s">
        <v>908</v>
      </c>
      <c r="C92" s="2" t="s">
        <v>13078</v>
      </c>
      <c r="D92" s="3">
        <v>12</v>
      </c>
      <c r="E92" s="3">
        <v>43</v>
      </c>
      <c r="F92" s="3" t="str">
        <f>HYPERLINK("https://www.boe.es/gazeta/dias/1814/06/14/pdfs/GMD-1814-85.pdf","Abrir PDF")</f>
        <v>Abrir PDF</v>
      </c>
    </row>
    <row r="93" spans="1:6" ht="30.95" customHeight="1">
      <c r="A93" s="6">
        <v>-31243</v>
      </c>
      <c r="B93" s="2" t="s">
        <v>500</v>
      </c>
      <c r="C93" s="2" t="s">
        <v>13079</v>
      </c>
      <c r="D93" s="3">
        <v>12</v>
      </c>
      <c r="E93" s="3">
        <v>35</v>
      </c>
      <c r="F93" s="3" t="str">
        <f>HYPERLINK("https://www.boe.es/gazeta/dias/1814/06/16/pdfs/GMD-1814-86.pdf","Abrir PDF")</f>
        <v>Abrir PDF</v>
      </c>
    </row>
    <row r="94" spans="1:6" ht="30.95" customHeight="1">
      <c r="A94" s="6">
        <v>-31241</v>
      </c>
      <c r="B94" s="2" t="s">
        <v>703</v>
      </c>
      <c r="C94" s="2" t="s">
        <v>13080</v>
      </c>
      <c r="D94" s="3">
        <v>12</v>
      </c>
      <c r="E94" s="3">
        <v>28</v>
      </c>
      <c r="F94" s="3" t="str">
        <f>HYPERLINK("https://www.boe.es/gazeta/dias/1814/06/18/pdfs/GMD-1814-87.pdf","Abrir PDF")</f>
        <v>Abrir PDF</v>
      </c>
    </row>
    <row r="95" spans="1:6" ht="30.95" customHeight="1">
      <c r="A95" s="6">
        <v>-31238</v>
      </c>
      <c r="B95" s="2" t="s">
        <v>127</v>
      </c>
      <c r="C95" s="2" t="s">
        <v>13081</v>
      </c>
      <c r="D95" s="3">
        <v>12</v>
      </c>
      <c r="E95" s="3">
        <v>31</v>
      </c>
      <c r="F95" s="3" t="str">
        <f>HYPERLINK("https://www.boe.es/gazeta/dias/1814/06/21/pdfs/GMD-1814-88.pdf","Abrir PDF")</f>
        <v>Abrir PDF</v>
      </c>
    </row>
    <row r="96" spans="1:6" ht="30.95" customHeight="1">
      <c r="A96" s="6">
        <v>-31236</v>
      </c>
      <c r="B96" s="2" t="s">
        <v>33</v>
      </c>
      <c r="C96" s="2" t="s">
        <v>13082</v>
      </c>
      <c r="D96" s="3">
        <v>12</v>
      </c>
      <c r="E96" s="3">
        <v>41</v>
      </c>
      <c r="F96" s="3" t="str">
        <f>HYPERLINK("https://www.boe.es/gazeta/dias/1814/06/23/pdfs/GMD-1814-89.pdf","Abrir PDF")</f>
        <v>Abrir PDF</v>
      </c>
    </row>
    <row r="97" spans="1:6" ht="30.95" customHeight="1">
      <c r="A97" s="6">
        <v>-31234</v>
      </c>
      <c r="B97" s="2" t="s">
        <v>462</v>
      </c>
      <c r="C97" s="2" t="s">
        <v>13083</v>
      </c>
      <c r="D97" s="3">
        <v>12</v>
      </c>
      <c r="E97" s="3">
        <v>30</v>
      </c>
      <c r="F97" s="3" t="str">
        <f>HYPERLINK("https://www.boe.es/gazeta/dias/1814/06/25/pdfs/GMD-1814-90.pdf","Abrir PDF")</f>
        <v>Abrir PDF</v>
      </c>
    </row>
    <row r="98" spans="1:6" ht="30.95" customHeight="1">
      <c r="A98" s="6">
        <v>-31231</v>
      </c>
      <c r="B98" s="2" t="s">
        <v>861</v>
      </c>
      <c r="C98" s="2" t="s">
        <v>13084</v>
      </c>
      <c r="D98" s="3">
        <v>12</v>
      </c>
      <c r="E98" s="3">
        <v>30</v>
      </c>
      <c r="F98" s="3" t="str">
        <f>HYPERLINK("https://www.boe.es/gazeta/dias/1814/06/28/pdfs/GMD-1814-91.pdf","Abrir PDF")</f>
        <v>Abrir PDF</v>
      </c>
    </row>
    <row r="99" spans="1:6" ht="30.95" customHeight="1">
      <c r="A99" s="6">
        <v>-31229</v>
      </c>
      <c r="B99" s="2" t="s">
        <v>502</v>
      </c>
      <c r="C99" s="2" t="s">
        <v>13085</v>
      </c>
      <c r="D99" s="3">
        <v>12</v>
      </c>
      <c r="E99" s="3">
        <v>31</v>
      </c>
      <c r="F99" s="3" t="str">
        <f>HYPERLINK("https://www.boe.es/gazeta/dias/1814/06/30/pdfs/GMD-1814-92.pdf","Abrir PDF")</f>
        <v>Abrir PDF</v>
      </c>
    </row>
    <row r="100" spans="1:6" ht="30.95" customHeight="1">
      <c r="A100" s="6">
        <v>-31227</v>
      </c>
      <c r="B100" s="2" t="s">
        <v>102</v>
      </c>
      <c r="C100" s="2" t="s">
        <v>13086</v>
      </c>
      <c r="D100" s="3">
        <v>8</v>
      </c>
      <c r="E100" s="3">
        <v>44</v>
      </c>
      <c r="F100" s="3" t="str">
        <f>HYPERLINK("https://www.boe.es/gazeta/dias/1814/07/02/pdfs/GMD-1814-93.pdf","Abrir PDF")</f>
        <v>Abrir PDF</v>
      </c>
    </row>
    <row r="101" spans="1:6" ht="30.95" customHeight="1">
      <c r="A101" s="6">
        <v>-31224</v>
      </c>
      <c r="B101" s="2" t="s">
        <v>609</v>
      </c>
      <c r="C101" s="2" t="s">
        <v>13087</v>
      </c>
      <c r="D101" s="3">
        <v>12</v>
      </c>
      <c r="E101" s="3">
        <v>45</v>
      </c>
      <c r="F101" s="3" t="str">
        <f>HYPERLINK("https://www.boe.es/gazeta/dias/1814/07/05/pdfs/GMD-1814-94.pdf","Abrir PDF")</f>
        <v>Abrir PDF</v>
      </c>
    </row>
    <row r="102" spans="1:6" ht="30.95" customHeight="1">
      <c r="A102" s="6">
        <v>-31222</v>
      </c>
      <c r="B102" s="2" t="s">
        <v>153</v>
      </c>
      <c r="C102" s="2" t="s">
        <v>13088</v>
      </c>
      <c r="D102" s="3">
        <v>12</v>
      </c>
      <c r="E102" s="3">
        <v>36</v>
      </c>
      <c r="F102" s="3" t="str">
        <f>HYPERLINK("https://www.boe.es/gazeta/dias/1814/07/07/pdfs/GMD-1814-95.pdf","Abrir PDF")</f>
        <v>Abrir PDF</v>
      </c>
    </row>
    <row r="103" spans="1:6" ht="30.95" customHeight="1">
      <c r="A103" s="6">
        <v>-31220</v>
      </c>
      <c r="B103" s="2" t="s">
        <v>122</v>
      </c>
      <c r="C103" s="2" t="s">
        <v>13089</v>
      </c>
      <c r="D103" s="3">
        <v>8</v>
      </c>
      <c r="E103" s="3">
        <v>47</v>
      </c>
      <c r="F103" s="3" t="str">
        <f>HYPERLINK("https://www.boe.es/gazeta/dias/1814/07/09/pdfs/GMD-1814-96.pdf","Abrir PDF")</f>
        <v>Abrir PDF</v>
      </c>
    </row>
    <row r="104" spans="1:6" ht="30.95" customHeight="1">
      <c r="A104" s="6">
        <v>-31217</v>
      </c>
      <c r="B104" s="2" t="s">
        <v>506</v>
      </c>
      <c r="C104" s="2" t="s">
        <v>13090</v>
      </c>
      <c r="D104" s="3">
        <v>12</v>
      </c>
      <c r="E104" s="3">
        <v>53</v>
      </c>
      <c r="F104" s="3" t="str">
        <f>HYPERLINK("https://www.boe.es/gazeta/dias/1814/07/12/pdfs/GMD-1814-97.pdf","Abrir PDF")</f>
        <v>Abrir PDF</v>
      </c>
    </row>
    <row r="105" spans="1:6" ht="30.95" customHeight="1">
      <c r="A105" s="6">
        <v>-31215</v>
      </c>
      <c r="B105" s="2" t="s">
        <v>372</v>
      </c>
      <c r="C105" s="2" t="s">
        <v>13091</v>
      </c>
      <c r="D105" s="3">
        <v>12</v>
      </c>
      <c r="E105" s="3">
        <v>31</v>
      </c>
      <c r="F105" s="3" t="str">
        <f>HYPERLINK("https://www.boe.es/gazeta/dias/1814/07/14/pdfs/GMD-1814-98.pdf","Abrir PDF")</f>
        <v>Abrir PDF</v>
      </c>
    </row>
    <row r="106" spans="1:6" ht="30.95" customHeight="1">
      <c r="A106" s="6">
        <v>-31213</v>
      </c>
      <c r="B106" s="2" t="s">
        <v>276</v>
      </c>
      <c r="C106" s="2" t="s">
        <v>13092</v>
      </c>
      <c r="D106" s="3">
        <v>8</v>
      </c>
      <c r="E106" s="3">
        <v>42</v>
      </c>
      <c r="F106" s="3" t="str">
        <f>HYPERLINK("https://www.boe.es/gazeta/dias/1814/07/16/pdfs/GMD-1814-99.pdf","Abrir PDF")</f>
        <v>Abrir PDF</v>
      </c>
    </row>
    <row r="107" spans="1:6" ht="30.95" customHeight="1">
      <c r="A107" s="6">
        <v>-31210</v>
      </c>
      <c r="B107" s="2" t="s">
        <v>141</v>
      </c>
      <c r="C107" s="2" t="s">
        <v>13093</v>
      </c>
      <c r="D107" s="3">
        <v>8</v>
      </c>
      <c r="E107" s="3">
        <v>37</v>
      </c>
      <c r="F107" s="3" t="str">
        <f>HYPERLINK("https://www.boe.es/gazeta/dias/1814/07/19/pdfs/GMD-1814-100.pdf","Abrir PDF")</f>
        <v>Abrir PDF</v>
      </c>
    </row>
    <row r="108" spans="1:6" ht="30.95" customHeight="1">
      <c r="A108" s="6">
        <v>-31208</v>
      </c>
      <c r="B108" s="2" t="s">
        <v>509</v>
      </c>
      <c r="C108" s="2" t="s">
        <v>13094</v>
      </c>
      <c r="D108" s="3">
        <v>8</v>
      </c>
      <c r="E108" s="3">
        <v>31</v>
      </c>
      <c r="F108" s="3" t="str">
        <f>HYPERLINK("https://www.boe.es/gazeta/dias/1814/07/21/pdfs/GMD-1814-101.pdf","Abrir PDF")</f>
        <v>Abrir PDF</v>
      </c>
    </row>
    <row r="109" spans="1:6" ht="30.95" customHeight="1">
      <c r="A109" s="6">
        <v>-31206</v>
      </c>
      <c r="B109" s="2" t="s">
        <v>1196</v>
      </c>
      <c r="C109" s="2" t="s">
        <v>13095</v>
      </c>
      <c r="D109" s="3">
        <v>8</v>
      </c>
      <c r="E109" s="3">
        <v>32</v>
      </c>
      <c r="F109" s="3" t="str">
        <f>HYPERLINK("https://www.boe.es/gazeta/dias/1814/07/23/pdfs/GMD-1814-102.pdf","Abrir PDF")</f>
        <v>Abrir PDF</v>
      </c>
    </row>
    <row r="110" spans="1:6" ht="30.95" customHeight="1">
      <c r="A110" s="6">
        <v>-31203</v>
      </c>
      <c r="B110" s="2" t="s">
        <v>512</v>
      </c>
      <c r="C110" s="2" t="s">
        <v>13096</v>
      </c>
      <c r="D110" s="3">
        <v>8</v>
      </c>
      <c r="E110" s="3">
        <v>16</v>
      </c>
      <c r="F110" s="3" t="str">
        <f>HYPERLINK("https://www.boe.es/gazeta/dias/1814/07/26/pdfs/GMD-1814-103.pdf","Abrir PDF")</f>
        <v>Abrir PDF</v>
      </c>
    </row>
    <row r="111" spans="1:6" ht="30.95" customHeight="1">
      <c r="A111" s="6">
        <v>-31201</v>
      </c>
      <c r="B111" s="2" t="s">
        <v>863</v>
      </c>
      <c r="C111" s="2" t="s">
        <v>13097</v>
      </c>
      <c r="D111" s="3">
        <v>8</v>
      </c>
      <c r="E111" s="3">
        <v>19</v>
      </c>
      <c r="F111" s="3" t="str">
        <f>HYPERLINK("https://www.boe.es/gazeta/dias/1814/07/28/pdfs/GMD-1814-104.pdf","Abrir PDF")</f>
        <v>Abrir PDF</v>
      </c>
    </row>
    <row r="112" spans="1:6" ht="30.95" customHeight="1">
      <c r="A112" s="6">
        <v>-31199</v>
      </c>
      <c r="B112" s="2" t="s">
        <v>453</v>
      </c>
      <c r="C112" s="2" t="s">
        <v>13098</v>
      </c>
      <c r="D112" s="3">
        <v>8</v>
      </c>
      <c r="E112" s="3">
        <v>27</v>
      </c>
      <c r="F112" s="3" t="str">
        <f>HYPERLINK("https://www.boe.es/gazeta/dias/1814/07/30/pdfs/GMD-1814-105.pdf","Abrir PDF")</f>
        <v>Abrir PDF</v>
      </c>
    </row>
    <row r="113" spans="1:6" ht="30.95" customHeight="1">
      <c r="A113" s="6">
        <v>-31196</v>
      </c>
      <c r="B113" s="2" t="s">
        <v>828</v>
      </c>
      <c r="C113" s="2" t="s">
        <v>13099</v>
      </c>
      <c r="D113" s="3">
        <v>8</v>
      </c>
      <c r="E113" s="3">
        <v>39</v>
      </c>
      <c r="F113" s="3" t="str">
        <f>HYPERLINK("https://www.boe.es/gazeta/dias/1814/08/02/pdfs/GMD-1814-106.pdf","Abrir PDF")</f>
        <v>Abrir PDF</v>
      </c>
    </row>
    <row r="114" spans="1:6" ht="30.95" customHeight="1">
      <c r="A114" s="6">
        <v>-31194</v>
      </c>
      <c r="B114" s="2" t="s">
        <v>333</v>
      </c>
      <c r="C114" s="2" t="s">
        <v>13100</v>
      </c>
      <c r="D114" s="3">
        <v>8</v>
      </c>
      <c r="E114" s="3">
        <v>50</v>
      </c>
      <c r="F114" s="3" t="str">
        <f>HYPERLINK("https://www.boe.es/gazeta/dias/1814/08/04/pdfs/GMD-1814-107.pdf","Abrir PDF")</f>
        <v>Abrir PDF</v>
      </c>
    </row>
    <row r="115" spans="1:6" ht="30.95" customHeight="1">
      <c r="A115" s="6">
        <v>-31192</v>
      </c>
      <c r="B115" s="2" t="s">
        <v>388</v>
      </c>
      <c r="C115" s="2" t="s">
        <v>13101</v>
      </c>
      <c r="D115" s="3">
        <v>8</v>
      </c>
      <c r="E115" s="3">
        <v>50</v>
      </c>
      <c r="F115" s="3" t="str">
        <f>HYPERLINK("https://www.boe.es/gazeta/dias/1814/08/06/pdfs/GMD-1814-108.pdf","Abrir PDF")</f>
        <v>Abrir PDF</v>
      </c>
    </row>
    <row r="116" spans="1:6" ht="30.95" customHeight="1">
      <c r="A116" s="6">
        <v>-31189</v>
      </c>
      <c r="B116" s="2" t="s">
        <v>379</v>
      </c>
      <c r="C116" s="2" t="s">
        <v>13102</v>
      </c>
      <c r="D116" s="3">
        <v>8</v>
      </c>
      <c r="E116" s="3">
        <v>26</v>
      </c>
      <c r="F116" s="3" t="str">
        <f>HYPERLINK("https://www.boe.es/gazeta/dias/1814/08/09/pdfs/GMD-1814-109.pdf","Abrir PDF")</f>
        <v>Abrir PDF</v>
      </c>
    </row>
    <row r="117" spans="1:6" ht="30.95" customHeight="1">
      <c r="A117" s="6">
        <v>-31187</v>
      </c>
      <c r="B117" s="2" t="s">
        <v>518</v>
      </c>
      <c r="C117" s="2" t="s">
        <v>13103</v>
      </c>
      <c r="D117" s="3">
        <v>8</v>
      </c>
      <c r="E117" s="3">
        <v>22</v>
      </c>
      <c r="F117" s="3" t="str">
        <f>HYPERLINK("https://www.boe.es/gazeta/dias/1814/08/11/pdfs/GMD-1814-110.pdf","Abrir PDF")</f>
        <v>Abrir PDF</v>
      </c>
    </row>
    <row r="118" spans="1:6" ht="30.95" customHeight="1">
      <c r="A118" s="6">
        <v>-31185</v>
      </c>
      <c r="B118" s="2" t="s">
        <v>1238</v>
      </c>
      <c r="C118" s="2" t="s">
        <v>13104</v>
      </c>
      <c r="D118" s="3">
        <v>8</v>
      </c>
      <c r="E118" s="3">
        <v>40</v>
      </c>
      <c r="F118" s="3" t="str">
        <f>HYPERLINK("https://www.boe.es/gazeta/dias/1814/08/13/pdfs/GMD-1814-111.pdf","Abrir PDF")</f>
        <v>Abrir PDF</v>
      </c>
    </row>
    <row r="119" spans="1:6" ht="30.95" customHeight="1">
      <c r="A119" s="6">
        <v>-31182</v>
      </c>
      <c r="B119" s="2" t="s">
        <v>19</v>
      </c>
      <c r="C119" s="2" t="s">
        <v>13105</v>
      </c>
      <c r="D119" s="3">
        <v>8</v>
      </c>
      <c r="E119" s="3">
        <v>72</v>
      </c>
      <c r="F119" s="3" t="str">
        <f>HYPERLINK("https://www.boe.es/gazeta/dias/1814/08/16/pdfs/GMD-1814-112.pdf","Abrir PDF")</f>
        <v>Abrir PDF</v>
      </c>
    </row>
    <row r="120" spans="1:6" ht="30.95" customHeight="1">
      <c r="A120" s="6">
        <v>-31180</v>
      </c>
      <c r="B120" s="2" t="s">
        <v>520</v>
      </c>
      <c r="C120" s="2" t="s">
        <v>13106</v>
      </c>
      <c r="D120" s="3">
        <v>8</v>
      </c>
      <c r="E120" s="3">
        <v>27</v>
      </c>
      <c r="F120" s="3" t="str">
        <f>HYPERLINK("https://www.boe.es/gazeta/dias/1814/08/18/pdfs/GMD-1814-113.pdf","Abrir PDF")</f>
        <v>Abrir PDF</v>
      </c>
    </row>
    <row r="121" spans="1:6" ht="30.95" customHeight="1">
      <c r="A121" s="6">
        <v>-31178</v>
      </c>
      <c r="B121" s="2" t="s">
        <v>1390</v>
      </c>
      <c r="C121" s="2" t="s">
        <v>13107</v>
      </c>
      <c r="D121" s="3">
        <v>8</v>
      </c>
      <c r="E121" s="3">
        <v>22</v>
      </c>
      <c r="F121" s="3" t="str">
        <f>HYPERLINK("https://www.boe.es/gazeta/dias/1814/08/20/pdfs/GMD-1814-114.pdf","Abrir PDF")</f>
        <v>Abrir PDF</v>
      </c>
    </row>
    <row r="122" spans="1:6" ht="30.95" customHeight="1">
      <c r="A122" s="6">
        <v>-31175</v>
      </c>
      <c r="B122" s="2" t="s">
        <v>145</v>
      </c>
      <c r="C122" s="2" t="s">
        <v>13108</v>
      </c>
      <c r="D122" s="3">
        <v>8</v>
      </c>
      <c r="E122" s="3">
        <v>25</v>
      </c>
      <c r="F122" s="3" t="str">
        <f>HYPERLINK("https://www.boe.es/gazeta/dias/1814/08/23/pdfs/GMD-1814-115.pdf","Abrir PDF")</f>
        <v>Abrir PDF</v>
      </c>
    </row>
    <row r="123" spans="1:6" ht="30.95" customHeight="1">
      <c r="A123" s="6">
        <v>-31173</v>
      </c>
      <c r="B123" s="2" t="s">
        <v>46</v>
      </c>
      <c r="C123" s="2" t="s">
        <v>13109</v>
      </c>
      <c r="D123" s="3">
        <v>8</v>
      </c>
      <c r="E123" s="3">
        <v>53</v>
      </c>
      <c r="F123" s="3" t="str">
        <f>HYPERLINK("https://www.boe.es/gazeta/dias/1814/08/25/pdfs/GMD-1814-116.pdf","Abrir PDF")</f>
        <v>Abrir PDF</v>
      </c>
    </row>
    <row r="124" spans="1:6" ht="30.95" customHeight="1">
      <c r="A124" s="6">
        <v>-31171</v>
      </c>
      <c r="B124" s="2" t="s">
        <v>157</v>
      </c>
      <c r="C124" s="2" t="s">
        <v>13110</v>
      </c>
      <c r="D124" s="3">
        <v>8</v>
      </c>
      <c r="E124" s="3">
        <v>49</v>
      </c>
      <c r="F124" s="3" t="str">
        <f>HYPERLINK("https://www.boe.es/gazeta/dias/1814/08/27/pdfs/GMD-1814-117.pdf","Abrir PDF")</f>
        <v>Abrir PDF</v>
      </c>
    </row>
    <row r="125" spans="1:6" ht="30.95" customHeight="1">
      <c r="A125" s="6">
        <v>-31168</v>
      </c>
      <c r="B125" s="2" t="s">
        <v>893</v>
      </c>
      <c r="C125" s="2" t="s">
        <v>13111</v>
      </c>
      <c r="D125" s="3">
        <v>8</v>
      </c>
      <c r="E125" s="3">
        <v>15</v>
      </c>
      <c r="F125" s="3" t="str">
        <f>HYPERLINK("https://www.boe.es/gazeta/dias/1814/08/30/pdfs/GMD-1814-118.pdf","Abrir PDF")</f>
        <v>Abrir PDF</v>
      </c>
    </row>
    <row r="126" spans="1:6" ht="30.95" customHeight="1">
      <c r="A126" s="6">
        <v>-31166</v>
      </c>
      <c r="B126" s="2" t="s">
        <v>2799</v>
      </c>
      <c r="C126" s="2" t="s">
        <v>13112</v>
      </c>
      <c r="D126" s="3">
        <v>16</v>
      </c>
      <c r="E126" s="3">
        <v>12</v>
      </c>
      <c r="F126" s="3" t="str">
        <f>HYPERLINK("https://www.boe.es/gazeta/dias/1814/09/01/pdfs/GMD-1814-119.pdf","Abrir PDF")</f>
        <v>Abrir PDF</v>
      </c>
    </row>
    <row r="127" spans="1:6" ht="30.95" customHeight="1">
      <c r="A127" s="6">
        <v>-31165</v>
      </c>
      <c r="B127" s="2" t="s">
        <v>2087</v>
      </c>
      <c r="C127" s="2" t="s">
        <v>13113</v>
      </c>
      <c r="D127" s="3">
        <v>3</v>
      </c>
      <c r="E127" s="3">
        <v>6</v>
      </c>
      <c r="F127" s="3" t="str">
        <f>HYPERLINK("https://www.boe.es/gazeta/dias/1814/09/02/pdfs/GMD-1814-120E.pdf","Abrir PDF")</f>
        <v>Abrir PDF</v>
      </c>
    </row>
    <row r="128" spans="1:6" ht="30.95" customHeight="1">
      <c r="A128" s="6">
        <v>-31164</v>
      </c>
      <c r="B128" s="2" t="s">
        <v>1423</v>
      </c>
      <c r="C128" s="2" t="s">
        <v>13114</v>
      </c>
      <c r="D128" s="3">
        <v>8</v>
      </c>
      <c r="E128" s="3">
        <v>27</v>
      </c>
      <c r="F128" s="3" t="str">
        <f>HYPERLINK("https://www.boe.es/gazeta/dias/1814/09/03/pdfs/GMD-1814-121.pdf","Abrir PDF")</f>
        <v>Abrir PDF</v>
      </c>
    </row>
    <row r="129" spans="1:6" ht="30.95" customHeight="1">
      <c r="A129" s="6">
        <v>-31161</v>
      </c>
      <c r="B129" s="2" t="s">
        <v>407</v>
      </c>
      <c r="C129" s="2" t="s">
        <v>13115</v>
      </c>
      <c r="D129" s="3">
        <v>8</v>
      </c>
      <c r="E129" s="3">
        <v>19</v>
      </c>
      <c r="F129" s="3" t="str">
        <f>HYPERLINK("https://www.boe.es/gazeta/dias/1814/09/06/pdfs/GMD-1814-122.pdf","Abrir PDF")</f>
        <v>Abrir PDF</v>
      </c>
    </row>
    <row r="130" spans="1:6" ht="30.95" customHeight="1">
      <c r="A130" s="6">
        <v>-31159</v>
      </c>
      <c r="B130" s="2" t="s">
        <v>1175</v>
      </c>
      <c r="C130" s="2" t="s">
        <v>13116</v>
      </c>
      <c r="D130" s="3">
        <v>8</v>
      </c>
      <c r="E130" s="3">
        <v>25</v>
      </c>
      <c r="F130" s="3" t="str">
        <f>HYPERLINK("https://www.boe.es/gazeta/dias/1814/09/08/pdfs/GMD-1814-123.pdf","Abrir PDF")</f>
        <v>Abrir PDF</v>
      </c>
    </row>
    <row r="131" spans="1:6" ht="30.95" customHeight="1">
      <c r="A131" s="6">
        <v>-31157</v>
      </c>
      <c r="B131" s="2" t="s">
        <v>206</v>
      </c>
      <c r="C131" s="2" t="s">
        <v>13117</v>
      </c>
      <c r="D131" s="3">
        <v>8</v>
      </c>
      <c r="E131" s="3">
        <v>21</v>
      </c>
      <c r="F131" s="3" t="str">
        <f>HYPERLINK("https://www.boe.es/gazeta/dias/1814/09/10/pdfs/GMD-1814-124.pdf","Abrir PDF")</f>
        <v>Abrir PDF</v>
      </c>
    </row>
    <row r="132" spans="1:6" ht="30.95" customHeight="1">
      <c r="A132" s="6">
        <v>-31154</v>
      </c>
      <c r="B132" s="2" t="s">
        <v>688</v>
      </c>
      <c r="C132" s="2" t="s">
        <v>13118</v>
      </c>
      <c r="D132" s="3">
        <v>8</v>
      </c>
      <c r="E132" s="3">
        <v>34</v>
      </c>
      <c r="F132" s="3" t="str">
        <f>HYPERLINK("https://www.boe.es/gazeta/dias/1814/09/13/pdfs/GMD-1814-125.pdf","Abrir PDF")</f>
        <v>Abrir PDF</v>
      </c>
    </row>
    <row r="133" spans="1:6" ht="30.95" customHeight="1">
      <c r="A133" s="6">
        <v>-31152</v>
      </c>
      <c r="B133" s="2" t="s">
        <v>199</v>
      </c>
      <c r="C133" s="2" t="s">
        <v>13119</v>
      </c>
      <c r="D133" s="3">
        <v>8</v>
      </c>
      <c r="E133" s="3">
        <v>49</v>
      </c>
      <c r="F133" s="3" t="str">
        <f>HYPERLINK("https://www.boe.es/gazeta/dias/1814/09/15/pdfs/GMD-1814-126.pdf","Abrir PDF")</f>
        <v>Abrir PDF</v>
      </c>
    </row>
    <row r="134" spans="1:6" ht="30.95" customHeight="1">
      <c r="A134" s="6">
        <v>-31150</v>
      </c>
      <c r="B134" s="2" t="s">
        <v>106</v>
      </c>
      <c r="C134" s="2" t="s">
        <v>13120</v>
      </c>
      <c r="D134" s="3">
        <v>8</v>
      </c>
      <c r="E134" s="3">
        <v>17</v>
      </c>
      <c r="F134" s="3" t="str">
        <f>HYPERLINK("https://www.boe.es/gazeta/dias/1814/09/17/pdfs/GMD-1814-127.pdf","Abrir PDF")</f>
        <v>Abrir PDF</v>
      </c>
    </row>
    <row r="135" spans="1:6" ht="30.95" customHeight="1">
      <c r="A135" s="6">
        <v>-31147</v>
      </c>
      <c r="B135" s="2" t="s">
        <v>86</v>
      </c>
      <c r="C135" s="2" t="s">
        <v>13121</v>
      </c>
      <c r="D135" s="3">
        <v>12</v>
      </c>
      <c r="E135" s="3">
        <v>20</v>
      </c>
      <c r="F135" s="3" t="str">
        <f>HYPERLINK("https://www.boe.es/gazeta/dias/1814/09/20/pdfs/GMD-1814-128.pdf","Abrir PDF")</f>
        <v>Abrir PDF</v>
      </c>
    </row>
    <row r="136" spans="1:6" ht="30.95" customHeight="1">
      <c r="A136" s="6">
        <v>-31145</v>
      </c>
      <c r="B136" s="2" t="s">
        <v>523</v>
      </c>
      <c r="C136" s="2" t="s">
        <v>13122</v>
      </c>
      <c r="D136" s="3">
        <v>8</v>
      </c>
      <c r="E136" s="3">
        <v>25</v>
      </c>
      <c r="F136" s="3" t="str">
        <f>HYPERLINK("https://www.boe.es/gazeta/dias/1814/09/22/pdfs/GMD-1814-129.pdf","Abrir PDF")</f>
        <v>Abrir PDF</v>
      </c>
    </row>
    <row r="137" spans="1:6" ht="30.95" customHeight="1">
      <c r="A137" s="6">
        <v>-31143</v>
      </c>
      <c r="B137" s="2" t="s">
        <v>787</v>
      </c>
      <c r="C137" s="2" t="s">
        <v>13123</v>
      </c>
      <c r="D137" s="3">
        <v>8</v>
      </c>
      <c r="E137" s="3">
        <v>40</v>
      </c>
      <c r="F137" s="3" t="str">
        <f>HYPERLINK("https://www.boe.es/gazeta/dias/1814/09/24/pdfs/GMD-1814-130.pdf","Abrir PDF")</f>
        <v>Abrir PDF</v>
      </c>
    </row>
    <row r="138" spans="1:6" ht="30.95" customHeight="1">
      <c r="A138" s="6">
        <v>-31140</v>
      </c>
      <c r="B138" s="2" t="s">
        <v>525</v>
      </c>
      <c r="C138" s="2" t="s">
        <v>13124</v>
      </c>
      <c r="D138" s="3">
        <v>8</v>
      </c>
      <c r="E138" s="3">
        <v>40</v>
      </c>
      <c r="F138" s="3" t="str">
        <f>HYPERLINK("https://www.boe.es/gazeta/dias/1814/09/27/pdfs/GMD-1814-131.pdf","Abrir PDF")</f>
        <v>Abrir PDF</v>
      </c>
    </row>
    <row r="139" spans="1:6" ht="30.95" customHeight="1">
      <c r="A139" s="6">
        <v>-31138</v>
      </c>
      <c r="B139" s="2" t="s">
        <v>1363</v>
      </c>
      <c r="C139" s="2" t="s">
        <v>13125</v>
      </c>
      <c r="D139" s="3">
        <v>8</v>
      </c>
      <c r="E139" s="3">
        <v>36</v>
      </c>
      <c r="F139" s="3" t="str">
        <f>HYPERLINK("https://www.boe.es/gazeta/dias/1814/09/29/pdfs/GMD-1814-132.pdf","Abrir PDF")</f>
        <v>Abrir PDF</v>
      </c>
    </row>
    <row r="140" spans="1:6" ht="30.95" customHeight="1">
      <c r="A140" s="6">
        <v>-31136</v>
      </c>
      <c r="B140" s="2" t="s">
        <v>956</v>
      </c>
      <c r="C140" s="2" t="s">
        <v>13126</v>
      </c>
      <c r="D140" s="3">
        <v>9</v>
      </c>
      <c r="E140" s="3">
        <v>28</v>
      </c>
      <c r="F140" s="3" t="str">
        <f>HYPERLINK("https://www.boe.es/gazeta/dias/1814/10/01/pdfs/GMD-1814-133.pdf","Abrir PDF")</f>
        <v>Abrir PDF</v>
      </c>
    </row>
    <row r="141" spans="1:6" ht="30.95" customHeight="1">
      <c r="A141" s="6">
        <v>-31133</v>
      </c>
      <c r="B141" s="2" t="s">
        <v>184</v>
      </c>
      <c r="C141" s="2" t="s">
        <v>13127</v>
      </c>
      <c r="D141" s="3">
        <v>8</v>
      </c>
      <c r="E141" s="3">
        <v>57</v>
      </c>
      <c r="F141" s="3" t="str">
        <f>HYPERLINK("https://www.boe.es/gazeta/dias/1814/10/04/pdfs/GMD-1814-134.pdf","Abrir PDF")</f>
        <v>Abrir PDF</v>
      </c>
    </row>
    <row r="142" spans="1:6" ht="30.95" customHeight="1">
      <c r="A142" s="6">
        <v>-31131</v>
      </c>
      <c r="B142" s="2" t="s">
        <v>132</v>
      </c>
      <c r="C142" s="2" t="s">
        <v>13128</v>
      </c>
      <c r="D142" s="3">
        <v>8</v>
      </c>
      <c r="E142" s="3">
        <v>63</v>
      </c>
      <c r="F142" s="3" t="str">
        <f>HYPERLINK("https://www.boe.es/gazeta/dias/1814/10/06/pdfs/GMD-1814-135.pdf","Abrir PDF")</f>
        <v>Abrir PDF</v>
      </c>
    </row>
    <row r="143" spans="1:6" ht="30.95" customHeight="1">
      <c r="A143" s="6">
        <v>-31129</v>
      </c>
      <c r="B143" s="2" t="s">
        <v>418</v>
      </c>
      <c r="C143" s="2" t="s">
        <v>13129</v>
      </c>
      <c r="D143" s="3">
        <v>8</v>
      </c>
      <c r="E143" s="3">
        <v>59</v>
      </c>
      <c r="F143" s="3" t="str">
        <f>HYPERLINK("https://www.boe.es/gazeta/dias/1814/10/08/pdfs/GMD-1814-136.pdf","Abrir PDF")</f>
        <v>Abrir PDF</v>
      </c>
    </row>
    <row r="144" spans="1:6" ht="30.95" customHeight="1">
      <c r="A144" s="6">
        <v>-31126</v>
      </c>
      <c r="B144" s="2" t="s">
        <v>56</v>
      </c>
      <c r="C144" s="2" t="s">
        <v>13130</v>
      </c>
      <c r="D144" s="3">
        <v>8</v>
      </c>
      <c r="E144" s="3">
        <v>30</v>
      </c>
      <c r="F144" s="3" t="str">
        <f>HYPERLINK("https://www.boe.es/gazeta/dias/1814/10/11/pdfs/GMD-1814-137.pdf","Abrir PDF")</f>
        <v>Abrir PDF</v>
      </c>
    </row>
    <row r="145" spans="1:6" ht="30.95" customHeight="1">
      <c r="A145" s="6">
        <v>-31124</v>
      </c>
      <c r="B145" s="2" t="s">
        <v>383</v>
      </c>
      <c r="C145" s="2" t="s">
        <v>13131</v>
      </c>
      <c r="D145" s="3">
        <v>12</v>
      </c>
      <c r="E145" s="3">
        <v>97</v>
      </c>
      <c r="F145" s="3" t="str">
        <f>HYPERLINK("https://www.boe.es/gazeta/dias/1814/10/13/pdfs/GMD-1814-138.pdf","Abrir PDF")</f>
        <v>Abrir PDF</v>
      </c>
    </row>
    <row r="146" spans="1:6" ht="30.95" customHeight="1">
      <c r="A146" s="6">
        <v>-31122</v>
      </c>
      <c r="B146" s="2" t="s">
        <v>28</v>
      </c>
      <c r="C146" s="2" t="s">
        <v>13132</v>
      </c>
      <c r="D146" s="3">
        <v>8</v>
      </c>
      <c r="E146" s="3">
        <v>64</v>
      </c>
      <c r="F146" s="3" t="str">
        <f>HYPERLINK("https://www.boe.es/gazeta/dias/1814/10/15/pdfs/GMD-1814-139.pdf","Abrir PDF")</f>
        <v>Abrir PDF</v>
      </c>
    </row>
    <row r="147" spans="1:6" ht="30.95" customHeight="1">
      <c r="A147" s="6">
        <v>-31119</v>
      </c>
      <c r="B147" s="2" t="s">
        <v>136</v>
      </c>
      <c r="C147" s="2" t="s">
        <v>13133</v>
      </c>
      <c r="D147" s="3">
        <v>12</v>
      </c>
      <c r="E147" s="3">
        <v>107</v>
      </c>
      <c r="F147" s="3" t="str">
        <f>HYPERLINK("https://www.boe.es/gazeta/dias/1814/10/18/pdfs/GMD-1814-140.pdf","Abrir PDF")</f>
        <v>Abrir PDF</v>
      </c>
    </row>
    <row r="148" spans="1:6" ht="30.95" customHeight="1">
      <c r="A148" s="6">
        <v>-31117</v>
      </c>
      <c r="B148" s="2" t="s">
        <v>172</v>
      </c>
      <c r="C148" s="2" t="s">
        <v>13134</v>
      </c>
      <c r="D148" s="3">
        <v>8</v>
      </c>
      <c r="E148" s="3">
        <v>51</v>
      </c>
      <c r="F148" s="3" t="str">
        <f>HYPERLINK("https://www.boe.es/gazeta/dias/1814/10/20/pdfs/GMD-1814-141.pdf","Abrir PDF")</f>
        <v>Abrir PDF</v>
      </c>
    </row>
    <row r="149" spans="1:6" ht="30.95" customHeight="1">
      <c r="A149" s="6">
        <v>-31115</v>
      </c>
      <c r="B149" s="2" t="s">
        <v>805</v>
      </c>
      <c r="C149" s="2" t="s">
        <v>13135</v>
      </c>
      <c r="D149" s="3">
        <v>8</v>
      </c>
      <c r="E149" s="3">
        <v>67</v>
      </c>
      <c r="F149" s="3" t="str">
        <f>HYPERLINK("https://www.boe.es/gazeta/dias/1814/10/22/pdfs/GMD-1814-142.pdf","Abrir PDF")</f>
        <v>Abrir PDF</v>
      </c>
    </row>
    <row r="150" spans="1:6" ht="30.95" customHeight="1">
      <c r="A150" s="6">
        <v>-31112</v>
      </c>
      <c r="B150" s="2" t="s">
        <v>707</v>
      </c>
      <c r="C150" s="2" t="s">
        <v>13136</v>
      </c>
      <c r="D150" s="3">
        <v>8</v>
      </c>
      <c r="E150" s="3">
        <v>37</v>
      </c>
      <c r="F150" s="3" t="str">
        <f>HYPERLINK("https://www.boe.es/gazeta/dias/1814/10/25/pdfs/GMD-1814-143.pdf","Abrir PDF")</f>
        <v>Abrir PDF</v>
      </c>
    </row>
    <row r="151" spans="1:6" ht="30.95" customHeight="1">
      <c r="A151" s="6">
        <v>-31110</v>
      </c>
      <c r="B151" s="2" t="s">
        <v>149</v>
      </c>
      <c r="C151" s="2" t="s">
        <v>13137</v>
      </c>
      <c r="D151" s="3">
        <v>8</v>
      </c>
      <c r="E151" s="3">
        <v>46</v>
      </c>
      <c r="F151" s="3" t="str">
        <f>HYPERLINK("https://www.boe.es/gazeta/dias/1814/10/27/pdfs/GMD-1814-144.pdf","Abrir PDF")</f>
        <v>Abrir PDF</v>
      </c>
    </row>
    <row r="152" spans="1:6" ht="30.95" customHeight="1">
      <c r="A152" s="6">
        <v>-31108</v>
      </c>
      <c r="B152" s="2" t="s">
        <v>528</v>
      </c>
      <c r="C152" s="2" t="s">
        <v>13138</v>
      </c>
      <c r="D152" s="3">
        <v>8</v>
      </c>
      <c r="E152" s="3">
        <v>16</v>
      </c>
      <c r="F152" s="3" t="str">
        <f>HYPERLINK("https://www.boe.es/gazeta/dias/1814/10/29/pdfs/GMD-1814-145.pdf","Abrir PDF")</f>
        <v>Abrir PDF</v>
      </c>
    </row>
    <row r="153" spans="1:6" ht="30.95" customHeight="1">
      <c r="A153" s="6">
        <v>-31105</v>
      </c>
      <c r="B153" s="2" t="s">
        <v>61</v>
      </c>
      <c r="C153" s="2" t="s">
        <v>13139</v>
      </c>
      <c r="D153" s="3">
        <v>8</v>
      </c>
      <c r="E153" s="3">
        <v>13</v>
      </c>
      <c r="F153" s="3" t="str">
        <f>HYPERLINK("https://www.boe.es/gazeta/dias/1814/11/01/pdfs/GMD-1814-146.pdf","Abrir PDF")</f>
        <v>Abrir PDF</v>
      </c>
    </row>
    <row r="154" spans="1:6" ht="30.95" customHeight="1">
      <c r="A154" s="6">
        <v>-31103</v>
      </c>
      <c r="B154" s="2" t="s">
        <v>1260</v>
      </c>
      <c r="C154" s="2" t="s">
        <v>13140</v>
      </c>
      <c r="D154" s="3">
        <v>8</v>
      </c>
      <c r="E154" s="3">
        <v>23</v>
      </c>
      <c r="F154" s="3" t="str">
        <f>HYPERLINK("https://www.boe.es/gazeta/dias/1814/11/03/pdfs/GMD-1814-147.pdf","Abrir PDF")</f>
        <v>Abrir PDF</v>
      </c>
    </row>
    <row r="155" spans="1:6" ht="30.95" customHeight="1">
      <c r="A155" s="6">
        <v>-31101</v>
      </c>
      <c r="B155" s="2" t="s">
        <v>2095</v>
      </c>
      <c r="C155" s="2" t="s">
        <v>13141</v>
      </c>
      <c r="D155" s="3">
        <v>8</v>
      </c>
      <c r="E155" s="3">
        <v>10</v>
      </c>
      <c r="F155" s="3" t="str">
        <f>HYPERLINK("https://www.boe.es/gazeta/dias/1814/11/05/pdfs/GMD-1814-148.pdf","Abrir PDF")</f>
        <v>Abrir PDF</v>
      </c>
    </row>
    <row r="156" spans="1:6" ht="30.95" customHeight="1">
      <c r="A156" s="6">
        <v>-31098</v>
      </c>
      <c r="B156" s="2" t="s">
        <v>290</v>
      </c>
      <c r="C156" s="2" t="s">
        <v>13142</v>
      </c>
      <c r="D156" s="3">
        <v>8</v>
      </c>
      <c r="E156" s="3">
        <v>23</v>
      </c>
      <c r="F156" s="3" t="str">
        <f>HYPERLINK("https://www.boe.es/gazeta/dias/1814/11/08/pdfs/GMD-1814-149.pdf","Abrir PDF")</f>
        <v>Abrir PDF</v>
      </c>
    </row>
    <row r="157" spans="1:6" ht="30.95" customHeight="1">
      <c r="A157" s="6">
        <v>-31096</v>
      </c>
      <c r="B157" s="2" t="s">
        <v>223</v>
      </c>
      <c r="C157" s="2" t="s">
        <v>13143</v>
      </c>
      <c r="D157" s="3">
        <v>8</v>
      </c>
      <c r="E157" s="3">
        <v>29</v>
      </c>
      <c r="F157" s="3" t="str">
        <f>HYPERLINK("https://www.boe.es/gazeta/dias/1814/11/10/pdfs/GMD-1814-150.pdf","Abrir PDF")</f>
        <v>Abrir PDF</v>
      </c>
    </row>
    <row r="158" spans="1:6" ht="30.95" customHeight="1">
      <c r="A158" s="6">
        <v>-31094</v>
      </c>
      <c r="B158" s="2" t="s">
        <v>761</v>
      </c>
      <c r="C158" s="2" t="s">
        <v>13144</v>
      </c>
      <c r="D158" s="3">
        <v>8</v>
      </c>
      <c r="E158" s="3">
        <v>34</v>
      </c>
      <c r="F158" s="3" t="str">
        <f>HYPERLINK("https://www.boe.es/gazeta/dias/1814/11/12/pdfs/GMD-1814-151.pdf","Abrir PDF")</f>
        <v>Abrir PDF</v>
      </c>
    </row>
    <row r="159" spans="1:6" ht="30.95" customHeight="1">
      <c r="A159" s="6">
        <v>-31091</v>
      </c>
      <c r="B159" s="2" t="s">
        <v>1156</v>
      </c>
      <c r="C159" s="2" t="s">
        <v>13145</v>
      </c>
      <c r="D159" s="3">
        <v>8</v>
      </c>
      <c r="E159" s="3">
        <v>23</v>
      </c>
      <c r="F159" s="3" t="str">
        <f>HYPERLINK("https://www.boe.es/gazeta/dias/1814/11/15/pdfs/GMD-1814-152.pdf","Abrir PDF")</f>
        <v>Abrir PDF</v>
      </c>
    </row>
    <row r="160" spans="1:6" ht="30.95" customHeight="1">
      <c r="A160" s="6">
        <v>-31089</v>
      </c>
      <c r="B160" s="2" t="s">
        <v>531</v>
      </c>
      <c r="C160" s="2" t="s">
        <v>13146</v>
      </c>
      <c r="D160" s="3">
        <v>8</v>
      </c>
      <c r="E160" s="3">
        <v>38</v>
      </c>
      <c r="F160" s="3" t="str">
        <f>HYPERLINK("https://www.boe.es/gazeta/dias/1814/11/17/pdfs/GMD-1814-153.pdf","Abrir PDF")</f>
        <v>Abrir PDF</v>
      </c>
    </row>
    <row r="161" spans="1:6" ht="30.95" customHeight="1">
      <c r="A161" s="6">
        <v>-31087</v>
      </c>
      <c r="B161" s="2" t="s">
        <v>118</v>
      </c>
      <c r="C161" s="2" t="s">
        <v>13147</v>
      </c>
      <c r="D161" s="3">
        <v>8</v>
      </c>
      <c r="E161" s="3">
        <v>32</v>
      </c>
      <c r="F161" s="3" t="str">
        <f>HYPERLINK("https://www.boe.es/gazeta/dias/1814/11/19/pdfs/GMD-1814-154.pdf","Abrir PDF")</f>
        <v>Abrir PDF</v>
      </c>
    </row>
    <row r="162" spans="1:6" ht="30.95" customHeight="1">
      <c r="A162" s="6">
        <v>-31084</v>
      </c>
      <c r="B162" s="2" t="s">
        <v>282</v>
      </c>
      <c r="C162" s="2" t="s">
        <v>13148</v>
      </c>
      <c r="D162" s="3">
        <v>8</v>
      </c>
      <c r="E162" s="3">
        <v>29</v>
      </c>
      <c r="F162" s="3" t="str">
        <f>HYPERLINK("https://www.boe.es/gazeta/dias/1814/11/22/pdfs/GMD-1814-155.pdf","Abrir PDF")</f>
        <v>Abrir PDF</v>
      </c>
    </row>
    <row r="163" spans="1:6" ht="30.95" customHeight="1">
      <c r="A163" s="6">
        <v>-31082</v>
      </c>
      <c r="B163" s="2" t="s">
        <v>535</v>
      </c>
      <c r="C163" s="2" t="s">
        <v>13149</v>
      </c>
      <c r="D163" s="3">
        <v>8</v>
      </c>
      <c r="E163" s="3">
        <v>20</v>
      </c>
      <c r="F163" s="3" t="str">
        <f>HYPERLINK("https://www.boe.es/gazeta/dias/1814/11/24/pdfs/GMD-1814-156.pdf","Abrir PDF")</f>
        <v>Abrir PDF</v>
      </c>
    </row>
    <row r="164" spans="1:6" ht="30.95" customHeight="1">
      <c r="A164" s="6">
        <v>-31080</v>
      </c>
      <c r="B164" s="2" t="s">
        <v>286</v>
      </c>
      <c r="C164" s="2" t="s">
        <v>13150</v>
      </c>
      <c r="D164" s="3">
        <v>8</v>
      </c>
      <c r="E164" s="3">
        <v>55</v>
      </c>
      <c r="F164" s="3" t="str">
        <f>HYPERLINK("https://www.boe.es/gazeta/dias/1814/11/26/pdfs/GMD-1814-157.pdf","Abrir PDF")</f>
        <v>Abrir PDF</v>
      </c>
    </row>
    <row r="165" spans="1:6" ht="30.95" customHeight="1">
      <c r="A165" s="6">
        <v>-31077</v>
      </c>
      <c r="B165" s="2" t="s">
        <v>414</v>
      </c>
      <c r="C165" s="2" t="s">
        <v>13151</v>
      </c>
      <c r="D165" s="3">
        <v>8</v>
      </c>
      <c r="E165" s="3">
        <v>33</v>
      </c>
      <c r="F165" s="3" t="str">
        <f>HYPERLINK("https://www.boe.es/gazeta/dias/1814/11/29/pdfs/GMD-1814-158.pdf","Abrir PDF")</f>
        <v>Abrir PDF</v>
      </c>
    </row>
    <row r="166" spans="1:6" ht="30.95" customHeight="1">
      <c r="A166" s="6">
        <v>-31075</v>
      </c>
      <c r="B166" s="2" t="s">
        <v>537</v>
      </c>
      <c r="C166" s="2" t="s">
        <v>13152</v>
      </c>
      <c r="D166" s="3">
        <v>8</v>
      </c>
      <c r="E166" s="3">
        <v>35</v>
      </c>
      <c r="F166" s="3" t="str">
        <f>HYPERLINK("https://www.boe.es/gazeta/dias/1814/12/01/pdfs/GMD-1814-159.pdf","Abrir PDF")</f>
        <v>Abrir PDF</v>
      </c>
    </row>
    <row r="167" spans="1:6" ht="30.95" customHeight="1">
      <c r="A167" s="6">
        <v>-31073</v>
      </c>
      <c r="B167" s="2" t="s">
        <v>3052</v>
      </c>
      <c r="C167" s="2" t="s">
        <v>13153</v>
      </c>
      <c r="D167" s="3">
        <v>8</v>
      </c>
      <c r="E167" s="3">
        <v>17</v>
      </c>
      <c r="F167" s="3" t="str">
        <f>HYPERLINK("https://www.boe.es/gazeta/dias/1814/12/03/pdfs/GMD-1814-160.pdf","Abrir PDF")</f>
        <v>Abrir PDF</v>
      </c>
    </row>
    <row r="168" spans="1:6" ht="30.95" customHeight="1">
      <c r="A168" s="6">
        <v>-31070</v>
      </c>
      <c r="B168" s="2" t="s">
        <v>92</v>
      </c>
      <c r="C168" s="2" t="s">
        <v>13154</v>
      </c>
      <c r="D168" s="3">
        <v>8</v>
      </c>
      <c r="E168" s="3">
        <v>13</v>
      </c>
      <c r="F168" s="3" t="str">
        <f>HYPERLINK("https://www.boe.es/gazeta/dias/1814/12/06/pdfs/GMD-1814-161.pdf","Abrir PDF")</f>
        <v>Abrir PDF</v>
      </c>
    </row>
    <row r="169" spans="1:6" ht="30.95" customHeight="1">
      <c r="A169" s="6">
        <v>-31068</v>
      </c>
      <c r="B169" s="2" t="s">
        <v>548</v>
      </c>
      <c r="C169" s="2" t="s">
        <v>13155</v>
      </c>
      <c r="D169" s="3">
        <v>8</v>
      </c>
      <c r="E169" s="3">
        <v>31</v>
      </c>
      <c r="F169" s="3" t="str">
        <f>HYPERLINK("https://www.boe.es/gazeta/dias/1814/12/08/pdfs/GMD-1814-162.pdf","Abrir PDF")</f>
        <v>Abrir PDF</v>
      </c>
    </row>
    <row r="170" spans="1:6" ht="30.95" customHeight="1">
      <c r="A170" s="6">
        <v>-31066</v>
      </c>
      <c r="B170" s="2" t="s">
        <v>1323</v>
      </c>
      <c r="C170" s="2" t="s">
        <v>13156</v>
      </c>
      <c r="D170" s="3">
        <v>8</v>
      </c>
      <c r="E170" s="3">
        <v>18</v>
      </c>
      <c r="F170" s="3" t="str">
        <f>HYPERLINK("https://www.boe.es/gazeta/dias/1814/12/10/pdfs/GMD-1814-163.pdf","Abrir PDF")</f>
        <v>Abrir PDF</v>
      </c>
    </row>
    <row r="171" spans="1:6" ht="30.95" customHeight="1">
      <c r="A171" s="6">
        <v>-31063</v>
      </c>
      <c r="B171" s="2" t="s">
        <v>649</v>
      </c>
      <c r="C171" s="2" t="s">
        <v>13157</v>
      </c>
      <c r="D171" s="3">
        <v>8</v>
      </c>
      <c r="E171" s="3">
        <v>30</v>
      </c>
      <c r="F171" s="3" t="str">
        <f>HYPERLINK("https://www.boe.es/gazeta/dias/1814/12/13/pdfs/GMD-1814-164.pdf","Abrir PDF")</f>
        <v>Abrir PDF</v>
      </c>
    </row>
    <row r="172" spans="1:6" ht="30.95" customHeight="1">
      <c r="A172" s="6">
        <v>-31061</v>
      </c>
      <c r="B172" s="2" t="s">
        <v>329</v>
      </c>
      <c r="C172" s="2" t="s">
        <v>13158</v>
      </c>
      <c r="D172" s="3">
        <v>8</v>
      </c>
      <c r="E172" s="3">
        <v>24</v>
      </c>
      <c r="F172" s="3" t="str">
        <f>HYPERLINK("https://www.boe.es/gazeta/dias/1814/12/15/pdfs/GMD-1814-165.pdf","Abrir PDF")</f>
        <v>Abrir PDF</v>
      </c>
    </row>
    <row r="173" spans="1:6" ht="30.95" customHeight="1">
      <c r="A173" s="6">
        <v>-31060</v>
      </c>
      <c r="B173" s="2" t="s">
        <v>4339</v>
      </c>
      <c r="C173" s="2" t="s">
        <v>13159</v>
      </c>
      <c r="D173" s="3">
        <v>3</v>
      </c>
      <c r="E173" s="3">
        <v>6</v>
      </c>
      <c r="F173" s="3" t="str">
        <f>HYPERLINK("https://www.boe.es/gazeta/dias/1814/12/16/pdfs/GMD-1814-166E.pdf","Abrir PDF")</f>
        <v>Abrir PDF</v>
      </c>
    </row>
    <row r="174" spans="1:6" ht="30.95" customHeight="1">
      <c r="A174" s="6">
        <v>-31059</v>
      </c>
      <c r="B174" s="2" t="s">
        <v>263</v>
      </c>
      <c r="C174" s="2" t="s">
        <v>13160</v>
      </c>
      <c r="D174" s="3">
        <v>8</v>
      </c>
      <c r="E174" s="3">
        <v>51</v>
      </c>
      <c r="F174" s="3" t="str">
        <f>HYPERLINK("https://www.boe.es/gazeta/dias/1814/12/17/pdfs/GMD-1814-167.pdf","Abrir PDF")</f>
        <v>Abrir PDF</v>
      </c>
    </row>
    <row r="175" spans="1:6" ht="30.95" customHeight="1">
      <c r="A175" s="6">
        <v>-31056</v>
      </c>
      <c r="B175" s="2" t="s">
        <v>540</v>
      </c>
      <c r="C175" s="2" t="s">
        <v>13161</v>
      </c>
      <c r="D175" s="3">
        <v>8</v>
      </c>
      <c r="E175" s="3">
        <v>17</v>
      </c>
      <c r="F175" s="3" t="str">
        <f>HYPERLINK("https://www.boe.es/gazeta/dias/1814/12/20/pdfs/GMD-1814-168.pdf","Abrir PDF")</f>
        <v>Abrir PDF</v>
      </c>
    </row>
    <row r="176" spans="1:6" ht="30.95" customHeight="1">
      <c r="A176" s="6">
        <v>-31054</v>
      </c>
      <c r="B176" s="2" t="s">
        <v>952</v>
      </c>
      <c r="C176" s="2" t="s">
        <v>13162</v>
      </c>
      <c r="D176" s="3">
        <v>8</v>
      </c>
      <c r="E176" s="3">
        <v>37</v>
      </c>
      <c r="F176" s="3" t="str">
        <f>HYPERLINK("https://www.boe.es/gazeta/dias/1814/12/22/pdfs/GMD-1814-169.pdf","Abrir PDF")</f>
        <v>Abrir PDF</v>
      </c>
    </row>
    <row r="177" spans="1:6" ht="30.95" customHeight="1">
      <c r="A177" s="6">
        <v>-31052</v>
      </c>
      <c r="B177" s="2" t="s">
        <v>1407</v>
      </c>
      <c r="C177" s="2" t="s">
        <v>13163</v>
      </c>
      <c r="D177" s="3">
        <v>8</v>
      </c>
      <c r="E177" s="3">
        <v>18</v>
      </c>
      <c r="F177" s="3" t="str">
        <f>HYPERLINK("https://www.boe.es/gazeta/dias/1814/12/24/pdfs/GMD-1814-170.pdf","Abrir PDF")</f>
        <v>Abrir PDF</v>
      </c>
    </row>
    <row r="178" spans="1:6" ht="30.95" customHeight="1">
      <c r="A178" s="6">
        <v>-31049</v>
      </c>
      <c r="B178" s="2" t="s">
        <v>542</v>
      </c>
      <c r="C178" s="2" t="s">
        <v>13164</v>
      </c>
      <c r="D178" s="3">
        <v>8</v>
      </c>
      <c r="E178" s="3">
        <v>36</v>
      </c>
      <c r="F178" s="3" t="str">
        <f>HYPERLINK("https://www.boe.es/gazeta/dias/1814/12/27/pdfs/GMD-1814-171.pdf","Abrir PDF")</f>
        <v>Abrir PDF</v>
      </c>
    </row>
    <row r="179" spans="1:6" ht="30.95" customHeight="1">
      <c r="A179" s="6">
        <v>-31047</v>
      </c>
      <c r="B179" s="2" t="s">
        <v>815</v>
      </c>
      <c r="C179" s="2" t="s">
        <v>13165</v>
      </c>
      <c r="D179" s="3">
        <v>8</v>
      </c>
      <c r="E179" s="3">
        <v>14</v>
      </c>
      <c r="F179" s="3" t="str">
        <f>HYPERLINK("https://www.boe.es/gazeta/dias/1814/12/29/pdfs/GMD-1814-172.pdf","Abrir PDF")</f>
        <v>Abrir PDF</v>
      </c>
    </row>
    <row r="180" spans="1:6" ht="30.95" customHeight="1">
      <c r="A180" s="6">
        <v>-31045</v>
      </c>
      <c r="B180" s="2" t="s">
        <v>165</v>
      </c>
      <c r="C180" s="2" t="s">
        <v>13166</v>
      </c>
      <c r="D180" s="3">
        <v>8</v>
      </c>
      <c r="E180" s="3">
        <v>18</v>
      </c>
      <c r="F180" s="3" t="str">
        <f>HYPERLINK("https://www.boe.es/gazeta/dias/1814/12/31/pdfs/GMD-1814-173.pdf","Abrir PDF")</f>
        <v>Abrir PDF</v>
      </c>
    </row>
    <row r="181" spans="1:6" ht="30.95" customHeight="1">
      <c r="A181" s="4"/>
      <c r="B181" s="2"/>
      <c r="C181" s="2"/>
      <c r="D181" s="3"/>
      <c r="E181" s="3"/>
      <c r="F181" s="3"/>
    </row>
    <row r="182" spans="1:6" ht="30.95" customHeight="1">
      <c r="A182" s="4"/>
      <c r="B182" s="2"/>
      <c r="C182" s="2"/>
      <c r="D182" s="3"/>
      <c r="E182" s="3"/>
      <c r="F182" s="3"/>
    </row>
    <row r="183" spans="1:6" ht="24" customHeight="1">
      <c r="A183" s="13" t="s">
        <v>13167</v>
      </c>
      <c r="B183" s="14"/>
      <c r="C183" s="14"/>
      <c r="D183" s="15"/>
      <c r="E183" s="15"/>
      <c r="F183" s="16"/>
    </row>
    <row r="184" spans="1:6" ht="42" customHeight="1">
      <c r="A184" s="7" t="s">
        <v>13168</v>
      </c>
      <c r="B184" s="17" t="s">
        <v>13169</v>
      </c>
      <c r="C184" s="17"/>
      <c r="D184" s="18"/>
      <c r="E184" s="18"/>
      <c r="F184" s="18"/>
    </row>
    <row r="185" spans="1:6" ht="42" customHeight="1">
      <c r="A185" s="7" t="s">
        <v>13170</v>
      </c>
      <c r="B185" s="17" t="s">
        <v>13171</v>
      </c>
      <c r="C185" s="17"/>
      <c r="D185" s="18"/>
      <c r="E185" s="18"/>
      <c r="F185" s="18"/>
    </row>
    <row r="186" spans="1:6" ht="42" customHeight="1">
      <c r="A186" s="7" t="s">
        <v>13172</v>
      </c>
      <c r="B186" s="17" t="s">
        <v>13173</v>
      </c>
      <c r="C186" s="17"/>
      <c r="D186" s="18"/>
      <c r="E186" s="18"/>
      <c r="F186" s="18"/>
    </row>
    <row r="187" spans="1:6" ht="42" customHeight="1">
      <c r="A187" s="7" t="s">
        <v>13174</v>
      </c>
      <c r="B187" s="17" t="s">
        <v>13175</v>
      </c>
      <c r="C187" s="17"/>
      <c r="D187" s="18"/>
      <c r="E187" s="18"/>
      <c r="F187" s="18"/>
    </row>
    <row r="188" spans="1:6" ht="42" customHeight="1">
      <c r="A188" s="7" t="s">
        <v>13176</v>
      </c>
      <c r="B188" s="17" t="s">
        <v>13177</v>
      </c>
      <c r="C188" s="17"/>
      <c r="D188" s="18"/>
      <c r="E188" s="18"/>
      <c r="F188" s="18"/>
    </row>
    <row r="189" spans="1:6" ht="42" customHeight="1">
      <c r="A189" s="7" t="s">
        <v>10</v>
      </c>
      <c r="B189" s="17" t="s">
        <v>13178</v>
      </c>
      <c r="C189" s="17"/>
      <c r="D189" s="18"/>
      <c r="E189" s="18"/>
      <c r="F189" s="18"/>
    </row>
    <row r="190" spans="1:6" ht="42" customHeight="1">
      <c r="A190" s="7" t="s">
        <v>13179</v>
      </c>
      <c r="B190" s="17" t="s">
        <v>13180</v>
      </c>
      <c r="C190" s="17"/>
      <c r="D190" s="18"/>
      <c r="E190" s="18"/>
      <c r="F190" s="18"/>
    </row>
    <row r="191" spans="1:6" ht="42" customHeight="1">
      <c r="A191" s="7" t="s">
        <v>13181</v>
      </c>
      <c r="B191" s="17" t="s">
        <v>13182</v>
      </c>
      <c r="C191" s="17"/>
      <c r="D191" s="18"/>
      <c r="E191" s="18"/>
      <c r="F191" s="18"/>
    </row>
    <row r="192" spans="1:6" ht="42" customHeight="1">
      <c r="A192" s="7" t="s">
        <v>13183</v>
      </c>
      <c r="B192" s="17" t="s">
        <v>13184</v>
      </c>
      <c r="C192" s="17"/>
      <c r="D192" s="18"/>
      <c r="E192" s="18"/>
      <c r="F192" s="18"/>
    </row>
    <row r="193" ht="30.95" customHeight="1"/>
    <row r="194" ht="30.95" customHeight="1"/>
    <row r="195" ht="30.95" customHeight="1"/>
    <row r="196" ht="30.95" customHeight="1"/>
    <row r="197" ht="30.95" customHeight="1"/>
    <row r="198" ht="30.95" customHeight="1"/>
    <row r="199" ht="30.95" customHeight="1"/>
    <row r="200" ht="30.95" customHeight="1"/>
    <row r="201" ht="30.95" customHeight="1"/>
    <row r="202" ht="30.95" customHeight="1"/>
    <row r="203" ht="30.95" customHeight="1"/>
    <row r="204" ht="30.95" customHeight="1"/>
    <row r="205" ht="30.95" customHeight="1"/>
    <row r="206" ht="30.95" customHeight="1"/>
    <row r="207" ht="30.95" customHeight="1"/>
    <row r="208" ht="30.95" customHeight="1"/>
    <row r="209" ht="30.95" customHeight="1"/>
    <row r="210" ht="30.95" customHeight="1"/>
    <row r="211" ht="30.95" customHeight="1"/>
    <row r="212" ht="30.95" customHeight="1"/>
    <row r="213" ht="30.95" customHeight="1"/>
    <row r="214" ht="30.95" customHeight="1"/>
    <row r="215" ht="30.95" customHeight="1"/>
    <row r="216" ht="30.95" customHeight="1"/>
    <row r="217" ht="30.95" customHeight="1"/>
    <row r="218" ht="30.95" customHeight="1"/>
    <row r="219" ht="30.95" customHeight="1"/>
    <row r="220" ht="30.95" customHeight="1"/>
    <row r="221" ht="30.95" customHeight="1"/>
    <row r="222" ht="30.95" customHeight="1"/>
    <row r="223" ht="30.95" customHeight="1"/>
    <row r="224" ht="30.95" customHeight="1"/>
    <row r="225" ht="30.95" customHeight="1"/>
    <row r="226" ht="30.95" customHeight="1"/>
    <row r="227" ht="30.95" customHeight="1"/>
    <row r="228" ht="30.95" customHeight="1"/>
    <row r="229" ht="30.95" customHeight="1"/>
    <row r="230" ht="30.95" customHeight="1"/>
    <row r="231" ht="30.95" customHeight="1"/>
    <row r="232" ht="30.95" customHeight="1"/>
    <row r="233" ht="30.95" customHeight="1"/>
    <row r="234" ht="30.95" customHeight="1"/>
    <row r="235" ht="30.95" customHeight="1"/>
    <row r="236" ht="30.95" customHeight="1"/>
    <row r="237" ht="30.95" customHeight="1"/>
    <row r="238" ht="30.95" customHeight="1"/>
    <row r="239" ht="30.95" customHeight="1"/>
    <row r="240" ht="30.95" customHeight="1"/>
    <row r="241" ht="30.95" customHeight="1"/>
    <row r="242" ht="30.95" customHeight="1"/>
    <row r="243" ht="30.95" customHeight="1"/>
    <row r="244" ht="30.95" customHeight="1"/>
    <row r="245" ht="30.95" customHeight="1"/>
    <row r="246" ht="30.95" customHeight="1"/>
    <row r="247" ht="30.95" customHeight="1"/>
    <row r="248" ht="30.95" customHeight="1"/>
    <row r="249" ht="30.95" customHeight="1"/>
    <row r="250" ht="30.95" customHeight="1"/>
    <row r="251" ht="30.95" customHeight="1"/>
    <row r="252" ht="30.95" customHeight="1"/>
    <row r="253" ht="30.95" customHeight="1"/>
    <row r="254" ht="30.95" customHeight="1"/>
    <row r="255" ht="30.95" customHeight="1"/>
    <row r="256" ht="30.95" customHeight="1"/>
    <row r="257" ht="30.95" customHeight="1"/>
    <row r="258" ht="30.95" customHeight="1"/>
    <row r="259" ht="30.95" customHeight="1"/>
    <row r="260" ht="30.95" customHeight="1"/>
    <row r="261" ht="30.95" customHeight="1"/>
    <row r="262" ht="30.95" customHeight="1"/>
    <row r="263" ht="30.95" customHeight="1"/>
    <row r="264" ht="30.95" customHeight="1"/>
    <row r="265" ht="30.95" customHeight="1"/>
    <row r="266" ht="30.95" customHeight="1"/>
    <row r="267" ht="30.95" customHeight="1"/>
    <row r="268" ht="30.95" customHeight="1"/>
    <row r="269" ht="30.95" customHeight="1"/>
    <row r="270" ht="30.95" customHeight="1"/>
    <row r="271" ht="30.95" customHeight="1"/>
    <row r="272" ht="30.95" customHeight="1"/>
    <row r="273" ht="30.95" customHeight="1"/>
    <row r="274" ht="30.95" customHeight="1"/>
    <row r="275" ht="30.95" customHeight="1"/>
    <row r="276" ht="30.95" customHeight="1"/>
    <row r="277" ht="30.95" customHeight="1"/>
    <row r="278" ht="30.95" customHeight="1"/>
    <row r="279" ht="30.95" customHeight="1"/>
    <row r="280" ht="30.95" customHeight="1"/>
    <row r="281" ht="30.95" customHeight="1"/>
    <row r="282" ht="30.95" customHeight="1"/>
    <row r="283" ht="30.95" customHeight="1"/>
    <row r="284" ht="30.95" customHeight="1"/>
    <row r="285" ht="30.95" customHeight="1"/>
    <row r="286" ht="30.95" customHeight="1"/>
    <row r="287" ht="30.95" customHeight="1"/>
    <row r="288" ht="30.95" customHeight="1"/>
    <row r="289" ht="30.95" customHeight="1"/>
    <row r="290" ht="30.95" customHeight="1"/>
    <row r="291" ht="30.95" customHeight="1"/>
    <row r="292" ht="30.95" customHeight="1"/>
    <row r="293" ht="30.95" customHeight="1"/>
    <row r="294" ht="30.95" customHeight="1"/>
    <row r="295" ht="30.95" customHeight="1"/>
    <row r="296" ht="30.95" customHeight="1"/>
    <row r="297" ht="30.95" customHeight="1"/>
    <row r="298" ht="30.95" customHeight="1"/>
    <row r="299" ht="30.95" customHeight="1"/>
    <row r="300" ht="30.95" customHeight="1"/>
    <row r="301" ht="30.95" customHeight="1"/>
    <row r="302" ht="30.95" customHeight="1"/>
    <row r="303" ht="30.95" customHeight="1"/>
    <row r="304" ht="30.95" customHeight="1"/>
    <row r="305" ht="30.95" customHeight="1"/>
    <row r="306" ht="30.95" customHeight="1"/>
    <row r="307" ht="30.95" customHeight="1"/>
    <row r="308" ht="30.95" customHeight="1"/>
    <row r="309" ht="30.95" customHeight="1"/>
    <row r="310" ht="30.95" customHeight="1"/>
    <row r="311" ht="30.95" customHeight="1"/>
    <row r="312" ht="30.95" customHeight="1"/>
    <row r="313" ht="30.95" customHeight="1"/>
    <row r="314" ht="30.95" customHeight="1"/>
    <row r="315" ht="30.95" customHeight="1"/>
    <row r="316" ht="30.95" customHeight="1"/>
    <row r="317" ht="30.95" customHeight="1"/>
    <row r="318" ht="30.95" customHeight="1"/>
    <row r="319" ht="30.95" customHeight="1"/>
    <row r="320" ht="30.95" customHeight="1"/>
    <row r="321" ht="30.95" customHeight="1"/>
    <row r="322" ht="30.95" customHeight="1"/>
    <row r="323" ht="30.95" customHeight="1"/>
    <row r="324" ht="30.95" customHeight="1"/>
    <row r="325" ht="30.95" customHeight="1"/>
    <row r="326" ht="30.95" customHeight="1"/>
    <row r="327" ht="30.95" customHeight="1"/>
    <row r="328" ht="30.95" customHeight="1"/>
    <row r="329" ht="30.95" customHeight="1"/>
    <row r="330" ht="30.95" customHeight="1"/>
    <row r="331" ht="30.95" customHeight="1"/>
    <row r="332" ht="30.95" customHeight="1"/>
    <row r="333" ht="30.95" customHeight="1"/>
    <row r="334" ht="30.95" customHeight="1"/>
    <row r="335" ht="30.95" customHeight="1"/>
    <row r="336" ht="30.95" customHeight="1"/>
    <row r="337" ht="30.95" customHeight="1"/>
    <row r="338" ht="30.95" customHeight="1"/>
    <row r="339" ht="30.95" customHeight="1"/>
    <row r="340" ht="30.95" customHeight="1"/>
    <row r="341" ht="30.95" customHeight="1"/>
    <row r="342" ht="30.95" customHeight="1"/>
    <row r="343" ht="30.95" customHeight="1"/>
    <row r="344" ht="30.95" customHeight="1"/>
    <row r="345" ht="30.95" customHeight="1"/>
    <row r="346" ht="30.95" customHeight="1"/>
    <row r="347" ht="30.95" customHeight="1"/>
    <row r="348" ht="30.95" customHeight="1"/>
    <row r="349" ht="30.95" customHeight="1"/>
    <row r="350" ht="30.95" customHeight="1"/>
    <row r="351" ht="30.95" customHeight="1"/>
    <row r="352" ht="30.95" customHeight="1"/>
    <row r="353" ht="30.95" customHeight="1"/>
    <row r="354" ht="30.95" customHeight="1"/>
    <row r="355" ht="30.95" customHeight="1"/>
    <row r="356" ht="30.95" customHeight="1"/>
    <row r="357" ht="30.95" customHeight="1"/>
    <row r="358" ht="30.95" customHeight="1"/>
    <row r="359" ht="30.95" customHeight="1"/>
    <row r="360" ht="30.95" customHeight="1"/>
    <row r="361" ht="30.95" customHeight="1"/>
    <row r="362" ht="30.95" customHeight="1"/>
    <row r="363" ht="30.95" customHeight="1"/>
    <row r="364" ht="30.95" customHeight="1"/>
    <row r="365" ht="30.95" customHeight="1"/>
    <row r="366" ht="30.95" customHeight="1"/>
    <row r="367" ht="30.95" customHeight="1"/>
    <row r="368" ht="30.95" customHeight="1"/>
    <row r="369" ht="30.95" customHeight="1"/>
    <row r="370" ht="30.95" customHeight="1"/>
    <row r="371" ht="30.95" customHeight="1"/>
    <row r="372" ht="30.95" customHeight="1"/>
    <row r="373" ht="30.95" customHeight="1"/>
    <row r="374" ht="30.95" customHeight="1"/>
    <row r="375" ht="30.95" customHeight="1"/>
    <row r="376" ht="30.95" customHeight="1"/>
    <row r="377" ht="30.95" customHeight="1"/>
    <row r="378" ht="30.95" customHeight="1"/>
    <row r="379" ht="30.95" customHeight="1"/>
    <row r="380" ht="30.95" customHeight="1"/>
    <row r="381" ht="30.95" customHeight="1"/>
    <row r="382" ht="30.95" customHeight="1"/>
    <row r="383" ht="30.95" customHeight="1"/>
    <row r="384" ht="30.95" customHeight="1"/>
    <row r="385" ht="30.95" customHeight="1"/>
    <row r="386" ht="30.95" customHeight="1"/>
    <row r="387" ht="30.95" customHeight="1"/>
    <row r="388" ht="30.95" customHeight="1"/>
    <row r="389" ht="30.95" customHeight="1"/>
    <row r="390" ht="30.95" customHeight="1"/>
    <row r="391" ht="30.95" customHeight="1"/>
    <row r="392" ht="30.95" customHeight="1"/>
    <row r="393" ht="30.95" customHeight="1"/>
    <row r="394" ht="30.95" customHeight="1"/>
    <row r="395" ht="30.95" customHeight="1"/>
    <row r="396" ht="30.95" customHeight="1"/>
    <row r="397" ht="30.95" customHeight="1"/>
    <row r="398" ht="30.95" customHeight="1"/>
    <row r="399" ht="30.95" customHeight="1"/>
    <row r="400"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91:F191"/>
    <mergeCell ref="B192:F192"/>
    <mergeCell ref="B186:F186"/>
    <mergeCell ref="B187:F187"/>
    <mergeCell ref="B188:F188"/>
    <mergeCell ref="B189:F189"/>
    <mergeCell ref="B190:F190"/>
    <mergeCell ref="A1:F1"/>
    <mergeCell ref="A2:F2"/>
    <mergeCell ref="A183:F183"/>
    <mergeCell ref="B184:F184"/>
    <mergeCell ref="B185:F18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2026-09-28T14:17:59Z</dcterms:created>
  <dcterms:modified xsi:type="dcterms:W3CDTF">2026-09-28T14:17:59Z</dcterms:modified>
</cp:coreProperties>
</file>